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ustomProperty1.bin" ContentType="application/vnd.openxmlformats-officedocument.spreadsheetml.customProperty"/>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https://bomberosbog-my.sharepoint.com/personal/joabril_bomberosbogota_gov_co/Documents/UAE Bomberos Jose Alberto Abril Bernal - OAP/UAE BOMBEROS BOGOTA 2026/1. PAA 2026 BOGOTA CAMINA SEGURA/MODIF PAA VR 6 A VR 7 - 2026 UAECOB/"/>
    </mc:Choice>
  </mc:AlternateContent>
  <xr:revisionPtr revIDLastSave="365" documentId="14_{FBE196F4-DCEF-452B-B4A7-2E42AF6FA3FB}" xr6:coauthVersionLast="47" xr6:coauthVersionMax="47" xr10:uidLastSave="{6A0E55EB-CCC8-4B32-AC45-3CCD247F3F95}"/>
  <bookViews>
    <workbookView xWindow="-110" yWindow="-110" windowWidth="19420" windowHeight="11500" tabRatio="702" firstSheet="1" activeTab="1" xr2:uid="{00000000-000D-0000-FFFF-FFFF00000000}"/>
  </bookViews>
  <sheets>
    <sheet name="Hoja1" sheetId="14" state="hidden" r:id="rId1"/>
    <sheet name="PAA VR7 2026 UAECOB BCS" sheetId="1" r:id="rId2"/>
    <sheet name="Control PAA Vr0" sheetId="9" state="hidden" r:id="rId3"/>
    <sheet name="Distribución Pptal Inv" sheetId="6" state="hidden" r:id="rId4"/>
    <sheet name="TD" sheetId="4" state="hidden" r:id="rId5"/>
    <sheet name="resumen" sheetId="2" state="hidden" r:id="rId6"/>
  </sheets>
  <definedNames>
    <definedName name="_xlnm._FilterDatabase" localSheetId="0" hidden="1">Hoja1!$C$2:$C$10</definedName>
    <definedName name="_xlnm._FilterDatabase" localSheetId="1" hidden="1">'PAA VR7 2026 UAECOB BCS'!#REF!</definedName>
    <definedName name="_xlnm._FilterDatabase" localSheetId="4" hidden="1">TD!$J$66:$K$66</definedName>
    <definedName name="_Hlk177992892" localSheetId="1">'PAA VR7 2026 UAECOB BCS'!#REF!</definedName>
    <definedName name="Sec_Prog_MGA">#REF!</definedName>
  </definedNames>
  <calcPr calcId="191029"/>
  <pivotCaches>
    <pivotCache cacheId="12" r:id="rId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7" i="1" l="1"/>
  <c r="AC47" i="1" s="1"/>
  <c r="Y47" i="1"/>
  <c r="Z47" i="1" s="1"/>
  <c r="AB46" i="1"/>
  <c r="AC46" i="1" s="1"/>
  <c r="Y46" i="1"/>
  <c r="Z46" i="1" s="1"/>
  <c r="AB45" i="1"/>
  <c r="AC45" i="1" s="1"/>
  <c r="Y45" i="1"/>
  <c r="Z45" i="1" s="1"/>
  <c r="U5" i="1"/>
  <c r="S47" i="1"/>
  <c r="T47" i="1"/>
  <c r="U47" i="1"/>
  <c r="V47" i="1"/>
  <c r="W47" i="1"/>
  <c r="S46" i="1"/>
  <c r="T46" i="1"/>
  <c r="U46" i="1"/>
  <c r="V46" i="1"/>
  <c r="W46" i="1"/>
  <c r="S45" i="1"/>
  <c r="T45" i="1"/>
  <c r="U45" i="1"/>
  <c r="V45" i="1"/>
  <c r="W45" i="1"/>
  <c r="AB44" i="1"/>
  <c r="AC44" i="1" s="1"/>
  <c r="AB43" i="1"/>
  <c r="AC43" i="1" s="1"/>
  <c r="AB42" i="1"/>
  <c r="AC42" i="1" s="1"/>
  <c r="AB41" i="1"/>
  <c r="AC41" i="1" s="1"/>
  <c r="Y44" i="1"/>
  <c r="Z44" i="1" s="1"/>
  <c r="Y43" i="1"/>
  <c r="Z43" i="1" s="1"/>
  <c r="Y42" i="1"/>
  <c r="Z42" i="1" s="1"/>
  <c r="Y41" i="1"/>
  <c r="Z41" i="1" s="1"/>
  <c r="S44" i="1"/>
  <c r="T44" i="1"/>
  <c r="U44" i="1"/>
  <c r="V44" i="1"/>
  <c r="W44" i="1"/>
  <c r="S43" i="1"/>
  <c r="T43" i="1"/>
  <c r="U43" i="1"/>
  <c r="V43" i="1"/>
  <c r="W43" i="1"/>
  <c r="S42" i="1"/>
  <c r="T42" i="1"/>
  <c r="U42" i="1"/>
  <c r="V42" i="1"/>
  <c r="W42" i="1"/>
  <c r="S41" i="1"/>
  <c r="T41" i="1"/>
  <c r="U41" i="1"/>
  <c r="V41" i="1"/>
  <c r="W41" i="1"/>
  <c r="AI47" i="1" l="1"/>
  <c r="AE45" i="1"/>
  <c r="AE47" i="1"/>
  <c r="AE46" i="1"/>
  <c r="AD47" i="1"/>
  <c r="AF47" i="1" s="1"/>
  <c r="AD46" i="1"/>
  <c r="AF46" i="1" s="1"/>
  <c r="AI46" i="1"/>
  <c r="AD45" i="1"/>
  <c r="AF45" i="1" s="1"/>
  <c r="AI45" i="1"/>
  <c r="AE41" i="1"/>
  <c r="AI44" i="1"/>
  <c r="AE43" i="1"/>
  <c r="AE44" i="1"/>
  <c r="AD42" i="1"/>
  <c r="AF42" i="1" s="1"/>
  <c r="AD43" i="1"/>
  <c r="AF43" i="1" s="1"/>
  <c r="AD44" i="1"/>
  <c r="AF44" i="1" s="1"/>
  <c r="AD41" i="1"/>
  <c r="AF41" i="1" s="1"/>
  <c r="AE42" i="1"/>
  <c r="AI42" i="1"/>
  <c r="AI43" i="1"/>
  <c r="AI41" i="1"/>
  <c r="J36" i="1"/>
  <c r="AB40" i="1" l="1"/>
  <c r="AC40" i="1" s="1"/>
  <c r="Y40" i="1"/>
  <c r="Z40" i="1" s="1"/>
  <c r="S40" i="1"/>
  <c r="T40" i="1"/>
  <c r="U40" i="1"/>
  <c r="V40" i="1"/>
  <c r="W40" i="1"/>
  <c r="AE40" i="1" l="1"/>
  <c r="AI40" i="1"/>
  <c r="AD40" i="1"/>
  <c r="AF40" i="1" s="1"/>
  <c r="J31" i="1" l="1"/>
  <c r="AB39" i="1"/>
  <c r="AC39" i="1" s="1"/>
  <c r="AB38" i="1"/>
  <c r="AC38" i="1" s="1"/>
  <c r="AB37" i="1"/>
  <c r="AC37" i="1" s="1"/>
  <c r="Y39" i="1"/>
  <c r="Z39" i="1" s="1"/>
  <c r="Y38" i="1"/>
  <c r="Z38" i="1" s="1"/>
  <c r="Y37" i="1"/>
  <c r="Z37" i="1" s="1"/>
  <c r="S39" i="1"/>
  <c r="T39" i="1"/>
  <c r="U39" i="1"/>
  <c r="V39" i="1"/>
  <c r="W39" i="1"/>
  <c r="S38" i="1"/>
  <c r="T38" i="1"/>
  <c r="U38" i="1"/>
  <c r="V38" i="1"/>
  <c r="W38" i="1"/>
  <c r="S37" i="1"/>
  <c r="T37" i="1"/>
  <c r="U37" i="1"/>
  <c r="V37" i="1"/>
  <c r="W37" i="1"/>
  <c r="AB667" i="1"/>
  <c r="AC667" i="1" s="1"/>
  <c r="Y667" i="1"/>
  <c r="Z667" i="1" s="1"/>
  <c r="AB666" i="1"/>
  <c r="AC666" i="1" s="1"/>
  <c r="Y666" i="1"/>
  <c r="Z666" i="1" s="1"/>
  <c r="AB665" i="1"/>
  <c r="AC665" i="1" s="1"/>
  <c r="Y665" i="1"/>
  <c r="Z665" i="1" s="1"/>
  <c r="S667" i="1"/>
  <c r="T667" i="1"/>
  <c r="U667" i="1"/>
  <c r="V667" i="1"/>
  <c r="W667" i="1"/>
  <c r="S666" i="1"/>
  <c r="T666" i="1"/>
  <c r="U666" i="1"/>
  <c r="V666" i="1"/>
  <c r="W666" i="1"/>
  <c r="T665" i="1"/>
  <c r="AI665" i="1" s="1"/>
  <c r="U665" i="1"/>
  <c r="V665" i="1"/>
  <c r="W665" i="1"/>
  <c r="AB664" i="1"/>
  <c r="AC664" i="1" s="1"/>
  <c r="Y664" i="1"/>
  <c r="Z664" i="1" s="1"/>
  <c r="S664" i="1"/>
  <c r="T664" i="1"/>
  <c r="U664" i="1"/>
  <c r="V664" i="1"/>
  <c r="W664" i="1"/>
  <c r="AB663" i="1"/>
  <c r="AC663" i="1" s="1"/>
  <c r="Y663" i="1"/>
  <c r="Z663" i="1" s="1"/>
  <c r="S663" i="1"/>
  <c r="T663" i="1"/>
  <c r="U663" i="1"/>
  <c r="V663" i="1"/>
  <c r="W663" i="1"/>
  <c r="AB662" i="1"/>
  <c r="AC662" i="1" s="1"/>
  <c r="Y662" i="1"/>
  <c r="Z662" i="1" s="1"/>
  <c r="AB661" i="1"/>
  <c r="AC661" i="1" s="1"/>
  <c r="Y661" i="1"/>
  <c r="Z661" i="1" s="1"/>
  <c r="S662" i="1"/>
  <c r="T662" i="1"/>
  <c r="U662" i="1"/>
  <c r="V662" i="1"/>
  <c r="W662" i="1"/>
  <c r="S661" i="1"/>
  <c r="T661" i="1"/>
  <c r="U661" i="1"/>
  <c r="V661" i="1"/>
  <c r="W661" i="1"/>
  <c r="J647" i="1"/>
  <c r="J582" i="1"/>
  <c r="J581" i="1"/>
  <c r="J580" i="1"/>
  <c r="J569" i="1"/>
  <c r="AB660" i="1"/>
  <c r="AC660" i="1" s="1"/>
  <c r="Y660" i="1"/>
  <c r="Z660" i="1" s="1"/>
  <c r="S660" i="1"/>
  <c r="T660" i="1"/>
  <c r="U660" i="1"/>
  <c r="V660" i="1"/>
  <c r="W660" i="1"/>
  <c r="AB659" i="1"/>
  <c r="AC659" i="1" s="1"/>
  <c r="Y659" i="1"/>
  <c r="Z659" i="1" s="1"/>
  <c r="AB658" i="1"/>
  <c r="AC658" i="1" s="1"/>
  <c r="Y658" i="1"/>
  <c r="Z658" i="1" s="1"/>
  <c r="AB657" i="1"/>
  <c r="AC657" i="1" s="1"/>
  <c r="AB656" i="1"/>
  <c r="AC656" i="1" s="1"/>
  <c r="AB655" i="1"/>
  <c r="AC655" i="1" s="1"/>
  <c r="AB654" i="1"/>
  <c r="AC654" i="1" s="1"/>
  <c r="AB653" i="1"/>
  <c r="AC653" i="1" s="1"/>
  <c r="Y657" i="1"/>
  <c r="Z657" i="1" s="1"/>
  <c r="Y656" i="1"/>
  <c r="Z656" i="1" s="1"/>
  <c r="Y655" i="1"/>
  <c r="Z655" i="1" s="1"/>
  <c r="Y654" i="1"/>
  <c r="Z654" i="1" s="1"/>
  <c r="Y653" i="1"/>
  <c r="Z653" i="1" s="1"/>
  <c r="AB652" i="1"/>
  <c r="AC652" i="1" s="1"/>
  <c r="Y652" i="1"/>
  <c r="Z652" i="1" s="1"/>
  <c r="AB651" i="1"/>
  <c r="AC651" i="1" s="1"/>
  <c r="Y651" i="1"/>
  <c r="Z651" i="1" s="1"/>
  <c r="S659" i="1"/>
  <c r="T659" i="1"/>
  <c r="U659" i="1"/>
  <c r="V659" i="1"/>
  <c r="W659" i="1"/>
  <c r="S658" i="1"/>
  <c r="T658" i="1"/>
  <c r="U658" i="1"/>
  <c r="V658" i="1"/>
  <c r="W658" i="1"/>
  <c r="S657" i="1"/>
  <c r="T657" i="1"/>
  <c r="U657" i="1"/>
  <c r="V657" i="1"/>
  <c r="W657" i="1"/>
  <c r="S656" i="1"/>
  <c r="T656" i="1"/>
  <c r="U656" i="1"/>
  <c r="V656" i="1"/>
  <c r="W656" i="1"/>
  <c r="S655" i="1"/>
  <c r="T655" i="1"/>
  <c r="U655" i="1"/>
  <c r="V655" i="1"/>
  <c r="W655" i="1"/>
  <c r="S654" i="1"/>
  <c r="T654" i="1"/>
  <c r="U654" i="1"/>
  <c r="V654" i="1"/>
  <c r="W654" i="1"/>
  <c r="S653" i="1"/>
  <c r="T653" i="1"/>
  <c r="U653" i="1"/>
  <c r="V653" i="1"/>
  <c r="W653" i="1"/>
  <c r="S652" i="1"/>
  <c r="T652" i="1"/>
  <c r="U652" i="1"/>
  <c r="V652" i="1"/>
  <c r="W652" i="1"/>
  <c r="S651" i="1"/>
  <c r="T651" i="1"/>
  <c r="U651" i="1"/>
  <c r="V651" i="1"/>
  <c r="W651" i="1"/>
  <c r="AB650" i="1"/>
  <c r="AC650" i="1" s="1"/>
  <c r="Y650" i="1"/>
  <c r="Z650" i="1" s="1"/>
  <c r="S650" i="1"/>
  <c r="T650" i="1"/>
  <c r="U650" i="1"/>
  <c r="V650" i="1"/>
  <c r="W650" i="1"/>
  <c r="AB649" i="1"/>
  <c r="AC649" i="1" s="1"/>
  <c r="Y649" i="1"/>
  <c r="Z649" i="1" s="1"/>
  <c r="S649" i="1"/>
  <c r="T649" i="1"/>
  <c r="U649" i="1"/>
  <c r="V649" i="1"/>
  <c r="W649" i="1"/>
  <c r="J576" i="1"/>
  <c r="J574" i="1"/>
  <c r="J570" i="1"/>
  <c r="AB648" i="1"/>
  <c r="AC648" i="1" s="1"/>
  <c r="Y648" i="1"/>
  <c r="Z648" i="1" s="1"/>
  <c r="S648" i="1"/>
  <c r="T648" i="1"/>
  <c r="U648" i="1"/>
  <c r="V648" i="1"/>
  <c r="W648" i="1"/>
  <c r="J524" i="1"/>
  <c r="AB647" i="1"/>
  <c r="AC647" i="1" s="1"/>
  <c r="Y647" i="1"/>
  <c r="Z647" i="1" s="1"/>
  <c r="AD647" i="1" s="1"/>
  <c r="AF647" i="1" s="1"/>
  <c r="S647" i="1"/>
  <c r="T647" i="1"/>
  <c r="U647" i="1"/>
  <c r="V647" i="1"/>
  <c r="W647" i="1"/>
  <c r="AB646" i="1"/>
  <c r="AC646" i="1" s="1"/>
  <c r="Y646" i="1"/>
  <c r="Z646" i="1" s="1"/>
  <c r="J72" i="1"/>
  <c r="S646" i="1"/>
  <c r="T646" i="1"/>
  <c r="U646" i="1"/>
  <c r="V646" i="1"/>
  <c r="W646" i="1"/>
  <c r="AB645" i="1"/>
  <c r="AC645" i="1" s="1"/>
  <c r="Y645" i="1"/>
  <c r="Z645" i="1" s="1"/>
  <c r="J100" i="1"/>
  <c r="J99" i="1"/>
  <c r="J88" i="1"/>
  <c r="J87" i="1"/>
  <c r="J106" i="1"/>
  <c r="AB36" i="1"/>
  <c r="AC36" i="1" s="1"/>
  <c r="Y36" i="1"/>
  <c r="Z36" i="1" s="1"/>
  <c r="J102" i="1"/>
  <c r="AB644" i="1"/>
  <c r="AC644" i="1" s="1"/>
  <c r="Y644" i="1"/>
  <c r="Z644" i="1" s="1"/>
  <c r="S645" i="1"/>
  <c r="T645" i="1"/>
  <c r="U645" i="1"/>
  <c r="V645" i="1"/>
  <c r="W645" i="1"/>
  <c r="S36" i="1"/>
  <c r="T36" i="1"/>
  <c r="U36" i="1"/>
  <c r="V36" i="1"/>
  <c r="W36" i="1"/>
  <c r="S644" i="1"/>
  <c r="T644" i="1"/>
  <c r="U644" i="1"/>
  <c r="V644" i="1"/>
  <c r="W644" i="1"/>
  <c r="AB643" i="1"/>
  <c r="AC643" i="1" s="1"/>
  <c r="Y643" i="1"/>
  <c r="Z643" i="1" s="1"/>
  <c r="AB642" i="1"/>
  <c r="AC642" i="1" s="1"/>
  <c r="Y642" i="1"/>
  <c r="Z642" i="1" s="1"/>
  <c r="S643" i="1"/>
  <c r="T643" i="1"/>
  <c r="U643" i="1"/>
  <c r="V643" i="1"/>
  <c r="W643" i="1"/>
  <c r="S642" i="1"/>
  <c r="T642" i="1"/>
  <c r="U642" i="1"/>
  <c r="V642" i="1"/>
  <c r="W642" i="1"/>
  <c r="AB641" i="1"/>
  <c r="AC641" i="1" s="1"/>
  <c r="Y641" i="1"/>
  <c r="Z641" i="1" s="1"/>
  <c r="AB640" i="1"/>
  <c r="AC640" i="1" s="1"/>
  <c r="Y640" i="1"/>
  <c r="Z640" i="1" s="1"/>
  <c r="S641" i="1"/>
  <c r="T641" i="1"/>
  <c r="U641" i="1"/>
  <c r="V641" i="1"/>
  <c r="W641" i="1"/>
  <c r="S640" i="1"/>
  <c r="T640" i="1"/>
  <c r="U640" i="1"/>
  <c r="V640" i="1"/>
  <c r="W640" i="1"/>
  <c r="AB639" i="1"/>
  <c r="AC639" i="1" s="1"/>
  <c r="Y639" i="1"/>
  <c r="Z639" i="1" s="1"/>
  <c r="AD639" i="1" s="1"/>
  <c r="AF639" i="1" s="1"/>
  <c r="S639" i="1"/>
  <c r="T639" i="1"/>
  <c r="U639" i="1"/>
  <c r="V639" i="1"/>
  <c r="W639" i="1"/>
  <c r="AB638" i="1"/>
  <c r="AC638" i="1" s="1"/>
  <c r="Y638" i="1"/>
  <c r="Z638" i="1" s="1"/>
  <c r="AB637" i="1"/>
  <c r="AC637" i="1" s="1"/>
  <c r="Y637" i="1"/>
  <c r="Z637" i="1" s="1"/>
  <c r="S638" i="1"/>
  <c r="T638" i="1"/>
  <c r="U638" i="1"/>
  <c r="V638" i="1"/>
  <c r="W638" i="1"/>
  <c r="S637" i="1"/>
  <c r="T637" i="1"/>
  <c r="U637" i="1"/>
  <c r="V637" i="1"/>
  <c r="W637" i="1"/>
  <c r="AB636" i="1"/>
  <c r="AC636" i="1" s="1"/>
  <c r="Y636" i="1"/>
  <c r="Z636" i="1" s="1"/>
  <c r="AB635" i="1"/>
  <c r="AC635" i="1" s="1"/>
  <c r="Y635" i="1"/>
  <c r="Z635" i="1" s="1"/>
  <c r="S636" i="1"/>
  <c r="T636" i="1"/>
  <c r="U636" i="1"/>
  <c r="V636" i="1"/>
  <c r="W636" i="1"/>
  <c r="S635" i="1"/>
  <c r="T635" i="1"/>
  <c r="U635" i="1"/>
  <c r="V635" i="1"/>
  <c r="W635" i="1"/>
  <c r="AB634" i="1"/>
  <c r="AC634" i="1" s="1"/>
  <c r="Y634" i="1"/>
  <c r="Z634" i="1" s="1"/>
  <c r="AB633" i="1"/>
  <c r="AC633" i="1" s="1"/>
  <c r="Y633" i="1"/>
  <c r="Z633" i="1" s="1"/>
  <c r="S633" i="1"/>
  <c r="S634" i="1"/>
  <c r="T633" i="1"/>
  <c r="T634" i="1"/>
  <c r="U633" i="1"/>
  <c r="U634" i="1"/>
  <c r="V633" i="1"/>
  <c r="V634" i="1"/>
  <c r="W633" i="1"/>
  <c r="W634" i="1"/>
  <c r="AB632" i="1"/>
  <c r="AC632" i="1" s="1"/>
  <c r="Y632" i="1"/>
  <c r="Z632" i="1" s="1"/>
  <c r="S632" i="1"/>
  <c r="T632" i="1"/>
  <c r="U632" i="1"/>
  <c r="V632" i="1"/>
  <c r="W632" i="1"/>
  <c r="AB631" i="1"/>
  <c r="AC631" i="1" s="1"/>
  <c r="Y631" i="1"/>
  <c r="Z631" i="1" s="1"/>
  <c r="S631" i="1"/>
  <c r="T631" i="1"/>
  <c r="U631" i="1"/>
  <c r="V631" i="1"/>
  <c r="W631" i="1"/>
  <c r="AB630" i="1"/>
  <c r="AC630" i="1" s="1"/>
  <c r="Y630" i="1"/>
  <c r="Z630" i="1" s="1"/>
  <c r="S630" i="1"/>
  <c r="T630" i="1"/>
  <c r="U630" i="1"/>
  <c r="V630" i="1"/>
  <c r="W630" i="1"/>
  <c r="AB629" i="1"/>
  <c r="AC629" i="1" s="1"/>
  <c r="Y629" i="1"/>
  <c r="Z629" i="1" s="1"/>
  <c r="S629" i="1"/>
  <c r="T629" i="1"/>
  <c r="U629" i="1"/>
  <c r="V629" i="1"/>
  <c r="W629" i="1"/>
  <c r="AB35" i="1"/>
  <c r="AC35" i="1" s="1"/>
  <c r="Y35" i="1"/>
  <c r="Z35" i="1" s="1"/>
  <c r="AB628" i="1"/>
  <c r="AC628" i="1" s="1"/>
  <c r="Y628" i="1"/>
  <c r="Z628" i="1" s="1"/>
  <c r="AB627" i="1"/>
  <c r="AC627" i="1" s="1"/>
  <c r="Y627" i="1"/>
  <c r="Z627" i="1" s="1"/>
  <c r="S35" i="1"/>
  <c r="T35" i="1"/>
  <c r="U35" i="1"/>
  <c r="V35" i="1"/>
  <c r="W35" i="1"/>
  <c r="S628" i="1"/>
  <c r="T628" i="1"/>
  <c r="U628" i="1"/>
  <c r="V628" i="1"/>
  <c r="W628" i="1"/>
  <c r="S627" i="1"/>
  <c r="T627" i="1"/>
  <c r="U627" i="1"/>
  <c r="V627" i="1"/>
  <c r="W627" i="1"/>
  <c r="AB626" i="1"/>
  <c r="AC626" i="1" s="1"/>
  <c r="Y626" i="1"/>
  <c r="Z626" i="1" s="1"/>
  <c r="AB625" i="1"/>
  <c r="AC625" i="1" s="1"/>
  <c r="Y625" i="1"/>
  <c r="Z625" i="1" s="1"/>
  <c r="S626" i="1"/>
  <c r="T626" i="1"/>
  <c r="U626" i="1"/>
  <c r="V626" i="1"/>
  <c r="W626" i="1"/>
  <c r="S625" i="1"/>
  <c r="T625" i="1"/>
  <c r="U625" i="1"/>
  <c r="V625" i="1"/>
  <c r="W625" i="1"/>
  <c r="AB624" i="1"/>
  <c r="AC624" i="1" s="1"/>
  <c r="Y624" i="1"/>
  <c r="Z624" i="1" s="1"/>
  <c r="S624" i="1"/>
  <c r="T624" i="1"/>
  <c r="U624" i="1"/>
  <c r="V624" i="1"/>
  <c r="W624" i="1"/>
  <c r="J623" i="1"/>
  <c r="AB623" i="1"/>
  <c r="AC623" i="1" s="1"/>
  <c r="Y623" i="1"/>
  <c r="Z623" i="1" s="1"/>
  <c r="S623" i="1"/>
  <c r="T623" i="1"/>
  <c r="U623" i="1"/>
  <c r="V623" i="1"/>
  <c r="W623" i="1"/>
  <c r="AB622" i="1"/>
  <c r="AC622" i="1" s="1"/>
  <c r="AD622" i="1" s="1"/>
  <c r="AF622" i="1" s="1"/>
  <c r="Y622" i="1"/>
  <c r="Z622" i="1" s="1"/>
  <c r="AB621" i="1"/>
  <c r="AC621" i="1" s="1"/>
  <c r="Y621" i="1"/>
  <c r="Z621" i="1" s="1"/>
  <c r="AB620" i="1"/>
  <c r="AC620" i="1" s="1"/>
  <c r="Y620" i="1"/>
  <c r="Z620" i="1" s="1"/>
  <c r="AB619" i="1"/>
  <c r="AC619" i="1" s="1"/>
  <c r="Y619" i="1"/>
  <c r="Z619" i="1" s="1"/>
  <c r="AB618" i="1"/>
  <c r="AC618" i="1" s="1"/>
  <c r="Y618" i="1"/>
  <c r="Z618" i="1" s="1"/>
  <c r="AB617" i="1"/>
  <c r="AC617" i="1" s="1"/>
  <c r="Y617" i="1"/>
  <c r="Z617" i="1" s="1"/>
  <c r="AB616" i="1"/>
  <c r="AC616" i="1" s="1"/>
  <c r="Y616" i="1"/>
  <c r="Z616" i="1" s="1"/>
  <c r="S617" i="1"/>
  <c r="S618" i="1"/>
  <c r="S619" i="1"/>
  <c r="S620" i="1"/>
  <c r="S621" i="1"/>
  <c r="S622" i="1"/>
  <c r="T617" i="1"/>
  <c r="T618" i="1"/>
  <c r="T619" i="1"/>
  <c r="T620" i="1"/>
  <c r="T621" i="1"/>
  <c r="T622" i="1"/>
  <c r="U617" i="1"/>
  <c r="U618" i="1"/>
  <c r="U619" i="1"/>
  <c r="U620" i="1"/>
  <c r="U621" i="1"/>
  <c r="U622" i="1"/>
  <c r="V617" i="1"/>
  <c r="V618" i="1"/>
  <c r="V619" i="1"/>
  <c r="V620" i="1"/>
  <c r="V621" i="1"/>
  <c r="V622" i="1"/>
  <c r="W617" i="1"/>
  <c r="W618" i="1"/>
  <c r="W619" i="1"/>
  <c r="W620" i="1"/>
  <c r="W621" i="1"/>
  <c r="W622" i="1"/>
  <c r="J613" i="1"/>
  <c r="J612" i="1"/>
  <c r="S616" i="1"/>
  <c r="T616" i="1"/>
  <c r="U616" i="1"/>
  <c r="V616" i="1"/>
  <c r="W616" i="1"/>
  <c r="Y615" i="1"/>
  <c r="Z615" i="1" s="1"/>
  <c r="AB615" i="1"/>
  <c r="AC615" i="1" s="1"/>
  <c r="S615" i="1"/>
  <c r="T615" i="1"/>
  <c r="U615" i="1"/>
  <c r="V615" i="1"/>
  <c r="W615" i="1"/>
  <c r="AB614" i="1"/>
  <c r="AC614" i="1" s="1"/>
  <c r="Y614" i="1"/>
  <c r="Z614" i="1" s="1"/>
  <c r="S614" i="1"/>
  <c r="T614" i="1"/>
  <c r="U614" i="1"/>
  <c r="V614" i="1"/>
  <c r="W614" i="1"/>
  <c r="AB613" i="1"/>
  <c r="AC613" i="1" s="1"/>
  <c r="Y613" i="1"/>
  <c r="Z613" i="1" s="1"/>
  <c r="AB612" i="1"/>
  <c r="AC612" i="1" s="1"/>
  <c r="Y612" i="1"/>
  <c r="Z612" i="1" s="1"/>
  <c r="S613" i="1"/>
  <c r="T613" i="1"/>
  <c r="U613" i="1"/>
  <c r="V613" i="1"/>
  <c r="W613" i="1"/>
  <c r="S612" i="1"/>
  <c r="T612" i="1"/>
  <c r="U612" i="1"/>
  <c r="V612" i="1"/>
  <c r="W612" i="1"/>
  <c r="AB611" i="1"/>
  <c r="AC611" i="1" s="1"/>
  <c r="AB610" i="1"/>
  <c r="AC610" i="1" s="1"/>
  <c r="AB609" i="1"/>
  <c r="AC609" i="1" s="1"/>
  <c r="AB608" i="1"/>
  <c r="AC608" i="1" s="1"/>
  <c r="AB607" i="1"/>
  <c r="AC607" i="1" s="1"/>
  <c r="AB606" i="1"/>
  <c r="AC606" i="1" s="1"/>
  <c r="AB605" i="1"/>
  <c r="AC605" i="1" s="1"/>
  <c r="AB604" i="1"/>
  <c r="AC604" i="1" s="1"/>
  <c r="AB603" i="1"/>
  <c r="AC603" i="1" s="1"/>
  <c r="AB602" i="1"/>
  <c r="AC602" i="1" s="1"/>
  <c r="AB601" i="1"/>
  <c r="AC601" i="1" s="1"/>
  <c r="Y611" i="1"/>
  <c r="Z611" i="1" s="1"/>
  <c r="Y610" i="1"/>
  <c r="Z610" i="1" s="1"/>
  <c r="Y609" i="1"/>
  <c r="Z609" i="1" s="1"/>
  <c r="Y608" i="1"/>
  <c r="Z608" i="1" s="1"/>
  <c r="Y607" i="1"/>
  <c r="Z607" i="1" s="1"/>
  <c r="Y606" i="1"/>
  <c r="Z606" i="1" s="1"/>
  <c r="Y605" i="1"/>
  <c r="Z605" i="1" s="1"/>
  <c r="Y604" i="1"/>
  <c r="Z604" i="1" s="1"/>
  <c r="Y603" i="1"/>
  <c r="Z603" i="1" s="1"/>
  <c r="Y602" i="1"/>
  <c r="Z602" i="1" s="1"/>
  <c r="Y601" i="1"/>
  <c r="Z601" i="1" s="1"/>
  <c r="S611" i="1"/>
  <c r="T611" i="1"/>
  <c r="U611" i="1"/>
  <c r="V611" i="1"/>
  <c r="W611" i="1"/>
  <c r="S610" i="1"/>
  <c r="T610" i="1"/>
  <c r="U610" i="1"/>
  <c r="V610" i="1"/>
  <c r="W610" i="1"/>
  <c r="S609" i="1"/>
  <c r="T609" i="1"/>
  <c r="U609" i="1"/>
  <c r="V609" i="1"/>
  <c r="W609" i="1"/>
  <c r="S608" i="1"/>
  <c r="T608" i="1"/>
  <c r="U608" i="1"/>
  <c r="V608" i="1"/>
  <c r="W608" i="1"/>
  <c r="S607" i="1"/>
  <c r="T607" i="1"/>
  <c r="U607" i="1"/>
  <c r="V607" i="1"/>
  <c r="W607" i="1"/>
  <c r="S606" i="1"/>
  <c r="T606" i="1"/>
  <c r="U606" i="1"/>
  <c r="V606" i="1"/>
  <c r="W606" i="1"/>
  <c r="S605" i="1"/>
  <c r="T605" i="1"/>
  <c r="U605" i="1"/>
  <c r="V605" i="1"/>
  <c r="W605" i="1"/>
  <c r="S604" i="1"/>
  <c r="T604" i="1"/>
  <c r="U604" i="1"/>
  <c r="V604" i="1"/>
  <c r="W604" i="1"/>
  <c r="S603" i="1"/>
  <c r="T603" i="1"/>
  <c r="U603" i="1"/>
  <c r="V603" i="1"/>
  <c r="W603" i="1"/>
  <c r="S602" i="1"/>
  <c r="T602" i="1"/>
  <c r="U602" i="1"/>
  <c r="V602" i="1"/>
  <c r="W602" i="1"/>
  <c r="S601" i="1"/>
  <c r="T601" i="1"/>
  <c r="U601" i="1"/>
  <c r="V601" i="1"/>
  <c r="W601" i="1"/>
  <c r="AB600" i="1"/>
  <c r="AC600" i="1" s="1"/>
  <c r="AB599" i="1"/>
  <c r="AC599" i="1" s="1"/>
  <c r="Y600" i="1"/>
  <c r="Z600" i="1" s="1"/>
  <c r="Y599" i="1"/>
  <c r="Z599" i="1" s="1"/>
  <c r="S600" i="1"/>
  <c r="T600" i="1"/>
  <c r="U600" i="1"/>
  <c r="V600" i="1"/>
  <c r="W600" i="1"/>
  <c r="S599" i="1"/>
  <c r="T599" i="1"/>
  <c r="U599" i="1"/>
  <c r="V599" i="1"/>
  <c r="W599" i="1"/>
  <c r="Y383" i="1"/>
  <c r="Z383" i="1" s="1"/>
  <c r="AB598" i="1"/>
  <c r="AC598" i="1" s="1"/>
  <c r="AB597" i="1"/>
  <c r="AC597" i="1" s="1"/>
  <c r="Y598" i="1"/>
  <c r="Z598" i="1" s="1"/>
  <c r="Y597" i="1"/>
  <c r="Z597" i="1" s="1"/>
  <c r="S598" i="1"/>
  <c r="T598" i="1"/>
  <c r="U598" i="1"/>
  <c r="V598" i="1"/>
  <c r="W598" i="1"/>
  <c r="S597" i="1"/>
  <c r="T597" i="1"/>
  <c r="U597" i="1"/>
  <c r="V597" i="1"/>
  <c r="W597" i="1"/>
  <c r="Y596" i="1"/>
  <c r="Z596" i="1" s="1"/>
  <c r="AB596" i="1"/>
  <c r="AC596" i="1" s="1"/>
  <c r="Y595" i="1"/>
  <c r="Z595" i="1" s="1"/>
  <c r="AB595" i="1"/>
  <c r="AC595" i="1" s="1"/>
  <c r="S596" i="1"/>
  <c r="T596" i="1"/>
  <c r="U596" i="1"/>
  <c r="V596" i="1"/>
  <c r="W596" i="1"/>
  <c r="S595" i="1"/>
  <c r="T595" i="1"/>
  <c r="U595" i="1"/>
  <c r="V595" i="1"/>
  <c r="W595" i="1"/>
  <c r="Y594" i="1"/>
  <c r="Z594" i="1" s="1"/>
  <c r="AB594" i="1"/>
  <c r="AC594" i="1" s="1"/>
  <c r="Y593" i="1"/>
  <c r="Z593" i="1" s="1"/>
  <c r="AB593" i="1"/>
  <c r="AC593" i="1" s="1"/>
  <c r="Y592" i="1"/>
  <c r="Z592" i="1" s="1"/>
  <c r="AB592" i="1"/>
  <c r="AC592" i="1" s="1"/>
  <c r="Y591" i="1"/>
  <c r="Z591" i="1" s="1"/>
  <c r="AB591" i="1"/>
  <c r="AC591" i="1" s="1"/>
  <c r="Y590" i="1"/>
  <c r="Z590" i="1" s="1"/>
  <c r="AB590" i="1"/>
  <c r="AC590" i="1" s="1"/>
  <c r="S594" i="1"/>
  <c r="T594" i="1"/>
  <c r="U594" i="1"/>
  <c r="V594" i="1"/>
  <c r="W594" i="1"/>
  <c r="S593" i="1"/>
  <c r="T593" i="1"/>
  <c r="U593" i="1"/>
  <c r="V593" i="1"/>
  <c r="W593" i="1"/>
  <c r="S592" i="1"/>
  <c r="T592" i="1"/>
  <c r="U592" i="1"/>
  <c r="V592" i="1"/>
  <c r="W592" i="1"/>
  <c r="S591" i="1"/>
  <c r="T591" i="1"/>
  <c r="U591" i="1"/>
  <c r="V591" i="1"/>
  <c r="W591" i="1"/>
  <c r="S590" i="1"/>
  <c r="T590" i="1"/>
  <c r="U590" i="1"/>
  <c r="V590" i="1"/>
  <c r="W590" i="1"/>
  <c r="AB589" i="1"/>
  <c r="AC589" i="1" s="1"/>
  <c r="Y589" i="1"/>
  <c r="Z589" i="1" s="1"/>
  <c r="S589" i="1"/>
  <c r="T589" i="1"/>
  <c r="U589" i="1"/>
  <c r="V589" i="1"/>
  <c r="W589" i="1"/>
  <c r="AB588" i="1"/>
  <c r="AC588" i="1" s="1"/>
  <c r="Y588" i="1"/>
  <c r="Z588" i="1" s="1"/>
  <c r="S588" i="1"/>
  <c r="T588" i="1"/>
  <c r="U588" i="1"/>
  <c r="V588" i="1"/>
  <c r="W588" i="1"/>
  <c r="AB587" i="1"/>
  <c r="AC587" i="1" s="1"/>
  <c r="Y587" i="1"/>
  <c r="Z587" i="1" s="1"/>
  <c r="S587" i="1"/>
  <c r="T587" i="1"/>
  <c r="U587" i="1"/>
  <c r="V587" i="1"/>
  <c r="W587" i="1"/>
  <c r="AB586" i="1"/>
  <c r="AC586" i="1" s="1"/>
  <c r="AB585" i="1"/>
  <c r="AC585" i="1" s="1"/>
  <c r="Y586" i="1"/>
  <c r="Z586" i="1" s="1"/>
  <c r="Y585" i="1"/>
  <c r="Z585" i="1" s="1"/>
  <c r="S586" i="1"/>
  <c r="T586" i="1"/>
  <c r="U586" i="1"/>
  <c r="V586" i="1"/>
  <c r="W586" i="1"/>
  <c r="S585" i="1"/>
  <c r="T585" i="1"/>
  <c r="U585" i="1"/>
  <c r="V585" i="1"/>
  <c r="W585" i="1"/>
  <c r="AB584" i="1"/>
  <c r="AC584" i="1" s="1"/>
  <c r="AB583" i="1"/>
  <c r="AC583" i="1" s="1"/>
  <c r="AB582" i="1"/>
  <c r="AC582" i="1" s="1"/>
  <c r="AB581" i="1"/>
  <c r="AC581" i="1" s="1"/>
  <c r="AB580" i="1"/>
  <c r="AC580" i="1" s="1"/>
  <c r="AB579" i="1"/>
  <c r="AC579" i="1" s="1"/>
  <c r="AB578" i="1"/>
  <c r="AC578" i="1" s="1"/>
  <c r="AB577" i="1"/>
  <c r="AC577" i="1" s="1"/>
  <c r="AB576" i="1"/>
  <c r="AC576" i="1" s="1"/>
  <c r="AB575" i="1"/>
  <c r="AC575" i="1" s="1"/>
  <c r="AB574" i="1"/>
  <c r="AC574" i="1" s="1"/>
  <c r="AB573" i="1"/>
  <c r="AC573" i="1" s="1"/>
  <c r="AB572" i="1"/>
  <c r="AC572" i="1" s="1"/>
  <c r="AB571" i="1"/>
  <c r="AC571" i="1" s="1"/>
  <c r="AB570" i="1"/>
  <c r="AC570" i="1" s="1"/>
  <c r="AB569" i="1"/>
  <c r="AC569" i="1" s="1"/>
  <c r="AB568" i="1"/>
  <c r="AC568" i="1" s="1"/>
  <c r="AB567" i="1"/>
  <c r="AC567" i="1" s="1"/>
  <c r="AB566" i="1"/>
  <c r="AC566" i="1" s="1"/>
  <c r="AB565" i="1"/>
  <c r="AC565" i="1" s="1"/>
  <c r="AB564" i="1"/>
  <c r="AC564" i="1" s="1"/>
  <c r="AB563" i="1"/>
  <c r="AC563" i="1" s="1"/>
  <c r="AB562" i="1"/>
  <c r="AC562" i="1" s="1"/>
  <c r="AB561" i="1"/>
  <c r="AC561" i="1" s="1"/>
  <c r="AB560" i="1"/>
  <c r="AC560" i="1" s="1"/>
  <c r="AB559" i="1"/>
  <c r="AC559" i="1" s="1"/>
  <c r="AB558" i="1"/>
  <c r="AC558" i="1" s="1"/>
  <c r="AB557" i="1"/>
  <c r="AC557" i="1" s="1"/>
  <c r="AB556" i="1"/>
  <c r="AC556" i="1" s="1"/>
  <c r="AB555" i="1"/>
  <c r="AC555" i="1" s="1"/>
  <c r="AB554" i="1"/>
  <c r="AC554" i="1" s="1"/>
  <c r="AB553" i="1"/>
  <c r="AC553" i="1" s="1"/>
  <c r="Y584" i="1"/>
  <c r="Z584" i="1" s="1"/>
  <c r="AD584" i="1" s="1"/>
  <c r="AF584" i="1" s="1"/>
  <c r="Y583" i="1"/>
  <c r="Z583" i="1" s="1"/>
  <c r="AD583" i="1" s="1"/>
  <c r="AF583" i="1" s="1"/>
  <c r="Y582" i="1"/>
  <c r="Z582" i="1" s="1"/>
  <c r="Y581" i="1"/>
  <c r="Z581" i="1" s="1"/>
  <c r="AD581" i="1" s="1"/>
  <c r="AF581" i="1" s="1"/>
  <c r="Y580" i="1"/>
  <c r="Z580" i="1" s="1"/>
  <c r="Y579" i="1"/>
  <c r="Z579" i="1" s="1"/>
  <c r="Y578" i="1"/>
  <c r="Z578" i="1" s="1"/>
  <c r="AD578" i="1" s="1"/>
  <c r="AF578" i="1" s="1"/>
  <c r="Y577" i="1"/>
  <c r="Z577" i="1" s="1"/>
  <c r="AD577" i="1" s="1"/>
  <c r="AF577" i="1" s="1"/>
  <c r="Y576" i="1"/>
  <c r="Z576" i="1" s="1"/>
  <c r="AD576" i="1" s="1"/>
  <c r="AF576" i="1" s="1"/>
  <c r="Y575" i="1"/>
  <c r="Z575" i="1" s="1"/>
  <c r="AD575" i="1" s="1"/>
  <c r="AF575" i="1" s="1"/>
  <c r="Y574" i="1"/>
  <c r="Z574" i="1" s="1"/>
  <c r="Y573" i="1"/>
  <c r="Z573" i="1" s="1"/>
  <c r="AD573" i="1" s="1"/>
  <c r="AF573" i="1" s="1"/>
  <c r="Y572" i="1"/>
  <c r="Z572" i="1" s="1"/>
  <c r="Y571" i="1"/>
  <c r="Z571" i="1" s="1"/>
  <c r="Y570" i="1"/>
  <c r="Z570" i="1" s="1"/>
  <c r="AD570" i="1" s="1"/>
  <c r="AF570" i="1" s="1"/>
  <c r="Y569" i="1"/>
  <c r="Z569" i="1" s="1"/>
  <c r="AD569" i="1" s="1"/>
  <c r="AF569" i="1" s="1"/>
  <c r="Y568" i="1"/>
  <c r="Z568" i="1" s="1"/>
  <c r="AD568" i="1" s="1"/>
  <c r="AF568" i="1" s="1"/>
  <c r="Y567" i="1"/>
  <c r="Z567" i="1" s="1"/>
  <c r="Y566" i="1"/>
  <c r="Z566" i="1" s="1"/>
  <c r="Y565" i="1"/>
  <c r="Z565" i="1" s="1"/>
  <c r="AD565" i="1" s="1"/>
  <c r="AF565" i="1" s="1"/>
  <c r="Y564" i="1"/>
  <c r="Z564" i="1" s="1"/>
  <c r="Y563" i="1"/>
  <c r="Z563" i="1" s="1"/>
  <c r="AD563" i="1" s="1"/>
  <c r="AF563" i="1" s="1"/>
  <c r="Y562" i="1"/>
  <c r="Z562" i="1" s="1"/>
  <c r="AD562" i="1" s="1"/>
  <c r="AF562" i="1" s="1"/>
  <c r="Y561" i="1"/>
  <c r="Z561" i="1" s="1"/>
  <c r="AD561" i="1" s="1"/>
  <c r="AF561" i="1" s="1"/>
  <c r="Y560" i="1"/>
  <c r="Z560" i="1" s="1"/>
  <c r="AD560" i="1" s="1"/>
  <c r="AF560" i="1" s="1"/>
  <c r="Y559" i="1"/>
  <c r="Z559" i="1" s="1"/>
  <c r="Y558" i="1"/>
  <c r="Z558" i="1" s="1"/>
  <c r="Y557" i="1"/>
  <c r="Z557" i="1" s="1"/>
  <c r="AD557" i="1" s="1"/>
  <c r="AF557" i="1" s="1"/>
  <c r="Y556" i="1"/>
  <c r="Z556" i="1" s="1"/>
  <c r="Y555" i="1"/>
  <c r="Z555" i="1" s="1"/>
  <c r="AD555" i="1" s="1"/>
  <c r="AF555" i="1" s="1"/>
  <c r="Y554" i="1"/>
  <c r="Z554" i="1" s="1"/>
  <c r="Y553" i="1"/>
  <c r="Z553" i="1" s="1"/>
  <c r="AD553" i="1" s="1"/>
  <c r="AF553" i="1" s="1"/>
  <c r="S553" i="1"/>
  <c r="S554" i="1"/>
  <c r="S555" i="1"/>
  <c r="S556" i="1"/>
  <c r="S557" i="1"/>
  <c r="S558" i="1"/>
  <c r="S559" i="1"/>
  <c r="S560" i="1"/>
  <c r="S561" i="1"/>
  <c r="S562" i="1"/>
  <c r="S563" i="1"/>
  <c r="S564" i="1"/>
  <c r="S565" i="1"/>
  <c r="S566" i="1"/>
  <c r="S567" i="1"/>
  <c r="S568" i="1"/>
  <c r="S569" i="1"/>
  <c r="S570" i="1"/>
  <c r="S571" i="1"/>
  <c r="S572" i="1"/>
  <c r="S573" i="1"/>
  <c r="S574" i="1"/>
  <c r="S575" i="1"/>
  <c r="S576" i="1"/>
  <c r="S577" i="1"/>
  <c r="S578" i="1"/>
  <c r="S579" i="1"/>
  <c r="S580" i="1"/>
  <c r="S581" i="1"/>
  <c r="S582" i="1"/>
  <c r="S583" i="1"/>
  <c r="S584" i="1"/>
  <c r="T553" i="1"/>
  <c r="T554" i="1"/>
  <c r="T555" i="1"/>
  <c r="T556" i="1"/>
  <c r="T557" i="1"/>
  <c r="T558" i="1"/>
  <c r="T559" i="1"/>
  <c r="T560" i="1"/>
  <c r="T561" i="1"/>
  <c r="T562" i="1"/>
  <c r="T563" i="1"/>
  <c r="T564" i="1"/>
  <c r="T565" i="1"/>
  <c r="T566" i="1"/>
  <c r="T567" i="1"/>
  <c r="T568" i="1"/>
  <c r="T569" i="1"/>
  <c r="T570" i="1"/>
  <c r="T571" i="1"/>
  <c r="T572" i="1"/>
  <c r="T573" i="1"/>
  <c r="T574" i="1"/>
  <c r="T575" i="1"/>
  <c r="T576" i="1"/>
  <c r="T577" i="1"/>
  <c r="T578" i="1"/>
  <c r="T579" i="1"/>
  <c r="T580" i="1"/>
  <c r="T581" i="1"/>
  <c r="T582" i="1"/>
  <c r="T583" i="1"/>
  <c r="T584" i="1"/>
  <c r="U553" i="1"/>
  <c r="U554" i="1"/>
  <c r="U555" i="1"/>
  <c r="U556" i="1"/>
  <c r="U557" i="1"/>
  <c r="U558" i="1"/>
  <c r="U559" i="1"/>
  <c r="U560" i="1"/>
  <c r="U561" i="1"/>
  <c r="U562" i="1"/>
  <c r="U563" i="1"/>
  <c r="U564" i="1"/>
  <c r="U565" i="1"/>
  <c r="U566" i="1"/>
  <c r="U567" i="1"/>
  <c r="U568" i="1"/>
  <c r="U569" i="1"/>
  <c r="U570" i="1"/>
  <c r="U571" i="1"/>
  <c r="U572" i="1"/>
  <c r="U573" i="1"/>
  <c r="U574" i="1"/>
  <c r="U575" i="1"/>
  <c r="U576" i="1"/>
  <c r="U577" i="1"/>
  <c r="U578" i="1"/>
  <c r="U579" i="1"/>
  <c r="U580" i="1"/>
  <c r="U581" i="1"/>
  <c r="U582" i="1"/>
  <c r="U583" i="1"/>
  <c r="U584" i="1"/>
  <c r="V553" i="1"/>
  <c r="V554" i="1"/>
  <c r="V555" i="1"/>
  <c r="V556" i="1"/>
  <c r="V557" i="1"/>
  <c r="V558" i="1"/>
  <c r="V559" i="1"/>
  <c r="V560" i="1"/>
  <c r="V561" i="1"/>
  <c r="V562" i="1"/>
  <c r="V563" i="1"/>
  <c r="V564" i="1"/>
  <c r="V565" i="1"/>
  <c r="V566" i="1"/>
  <c r="V567" i="1"/>
  <c r="V568" i="1"/>
  <c r="V569" i="1"/>
  <c r="V570" i="1"/>
  <c r="V571" i="1"/>
  <c r="V572" i="1"/>
  <c r="V573" i="1"/>
  <c r="V574" i="1"/>
  <c r="V575" i="1"/>
  <c r="V576" i="1"/>
  <c r="V577" i="1"/>
  <c r="V578" i="1"/>
  <c r="V579" i="1"/>
  <c r="V580" i="1"/>
  <c r="V581" i="1"/>
  <c r="V582" i="1"/>
  <c r="V583" i="1"/>
  <c r="V584" i="1"/>
  <c r="W553" i="1"/>
  <c r="W554" i="1"/>
  <c r="W555" i="1"/>
  <c r="W556" i="1"/>
  <c r="W557" i="1"/>
  <c r="W558" i="1"/>
  <c r="W559" i="1"/>
  <c r="W560" i="1"/>
  <c r="W561" i="1"/>
  <c r="W562" i="1"/>
  <c r="W563" i="1"/>
  <c r="W564" i="1"/>
  <c r="W565" i="1"/>
  <c r="W566" i="1"/>
  <c r="W567" i="1"/>
  <c r="W568" i="1"/>
  <c r="W569" i="1"/>
  <c r="W570" i="1"/>
  <c r="W571" i="1"/>
  <c r="W572" i="1"/>
  <c r="W573" i="1"/>
  <c r="W574" i="1"/>
  <c r="W575" i="1"/>
  <c r="W576" i="1"/>
  <c r="W577" i="1"/>
  <c r="W578" i="1"/>
  <c r="W579" i="1"/>
  <c r="W580" i="1"/>
  <c r="W581" i="1"/>
  <c r="W582" i="1"/>
  <c r="W583" i="1"/>
  <c r="W584" i="1"/>
  <c r="AB552" i="1"/>
  <c r="AC552" i="1" s="1"/>
  <c r="AB551" i="1"/>
  <c r="AC551" i="1" s="1"/>
  <c r="AB550" i="1"/>
  <c r="AC550" i="1" s="1"/>
  <c r="AB549" i="1"/>
  <c r="AC549" i="1" s="1"/>
  <c r="AB548" i="1"/>
  <c r="AC548" i="1" s="1"/>
  <c r="AB547" i="1"/>
  <c r="AC547" i="1" s="1"/>
  <c r="AB546" i="1"/>
  <c r="AC546" i="1" s="1"/>
  <c r="AB545" i="1"/>
  <c r="AC545" i="1" s="1"/>
  <c r="Y545" i="1"/>
  <c r="Z545" i="1" s="1"/>
  <c r="AB544" i="1"/>
  <c r="AC544" i="1" s="1"/>
  <c r="AB543" i="1"/>
  <c r="AC543" i="1" s="1"/>
  <c r="AB542" i="1"/>
  <c r="AC542" i="1" s="1"/>
  <c r="AB541" i="1"/>
  <c r="AC541" i="1" s="1"/>
  <c r="AB540" i="1"/>
  <c r="AC540" i="1" s="1"/>
  <c r="AB539" i="1"/>
  <c r="AC539" i="1" s="1"/>
  <c r="AB538" i="1"/>
  <c r="AC538" i="1" s="1"/>
  <c r="AB537" i="1"/>
  <c r="AC537" i="1" s="1"/>
  <c r="Y537" i="1"/>
  <c r="Z537" i="1" s="1"/>
  <c r="AB536" i="1"/>
  <c r="AC536" i="1" s="1"/>
  <c r="AB535" i="1"/>
  <c r="AC535" i="1" s="1"/>
  <c r="AB534" i="1"/>
  <c r="AC534" i="1" s="1"/>
  <c r="AB533" i="1"/>
  <c r="AC533" i="1" s="1"/>
  <c r="AB532" i="1"/>
  <c r="AC532" i="1" s="1"/>
  <c r="AB531" i="1"/>
  <c r="AC531" i="1" s="1"/>
  <c r="AB530" i="1"/>
  <c r="AC530" i="1" s="1"/>
  <c r="AB529" i="1"/>
  <c r="AC529" i="1" s="1"/>
  <c r="AB528" i="1"/>
  <c r="AC528" i="1" s="1"/>
  <c r="AB527" i="1"/>
  <c r="AC527" i="1" s="1"/>
  <c r="AB526" i="1"/>
  <c r="AC526" i="1" s="1"/>
  <c r="AB525" i="1"/>
  <c r="AC525" i="1" s="1"/>
  <c r="AB524" i="1"/>
  <c r="AC524" i="1" s="1"/>
  <c r="AB523" i="1"/>
  <c r="AC523" i="1" s="1"/>
  <c r="AB522" i="1"/>
  <c r="AC522" i="1" s="1"/>
  <c r="AB521" i="1"/>
  <c r="AC521" i="1" s="1"/>
  <c r="AB520" i="1"/>
  <c r="AC520" i="1" s="1"/>
  <c r="Y552" i="1"/>
  <c r="Z552" i="1" s="1"/>
  <c r="Y551" i="1"/>
  <c r="Z551" i="1" s="1"/>
  <c r="Y550" i="1"/>
  <c r="Z550" i="1" s="1"/>
  <c r="Y549" i="1"/>
  <c r="Z549" i="1" s="1"/>
  <c r="Y548" i="1"/>
  <c r="Z548" i="1" s="1"/>
  <c r="Y547" i="1"/>
  <c r="Z547" i="1" s="1"/>
  <c r="Y546" i="1"/>
  <c r="Z546" i="1" s="1"/>
  <c r="Y544" i="1"/>
  <c r="Z544" i="1" s="1"/>
  <c r="Y543" i="1"/>
  <c r="Z543" i="1" s="1"/>
  <c r="Y542" i="1"/>
  <c r="Z542" i="1" s="1"/>
  <c r="Y541" i="1"/>
  <c r="Z541" i="1" s="1"/>
  <c r="Y540" i="1"/>
  <c r="Z540" i="1" s="1"/>
  <c r="Y539" i="1"/>
  <c r="Z539" i="1" s="1"/>
  <c r="Y538" i="1"/>
  <c r="Z538" i="1" s="1"/>
  <c r="Y536" i="1"/>
  <c r="Z536" i="1" s="1"/>
  <c r="Y535" i="1"/>
  <c r="Z535" i="1" s="1"/>
  <c r="Y534" i="1"/>
  <c r="Z534" i="1" s="1"/>
  <c r="Y533" i="1"/>
  <c r="Z533" i="1" s="1"/>
  <c r="Y532" i="1"/>
  <c r="Z532" i="1" s="1"/>
  <c r="Y531" i="1"/>
  <c r="Z531" i="1" s="1"/>
  <c r="Y530" i="1"/>
  <c r="Z530" i="1" s="1"/>
  <c r="Y529" i="1"/>
  <c r="Z529" i="1" s="1"/>
  <c r="Y528" i="1"/>
  <c r="Z528" i="1" s="1"/>
  <c r="Y527" i="1"/>
  <c r="Z527" i="1" s="1"/>
  <c r="Y526" i="1"/>
  <c r="Z526" i="1" s="1"/>
  <c r="Y525" i="1"/>
  <c r="Z525" i="1" s="1"/>
  <c r="Y524" i="1"/>
  <c r="Z524" i="1" s="1"/>
  <c r="Y523" i="1"/>
  <c r="Z523" i="1" s="1"/>
  <c r="Y522" i="1"/>
  <c r="Z522" i="1" s="1"/>
  <c r="Y521" i="1"/>
  <c r="Z521" i="1" s="1"/>
  <c r="Y520" i="1"/>
  <c r="Z520" i="1" s="1"/>
  <c r="S531" i="1"/>
  <c r="S532" i="1"/>
  <c r="S533" i="1"/>
  <c r="S534" i="1"/>
  <c r="S535" i="1"/>
  <c r="S536" i="1"/>
  <c r="S537" i="1"/>
  <c r="S538" i="1"/>
  <c r="S539" i="1"/>
  <c r="S540" i="1"/>
  <c r="S541" i="1"/>
  <c r="T541" i="1"/>
  <c r="S542" i="1"/>
  <c r="S543" i="1"/>
  <c r="S544" i="1"/>
  <c r="S545" i="1"/>
  <c r="S546" i="1"/>
  <c r="S547" i="1"/>
  <c r="S548" i="1"/>
  <c r="S549" i="1"/>
  <c r="T549" i="1"/>
  <c r="S550" i="1"/>
  <c r="S551" i="1"/>
  <c r="S552" i="1"/>
  <c r="T531" i="1"/>
  <c r="T532" i="1"/>
  <c r="T533" i="1"/>
  <c r="T534" i="1"/>
  <c r="T535" i="1"/>
  <c r="T536" i="1"/>
  <c r="T537" i="1"/>
  <c r="T538" i="1"/>
  <c r="T539" i="1"/>
  <c r="T540" i="1"/>
  <c r="T542" i="1"/>
  <c r="T543" i="1"/>
  <c r="T544" i="1"/>
  <c r="T545" i="1"/>
  <c r="T546" i="1"/>
  <c r="T547" i="1"/>
  <c r="T548" i="1"/>
  <c r="T550" i="1"/>
  <c r="T551" i="1"/>
  <c r="T552" i="1"/>
  <c r="U531" i="1"/>
  <c r="U532" i="1"/>
  <c r="U533" i="1"/>
  <c r="U534" i="1"/>
  <c r="U535" i="1"/>
  <c r="U536" i="1"/>
  <c r="U537" i="1"/>
  <c r="U538" i="1"/>
  <c r="U539" i="1"/>
  <c r="U540" i="1"/>
  <c r="U541" i="1"/>
  <c r="U542" i="1"/>
  <c r="U543" i="1"/>
  <c r="U544" i="1"/>
  <c r="U545" i="1"/>
  <c r="U546" i="1"/>
  <c r="U547" i="1"/>
  <c r="U548" i="1"/>
  <c r="U549" i="1"/>
  <c r="U550" i="1"/>
  <c r="U551" i="1"/>
  <c r="U552" i="1"/>
  <c r="V531" i="1"/>
  <c r="V532" i="1"/>
  <c r="V533" i="1"/>
  <c r="V534" i="1"/>
  <c r="V535" i="1"/>
  <c r="V536" i="1"/>
  <c r="V537" i="1"/>
  <c r="V538" i="1"/>
  <c r="V539" i="1"/>
  <c r="V540" i="1"/>
  <c r="V541" i="1"/>
  <c r="V542" i="1"/>
  <c r="V543" i="1"/>
  <c r="V544" i="1"/>
  <c r="V545" i="1"/>
  <c r="V546" i="1"/>
  <c r="V547" i="1"/>
  <c r="V548" i="1"/>
  <c r="V549" i="1"/>
  <c r="V550" i="1"/>
  <c r="V551" i="1"/>
  <c r="V552" i="1"/>
  <c r="W531" i="1"/>
  <c r="W532" i="1"/>
  <c r="W533" i="1"/>
  <c r="W534" i="1"/>
  <c r="W535" i="1"/>
  <c r="W536" i="1"/>
  <c r="W537" i="1"/>
  <c r="W538" i="1"/>
  <c r="W539" i="1"/>
  <c r="W540" i="1"/>
  <c r="W541" i="1"/>
  <c r="W542" i="1"/>
  <c r="W543" i="1"/>
  <c r="W544" i="1"/>
  <c r="W545" i="1"/>
  <c r="W546" i="1"/>
  <c r="W547" i="1"/>
  <c r="W548" i="1"/>
  <c r="W549" i="1"/>
  <c r="W550" i="1"/>
  <c r="W551" i="1"/>
  <c r="W552" i="1"/>
  <c r="S523" i="1"/>
  <c r="S524" i="1"/>
  <c r="S525" i="1"/>
  <c r="S526" i="1"/>
  <c r="S527" i="1"/>
  <c r="S528" i="1"/>
  <c r="S529" i="1"/>
  <c r="S530" i="1"/>
  <c r="T523" i="1"/>
  <c r="T524" i="1"/>
  <c r="T525" i="1"/>
  <c r="T526" i="1"/>
  <c r="T527" i="1"/>
  <c r="T528" i="1"/>
  <c r="T529" i="1"/>
  <c r="T530" i="1"/>
  <c r="U523" i="1"/>
  <c r="U524" i="1"/>
  <c r="U525" i="1"/>
  <c r="U526" i="1"/>
  <c r="U527" i="1"/>
  <c r="U528" i="1"/>
  <c r="U529" i="1"/>
  <c r="U530" i="1"/>
  <c r="V523" i="1"/>
  <c r="V524" i="1"/>
  <c r="V525" i="1"/>
  <c r="V526" i="1"/>
  <c r="V527" i="1"/>
  <c r="V528" i="1"/>
  <c r="V529" i="1"/>
  <c r="V530" i="1"/>
  <c r="W523" i="1"/>
  <c r="W524" i="1"/>
  <c r="W525" i="1"/>
  <c r="W526" i="1"/>
  <c r="W527" i="1"/>
  <c r="W528" i="1"/>
  <c r="W529" i="1"/>
  <c r="W530" i="1"/>
  <c r="S522" i="1"/>
  <c r="T522" i="1"/>
  <c r="U522" i="1"/>
  <c r="V522" i="1"/>
  <c r="W522" i="1"/>
  <c r="S521" i="1"/>
  <c r="T521" i="1"/>
  <c r="U521" i="1"/>
  <c r="V521" i="1"/>
  <c r="W521" i="1"/>
  <c r="S520" i="1"/>
  <c r="T520" i="1"/>
  <c r="U520" i="1"/>
  <c r="V520" i="1"/>
  <c r="W520" i="1"/>
  <c r="AB283" i="1"/>
  <c r="AC283" i="1" s="1"/>
  <c r="AB282" i="1"/>
  <c r="AC282" i="1" s="1"/>
  <c r="AB281" i="1"/>
  <c r="AC281" i="1" s="1"/>
  <c r="AB280" i="1"/>
  <c r="AC280" i="1" s="1"/>
  <c r="AB279" i="1"/>
  <c r="AC279" i="1" s="1"/>
  <c r="AB278" i="1"/>
  <c r="AC278" i="1" s="1"/>
  <c r="AB277" i="1"/>
  <c r="AC277" i="1" s="1"/>
  <c r="AB276" i="1"/>
  <c r="AC276" i="1" s="1"/>
  <c r="AB275" i="1"/>
  <c r="AC275" i="1" s="1"/>
  <c r="AB274" i="1"/>
  <c r="AC274" i="1" s="1"/>
  <c r="AB273" i="1"/>
  <c r="AC273" i="1" s="1"/>
  <c r="AB272" i="1"/>
  <c r="AC272" i="1" s="1"/>
  <c r="AB271" i="1"/>
  <c r="AC271" i="1" s="1"/>
  <c r="AB270" i="1"/>
  <c r="AC270" i="1" s="1"/>
  <c r="AB31" i="1"/>
  <c r="AC31" i="1" s="1"/>
  <c r="AB269" i="1"/>
  <c r="AC269" i="1" s="1"/>
  <c r="AB268" i="1"/>
  <c r="AC268" i="1" s="1"/>
  <c r="AB267" i="1"/>
  <c r="AC267" i="1" s="1"/>
  <c r="AB266" i="1"/>
  <c r="AC266" i="1" s="1"/>
  <c r="AB265" i="1"/>
  <c r="AC265" i="1" s="1"/>
  <c r="AB264" i="1"/>
  <c r="AC264" i="1" s="1"/>
  <c r="AB263" i="1"/>
  <c r="AC263" i="1" s="1"/>
  <c r="AB262" i="1"/>
  <c r="AC262" i="1" s="1"/>
  <c r="AB261" i="1"/>
  <c r="AC261" i="1" s="1"/>
  <c r="AB260" i="1"/>
  <c r="AC260" i="1" s="1"/>
  <c r="AB259" i="1"/>
  <c r="AC259" i="1" s="1"/>
  <c r="AB258" i="1"/>
  <c r="AC258" i="1" s="1"/>
  <c r="AB257" i="1"/>
  <c r="AC257" i="1" s="1"/>
  <c r="AB256" i="1"/>
  <c r="AC256" i="1" s="1"/>
  <c r="AB255" i="1"/>
  <c r="AC255" i="1" s="1"/>
  <c r="AB254" i="1"/>
  <c r="AC254" i="1" s="1"/>
  <c r="AB253" i="1"/>
  <c r="AC253" i="1" s="1"/>
  <c r="AB252" i="1"/>
  <c r="AC252" i="1" s="1"/>
  <c r="AB251" i="1"/>
  <c r="AC251" i="1" s="1"/>
  <c r="AB250" i="1"/>
  <c r="AC250" i="1" s="1"/>
  <c r="AB249" i="1"/>
  <c r="AC249" i="1" s="1"/>
  <c r="AB248" i="1"/>
  <c r="AC248" i="1" s="1"/>
  <c r="AB247" i="1"/>
  <c r="AC247" i="1" s="1"/>
  <c r="AB246" i="1"/>
  <c r="AC246" i="1" s="1"/>
  <c r="AB245" i="1"/>
  <c r="AC245" i="1" s="1"/>
  <c r="AB244" i="1"/>
  <c r="AC244" i="1" s="1"/>
  <c r="AB243" i="1"/>
  <c r="AC243" i="1" s="1"/>
  <c r="AB242" i="1"/>
  <c r="AC242" i="1" s="1"/>
  <c r="AB241" i="1"/>
  <c r="AC241" i="1" s="1"/>
  <c r="AD241" i="1" s="1"/>
  <c r="AF241" i="1" s="1"/>
  <c r="AB240" i="1"/>
  <c r="AC240" i="1" s="1"/>
  <c r="AB239" i="1"/>
  <c r="AC239" i="1" s="1"/>
  <c r="AB238" i="1"/>
  <c r="AC238" i="1" s="1"/>
  <c r="AB237" i="1"/>
  <c r="AC237" i="1" s="1"/>
  <c r="AB236" i="1"/>
  <c r="AC236" i="1" s="1"/>
  <c r="AB235" i="1"/>
  <c r="AC235" i="1" s="1"/>
  <c r="AB234" i="1"/>
  <c r="AC234" i="1" s="1"/>
  <c r="AB233" i="1"/>
  <c r="AC233" i="1" s="1"/>
  <c r="AD233" i="1" s="1"/>
  <c r="AF233" i="1" s="1"/>
  <c r="AB232" i="1"/>
  <c r="AC232" i="1" s="1"/>
  <c r="AB231" i="1"/>
  <c r="AC231" i="1" s="1"/>
  <c r="AB495" i="1"/>
  <c r="AC495" i="1" s="1"/>
  <c r="AB494" i="1"/>
  <c r="AC494" i="1" s="1"/>
  <c r="AB493" i="1"/>
  <c r="AC493" i="1" s="1"/>
  <c r="AB492" i="1"/>
  <c r="AC492" i="1" s="1"/>
  <c r="AB473" i="1"/>
  <c r="AC473" i="1" s="1"/>
  <c r="AB178" i="1"/>
  <c r="AC178" i="1" s="1"/>
  <c r="AB177" i="1"/>
  <c r="AC177" i="1" s="1"/>
  <c r="AB176" i="1"/>
  <c r="AC176" i="1" s="1"/>
  <c r="AB175" i="1"/>
  <c r="AC175" i="1" s="1"/>
  <c r="AB174" i="1"/>
  <c r="AC174" i="1" s="1"/>
  <c r="AB173" i="1"/>
  <c r="AC173" i="1" s="1"/>
  <c r="AB172" i="1"/>
  <c r="AC172" i="1" s="1"/>
  <c r="AB171" i="1"/>
  <c r="AC171" i="1" s="1"/>
  <c r="AB170" i="1"/>
  <c r="AC170" i="1" s="1"/>
  <c r="AB169" i="1"/>
  <c r="AC169" i="1" s="1"/>
  <c r="AB168" i="1"/>
  <c r="AC168" i="1" s="1"/>
  <c r="AB167" i="1"/>
  <c r="AC167" i="1" s="1"/>
  <c r="AB166" i="1"/>
  <c r="AC166" i="1" s="1"/>
  <c r="AB165" i="1"/>
  <c r="AC165" i="1" s="1"/>
  <c r="AB164" i="1"/>
  <c r="AC164" i="1" s="1"/>
  <c r="AB163" i="1"/>
  <c r="AC163" i="1" s="1"/>
  <c r="AB162" i="1"/>
  <c r="AC162" i="1" s="1"/>
  <c r="AB161" i="1"/>
  <c r="AC161" i="1" s="1"/>
  <c r="AB160" i="1"/>
  <c r="AC160" i="1" s="1"/>
  <c r="AB159" i="1"/>
  <c r="AC159" i="1" s="1"/>
  <c r="AB158" i="1"/>
  <c r="AC158" i="1" s="1"/>
  <c r="AB157" i="1"/>
  <c r="AC157" i="1" s="1"/>
  <c r="AB156" i="1"/>
  <c r="AC156" i="1" s="1"/>
  <c r="AB155" i="1"/>
  <c r="AC155" i="1" s="1"/>
  <c r="AB154" i="1"/>
  <c r="AC154" i="1" s="1"/>
  <c r="AB153" i="1"/>
  <c r="AC153" i="1" s="1"/>
  <c r="AB152" i="1"/>
  <c r="AC152" i="1" s="1"/>
  <c r="AB151" i="1"/>
  <c r="AC151" i="1" s="1"/>
  <c r="AB150" i="1"/>
  <c r="AC150" i="1" s="1"/>
  <c r="AB149" i="1"/>
  <c r="AC149" i="1" s="1"/>
  <c r="AB148" i="1"/>
  <c r="AC148" i="1" s="1"/>
  <c r="AB147" i="1"/>
  <c r="AC147" i="1" s="1"/>
  <c r="AB146" i="1"/>
  <c r="AC146" i="1" s="1"/>
  <c r="AB145" i="1"/>
  <c r="AC145" i="1" s="1"/>
  <c r="AB144" i="1"/>
  <c r="AC144" i="1" s="1"/>
  <c r="AB143" i="1"/>
  <c r="AC143" i="1" s="1"/>
  <c r="AB142" i="1"/>
  <c r="AC142" i="1" s="1"/>
  <c r="AB141" i="1"/>
  <c r="AC141" i="1" s="1"/>
  <c r="AB140" i="1"/>
  <c r="AC140" i="1" s="1"/>
  <c r="AB139" i="1"/>
  <c r="AC139" i="1" s="1"/>
  <c r="AB138" i="1"/>
  <c r="AC138" i="1" s="1"/>
  <c r="AB137" i="1"/>
  <c r="AC137" i="1" s="1"/>
  <c r="AB26" i="1"/>
  <c r="AC26" i="1" s="1"/>
  <c r="AB136" i="1"/>
  <c r="AC136" i="1" s="1"/>
  <c r="AB135" i="1"/>
  <c r="AC135" i="1" s="1"/>
  <c r="AB134" i="1"/>
  <c r="AC134" i="1" s="1"/>
  <c r="AB133" i="1"/>
  <c r="AC133" i="1" s="1"/>
  <c r="AB132" i="1"/>
  <c r="AC132" i="1" s="1"/>
  <c r="AB131" i="1"/>
  <c r="AC131" i="1" s="1"/>
  <c r="AB130" i="1"/>
  <c r="AC130" i="1" s="1"/>
  <c r="AB129" i="1"/>
  <c r="AC129" i="1" s="1"/>
  <c r="AB128" i="1"/>
  <c r="AC128" i="1" s="1"/>
  <c r="AB127" i="1"/>
  <c r="AC127" i="1" s="1"/>
  <c r="AB126" i="1"/>
  <c r="AC126" i="1" s="1"/>
  <c r="AB125" i="1"/>
  <c r="AC125" i="1" s="1"/>
  <c r="AB124" i="1"/>
  <c r="AC124" i="1" s="1"/>
  <c r="AB123" i="1"/>
  <c r="AC123" i="1" s="1"/>
  <c r="AB122" i="1"/>
  <c r="AC122" i="1" s="1"/>
  <c r="AB121" i="1"/>
  <c r="AC121" i="1" s="1"/>
  <c r="AB120" i="1"/>
  <c r="AC120" i="1" s="1"/>
  <c r="AB119" i="1"/>
  <c r="AC119" i="1" s="1"/>
  <c r="AB118" i="1"/>
  <c r="AC118" i="1" s="1"/>
  <c r="AB117" i="1"/>
  <c r="AC117" i="1" s="1"/>
  <c r="AB116" i="1"/>
  <c r="AC116" i="1" s="1"/>
  <c r="AB115" i="1"/>
  <c r="AC115" i="1" s="1"/>
  <c r="AB114" i="1"/>
  <c r="AC114" i="1" s="1"/>
  <c r="AB113" i="1"/>
  <c r="AC113" i="1" s="1"/>
  <c r="AB112" i="1"/>
  <c r="AC112" i="1" s="1"/>
  <c r="AB111" i="1"/>
  <c r="AC111" i="1" s="1"/>
  <c r="AB110" i="1"/>
  <c r="AC110" i="1" s="1"/>
  <c r="AB109" i="1"/>
  <c r="AC109" i="1" s="1"/>
  <c r="AB108" i="1"/>
  <c r="AC108" i="1" s="1"/>
  <c r="AB107" i="1"/>
  <c r="AC107" i="1" s="1"/>
  <c r="AB106" i="1"/>
  <c r="AC106" i="1" s="1"/>
  <c r="AB105" i="1"/>
  <c r="AC105" i="1" s="1"/>
  <c r="AB104" i="1"/>
  <c r="AC104" i="1" s="1"/>
  <c r="AB103" i="1"/>
  <c r="AC103" i="1" s="1"/>
  <c r="AB102" i="1"/>
  <c r="AC102" i="1" s="1"/>
  <c r="AB101" i="1"/>
  <c r="AC101" i="1" s="1"/>
  <c r="AB100" i="1"/>
  <c r="AC100" i="1" s="1"/>
  <c r="AB99" i="1"/>
  <c r="AC99" i="1" s="1"/>
  <c r="AD99" i="1" s="1"/>
  <c r="AF99" i="1" s="1"/>
  <c r="AB98" i="1"/>
  <c r="AC98" i="1" s="1"/>
  <c r="AB97" i="1"/>
  <c r="AC97" i="1" s="1"/>
  <c r="AB96" i="1"/>
  <c r="AC96" i="1" s="1"/>
  <c r="AB95" i="1"/>
  <c r="AC95" i="1" s="1"/>
  <c r="AB94" i="1"/>
  <c r="AC94" i="1" s="1"/>
  <c r="AB93" i="1"/>
  <c r="AC93" i="1" s="1"/>
  <c r="AB92" i="1"/>
  <c r="AC92" i="1" s="1"/>
  <c r="AB91" i="1"/>
  <c r="AC91" i="1" s="1"/>
  <c r="AB90" i="1"/>
  <c r="AC90" i="1" s="1"/>
  <c r="AB89" i="1"/>
  <c r="AC89" i="1" s="1"/>
  <c r="AB88" i="1"/>
  <c r="AC88" i="1" s="1"/>
  <c r="AB87" i="1"/>
  <c r="AC87" i="1" s="1"/>
  <c r="AB86" i="1"/>
  <c r="AC86" i="1" s="1"/>
  <c r="AB85" i="1"/>
  <c r="AC85" i="1" s="1"/>
  <c r="AB84" i="1"/>
  <c r="AC84" i="1" s="1"/>
  <c r="AB25" i="1"/>
  <c r="AC25" i="1" s="1"/>
  <c r="AD25" i="1" s="1"/>
  <c r="AF25" i="1" s="1"/>
  <c r="AB83" i="1"/>
  <c r="AC83" i="1" s="1"/>
  <c r="AB24" i="1"/>
  <c r="AC24" i="1" s="1"/>
  <c r="AB82" i="1"/>
  <c r="AC82" i="1" s="1"/>
  <c r="AB519" i="1"/>
  <c r="AC519" i="1" s="1"/>
  <c r="AB518" i="1"/>
  <c r="AC518" i="1" s="1"/>
  <c r="AB517" i="1"/>
  <c r="AC517" i="1" s="1"/>
  <c r="AD517" i="1" s="1"/>
  <c r="AF517" i="1" s="1"/>
  <c r="AB516" i="1"/>
  <c r="AC516" i="1" s="1"/>
  <c r="AB515" i="1"/>
  <c r="AC515" i="1" s="1"/>
  <c r="AB514" i="1"/>
  <c r="AC514" i="1" s="1"/>
  <c r="AB486" i="1"/>
  <c r="AC486" i="1" s="1"/>
  <c r="AB485" i="1"/>
  <c r="AC485" i="1" s="1"/>
  <c r="AB484" i="1"/>
  <c r="AC484" i="1" s="1"/>
  <c r="AB483" i="1"/>
  <c r="AC483" i="1" s="1"/>
  <c r="AB482" i="1"/>
  <c r="AC482" i="1" s="1"/>
  <c r="AD482" i="1" s="1"/>
  <c r="AF482" i="1" s="1"/>
  <c r="AB513" i="1"/>
  <c r="AC513" i="1" s="1"/>
  <c r="AB481" i="1"/>
  <c r="AC481" i="1" s="1"/>
  <c r="AB500" i="1"/>
  <c r="AC500" i="1" s="1"/>
  <c r="AB480" i="1"/>
  <c r="AC480" i="1" s="1"/>
  <c r="AB504" i="1"/>
  <c r="AC504" i="1" s="1"/>
  <c r="AB479" i="1"/>
  <c r="AC479" i="1" s="1"/>
  <c r="AB469" i="1"/>
  <c r="AC469" i="1" s="1"/>
  <c r="AB468" i="1"/>
  <c r="AC468" i="1" s="1"/>
  <c r="AB478" i="1"/>
  <c r="AC478" i="1" s="1"/>
  <c r="AB467" i="1"/>
  <c r="AC467" i="1" s="1"/>
  <c r="AB466" i="1"/>
  <c r="AC466" i="1" s="1"/>
  <c r="AB331" i="1"/>
  <c r="AC331" i="1" s="1"/>
  <c r="AB330" i="1"/>
  <c r="AC330" i="1" s="1"/>
  <c r="AB329" i="1"/>
  <c r="AC329" i="1" s="1"/>
  <c r="AB328" i="1"/>
  <c r="AC328" i="1" s="1"/>
  <c r="AB327" i="1"/>
  <c r="AC327" i="1" s="1"/>
  <c r="AB326" i="1"/>
  <c r="AC326" i="1" s="1"/>
  <c r="AB325" i="1"/>
  <c r="AC325" i="1" s="1"/>
  <c r="AB324" i="1"/>
  <c r="AC324" i="1" s="1"/>
  <c r="AB323" i="1"/>
  <c r="AC323" i="1" s="1"/>
  <c r="AB322" i="1"/>
  <c r="AC322" i="1" s="1"/>
  <c r="AB321" i="1"/>
  <c r="AC321" i="1" s="1"/>
  <c r="AB320" i="1"/>
  <c r="AC320" i="1" s="1"/>
  <c r="AB319" i="1"/>
  <c r="AC319" i="1" s="1"/>
  <c r="AB318" i="1"/>
  <c r="AC318" i="1" s="1"/>
  <c r="AB317" i="1"/>
  <c r="AC317" i="1" s="1"/>
  <c r="AB316" i="1"/>
  <c r="AC316" i="1" s="1"/>
  <c r="AB315" i="1"/>
  <c r="AC315" i="1" s="1"/>
  <c r="AB314" i="1"/>
  <c r="AC314" i="1" s="1"/>
  <c r="AB313" i="1"/>
  <c r="AC313" i="1" s="1"/>
  <c r="AB312" i="1"/>
  <c r="AC312" i="1" s="1"/>
  <c r="AB311" i="1"/>
  <c r="AC311" i="1" s="1"/>
  <c r="AB310" i="1"/>
  <c r="AC310" i="1" s="1"/>
  <c r="AB309" i="1"/>
  <c r="AC309" i="1" s="1"/>
  <c r="AB308" i="1"/>
  <c r="AC308" i="1" s="1"/>
  <c r="AB307" i="1"/>
  <c r="AC307" i="1" s="1"/>
  <c r="AB306" i="1"/>
  <c r="AC306" i="1" s="1"/>
  <c r="AB305" i="1"/>
  <c r="AC305" i="1" s="1"/>
  <c r="AB304" i="1"/>
  <c r="AC304" i="1" s="1"/>
  <c r="AB303" i="1"/>
  <c r="AC303" i="1" s="1"/>
  <c r="AB302" i="1"/>
  <c r="AC302" i="1" s="1"/>
  <c r="AB301" i="1"/>
  <c r="AC301" i="1" s="1"/>
  <c r="AB300" i="1"/>
  <c r="AC300" i="1" s="1"/>
  <c r="AB299" i="1"/>
  <c r="AC299" i="1" s="1"/>
  <c r="AB298" i="1"/>
  <c r="AC298" i="1" s="1"/>
  <c r="AB297" i="1"/>
  <c r="AC297" i="1" s="1"/>
  <c r="AB296" i="1"/>
  <c r="AC296" i="1" s="1"/>
  <c r="AB295" i="1"/>
  <c r="AC295" i="1" s="1"/>
  <c r="AB294" i="1"/>
  <c r="AC294" i="1" s="1"/>
  <c r="AB293" i="1"/>
  <c r="AC293" i="1" s="1"/>
  <c r="AB292" i="1"/>
  <c r="AC292" i="1" s="1"/>
  <c r="AB291" i="1"/>
  <c r="AC291" i="1" s="1"/>
  <c r="AB290" i="1"/>
  <c r="AC290" i="1" s="1"/>
  <c r="AB289" i="1"/>
  <c r="AC289" i="1" s="1"/>
  <c r="AB288" i="1"/>
  <c r="AC288" i="1" s="1"/>
  <c r="AB287" i="1"/>
  <c r="AC287" i="1" s="1"/>
  <c r="AB286" i="1"/>
  <c r="AC286" i="1" s="1"/>
  <c r="AB509" i="1"/>
  <c r="AC509" i="1" s="1"/>
  <c r="AB508" i="1"/>
  <c r="AC508" i="1" s="1"/>
  <c r="AB507" i="1"/>
  <c r="AC507" i="1" s="1"/>
  <c r="AB501" i="1"/>
  <c r="AC501" i="1" s="1"/>
  <c r="AB506" i="1"/>
  <c r="AC506" i="1" s="1"/>
  <c r="AB505" i="1"/>
  <c r="AC505" i="1" s="1"/>
  <c r="AB285" i="1"/>
  <c r="AC285" i="1" s="1"/>
  <c r="AB497" i="1"/>
  <c r="AC497" i="1" s="1"/>
  <c r="AB496" i="1"/>
  <c r="AC496" i="1" s="1"/>
  <c r="AB284" i="1"/>
  <c r="AC284" i="1" s="1"/>
  <c r="AB389" i="1"/>
  <c r="AC389" i="1" s="1"/>
  <c r="AB388" i="1"/>
  <c r="AC388" i="1" s="1"/>
  <c r="AB387" i="1"/>
  <c r="AC387" i="1" s="1"/>
  <c r="AB386" i="1"/>
  <c r="AC386" i="1" s="1"/>
  <c r="AB385" i="1"/>
  <c r="AC385" i="1" s="1"/>
  <c r="AB384" i="1"/>
  <c r="AC384" i="1" s="1"/>
  <c r="AB383" i="1"/>
  <c r="AC383" i="1" s="1"/>
  <c r="AB382" i="1"/>
  <c r="AC382" i="1" s="1"/>
  <c r="AB381" i="1"/>
  <c r="AC381" i="1" s="1"/>
  <c r="AB380" i="1"/>
  <c r="AC380" i="1" s="1"/>
  <c r="AB379" i="1"/>
  <c r="AC379" i="1" s="1"/>
  <c r="AB378" i="1"/>
  <c r="AC378" i="1" s="1"/>
  <c r="AB377" i="1"/>
  <c r="AC377" i="1" s="1"/>
  <c r="AB376" i="1"/>
  <c r="AC376" i="1" s="1"/>
  <c r="AB375" i="1"/>
  <c r="AC375" i="1" s="1"/>
  <c r="AB374" i="1"/>
  <c r="AC374" i="1" s="1"/>
  <c r="AB373" i="1"/>
  <c r="AC373" i="1" s="1"/>
  <c r="AB372" i="1"/>
  <c r="AC372" i="1" s="1"/>
  <c r="AB371" i="1"/>
  <c r="AC371" i="1" s="1"/>
  <c r="AB370" i="1"/>
  <c r="AC370" i="1" s="1"/>
  <c r="AB369" i="1"/>
  <c r="AC369" i="1" s="1"/>
  <c r="AB368" i="1"/>
  <c r="AC368" i="1" s="1"/>
  <c r="AB367" i="1"/>
  <c r="AC367" i="1" s="1"/>
  <c r="AB366" i="1"/>
  <c r="AC366" i="1" s="1"/>
  <c r="AB365" i="1"/>
  <c r="AC365" i="1" s="1"/>
  <c r="AB364" i="1"/>
  <c r="AC364" i="1" s="1"/>
  <c r="AB363" i="1"/>
  <c r="AC363" i="1" s="1"/>
  <c r="AB362" i="1"/>
  <c r="AC362" i="1" s="1"/>
  <c r="AB361" i="1"/>
  <c r="AC361" i="1" s="1"/>
  <c r="AB360" i="1"/>
  <c r="AC360" i="1" s="1"/>
  <c r="AB359" i="1"/>
  <c r="AC359" i="1" s="1"/>
  <c r="AB358" i="1"/>
  <c r="AC358" i="1" s="1"/>
  <c r="AB357" i="1"/>
  <c r="AC357" i="1" s="1"/>
  <c r="AB356" i="1"/>
  <c r="AC356" i="1" s="1"/>
  <c r="AB355" i="1"/>
  <c r="AC355" i="1" s="1"/>
  <c r="AB354" i="1"/>
  <c r="AC354" i="1" s="1"/>
  <c r="AB353" i="1"/>
  <c r="AC353" i="1" s="1"/>
  <c r="AB352" i="1"/>
  <c r="AC352" i="1" s="1"/>
  <c r="AB351" i="1"/>
  <c r="AC351" i="1" s="1"/>
  <c r="AB350" i="1"/>
  <c r="AC350" i="1" s="1"/>
  <c r="AB34" i="1"/>
  <c r="AC34" i="1" s="1"/>
  <c r="AB349" i="1"/>
  <c r="AC349" i="1" s="1"/>
  <c r="AB348" i="1"/>
  <c r="AC348" i="1" s="1"/>
  <c r="AB347" i="1"/>
  <c r="AC347" i="1" s="1"/>
  <c r="AB346" i="1"/>
  <c r="AC346" i="1" s="1"/>
  <c r="AB345" i="1"/>
  <c r="AC345" i="1" s="1"/>
  <c r="AB344" i="1"/>
  <c r="AC344" i="1" s="1"/>
  <c r="AB343" i="1"/>
  <c r="AC343" i="1" s="1"/>
  <c r="AB342" i="1"/>
  <c r="AC342" i="1" s="1"/>
  <c r="AB341" i="1"/>
  <c r="AC341" i="1" s="1"/>
  <c r="AB340" i="1"/>
  <c r="AC340" i="1" s="1"/>
  <c r="AB339" i="1"/>
  <c r="AC339" i="1" s="1"/>
  <c r="AB33" i="1"/>
  <c r="AC33" i="1" s="1"/>
  <c r="AB32" i="1"/>
  <c r="AC32" i="1" s="1"/>
  <c r="AB338" i="1"/>
  <c r="AC338" i="1" s="1"/>
  <c r="AB337" i="1"/>
  <c r="AC337" i="1" s="1"/>
  <c r="AB336" i="1"/>
  <c r="AC336" i="1" s="1"/>
  <c r="AB335" i="1"/>
  <c r="AC335" i="1" s="1"/>
  <c r="AB334" i="1"/>
  <c r="AC334" i="1" s="1"/>
  <c r="AB333" i="1"/>
  <c r="AC333" i="1" s="1"/>
  <c r="AB332" i="1"/>
  <c r="AC332" i="1" s="1"/>
  <c r="AB21" i="1"/>
  <c r="AC21" i="1" s="1"/>
  <c r="AB78" i="1"/>
  <c r="AC78" i="1" s="1"/>
  <c r="AB20" i="1"/>
  <c r="AC20" i="1" s="1"/>
  <c r="AB77" i="1"/>
  <c r="AC77" i="1" s="1"/>
  <c r="AB76" i="1"/>
  <c r="AC76" i="1" s="1"/>
  <c r="AB75" i="1"/>
  <c r="AC75" i="1" s="1"/>
  <c r="AB74" i="1"/>
  <c r="AC74" i="1" s="1"/>
  <c r="AB73" i="1"/>
  <c r="AC73" i="1" s="1"/>
  <c r="AB19" i="1"/>
  <c r="AC19" i="1" s="1"/>
  <c r="AB72" i="1"/>
  <c r="AC72" i="1" s="1"/>
  <c r="AB71" i="1"/>
  <c r="AC71" i="1" s="1"/>
  <c r="AB70" i="1"/>
  <c r="AC70" i="1" s="1"/>
  <c r="AB18" i="1"/>
  <c r="AC18" i="1" s="1"/>
  <c r="AB69" i="1"/>
  <c r="AC69" i="1" s="1"/>
  <c r="AB68" i="1"/>
  <c r="AC68" i="1" s="1"/>
  <c r="AB67" i="1"/>
  <c r="AC67" i="1" s="1"/>
  <c r="AB66" i="1"/>
  <c r="AC66" i="1" s="1"/>
  <c r="AB17" i="1"/>
  <c r="AC17" i="1" s="1"/>
  <c r="AB65" i="1"/>
  <c r="AC65" i="1" s="1"/>
  <c r="AB64" i="1"/>
  <c r="AC64" i="1" s="1"/>
  <c r="AB491" i="1"/>
  <c r="AC491" i="1" s="1"/>
  <c r="AB490" i="1"/>
  <c r="AC490" i="1" s="1"/>
  <c r="AB489" i="1"/>
  <c r="AC489" i="1" s="1"/>
  <c r="AB472" i="1"/>
  <c r="AC472" i="1" s="1"/>
  <c r="AB471" i="1"/>
  <c r="AC471" i="1" s="1"/>
  <c r="AB470" i="1"/>
  <c r="AC470" i="1" s="1"/>
  <c r="AB488" i="1"/>
  <c r="AC488" i="1" s="1"/>
  <c r="AB487" i="1"/>
  <c r="AC487" i="1" s="1"/>
  <c r="AB230" i="1"/>
  <c r="AC230" i="1" s="1"/>
  <c r="AB229" i="1"/>
  <c r="AC229" i="1" s="1"/>
  <c r="AB228" i="1"/>
  <c r="AC228" i="1" s="1"/>
  <c r="AB227" i="1"/>
  <c r="AC227" i="1" s="1"/>
  <c r="AB226" i="1"/>
  <c r="AC226" i="1" s="1"/>
  <c r="AB225" i="1"/>
  <c r="AC225" i="1" s="1"/>
  <c r="AB224" i="1"/>
  <c r="AC224" i="1" s="1"/>
  <c r="AB223" i="1"/>
  <c r="AC223" i="1" s="1"/>
  <c r="AB222" i="1"/>
  <c r="AC222" i="1" s="1"/>
  <c r="AB221" i="1"/>
  <c r="AC221" i="1" s="1"/>
  <c r="AB220" i="1"/>
  <c r="AC220" i="1" s="1"/>
  <c r="AB219" i="1"/>
  <c r="AC219" i="1" s="1"/>
  <c r="AB218" i="1"/>
  <c r="AC218" i="1" s="1"/>
  <c r="AB30" i="1"/>
  <c r="AC30" i="1" s="1"/>
  <c r="AB217" i="1"/>
  <c r="AC217" i="1" s="1"/>
  <c r="AB29" i="1"/>
  <c r="AC29" i="1" s="1"/>
  <c r="AB216" i="1"/>
  <c r="AC216" i="1" s="1"/>
  <c r="AB28" i="1"/>
  <c r="AC28" i="1" s="1"/>
  <c r="AB215" i="1"/>
  <c r="AC215" i="1" s="1"/>
  <c r="AB214" i="1"/>
  <c r="AC214" i="1" s="1"/>
  <c r="AB213" i="1"/>
  <c r="AC213" i="1" s="1"/>
  <c r="AB212" i="1"/>
  <c r="AC212" i="1" s="1"/>
  <c r="AB211" i="1"/>
  <c r="AC211" i="1" s="1"/>
  <c r="AB210" i="1"/>
  <c r="AC210" i="1" s="1"/>
  <c r="AB209" i="1"/>
  <c r="AC209" i="1" s="1"/>
  <c r="AB208" i="1"/>
  <c r="AC208" i="1" s="1"/>
  <c r="AB27" i="1"/>
  <c r="AC27" i="1" s="1"/>
  <c r="AB207" i="1"/>
  <c r="AC207" i="1" s="1"/>
  <c r="AB206" i="1"/>
  <c r="AC206" i="1" s="1"/>
  <c r="AB205" i="1"/>
  <c r="AC205" i="1" s="1"/>
  <c r="AB204" i="1"/>
  <c r="AC204" i="1" s="1"/>
  <c r="AB203" i="1"/>
  <c r="AC203" i="1" s="1"/>
  <c r="AB202" i="1"/>
  <c r="AC202" i="1" s="1"/>
  <c r="AB201" i="1"/>
  <c r="AC201" i="1" s="1"/>
  <c r="AB200" i="1"/>
  <c r="AC200" i="1" s="1"/>
  <c r="AB199" i="1"/>
  <c r="AC199" i="1" s="1"/>
  <c r="AB198" i="1"/>
  <c r="AC198" i="1" s="1"/>
  <c r="AB197" i="1"/>
  <c r="AC197" i="1" s="1"/>
  <c r="AB196" i="1"/>
  <c r="AC196" i="1" s="1"/>
  <c r="AB195" i="1"/>
  <c r="AC195" i="1" s="1"/>
  <c r="AB194" i="1"/>
  <c r="AC194" i="1" s="1"/>
  <c r="AB193" i="1"/>
  <c r="AC193" i="1" s="1"/>
  <c r="AB192" i="1"/>
  <c r="AC192" i="1" s="1"/>
  <c r="AB191" i="1"/>
  <c r="AC191" i="1" s="1"/>
  <c r="AB190" i="1"/>
  <c r="AC190" i="1" s="1"/>
  <c r="AB189" i="1"/>
  <c r="AC189" i="1" s="1"/>
  <c r="AB188" i="1"/>
  <c r="AC188" i="1" s="1"/>
  <c r="AB187" i="1"/>
  <c r="AC187" i="1" s="1"/>
  <c r="AB186" i="1"/>
  <c r="AC186" i="1" s="1"/>
  <c r="AB185" i="1"/>
  <c r="AC185" i="1" s="1"/>
  <c r="AB184" i="1"/>
  <c r="AC184" i="1" s="1"/>
  <c r="AB183" i="1"/>
  <c r="AC183" i="1" s="1"/>
  <c r="AB182" i="1"/>
  <c r="AC182" i="1" s="1"/>
  <c r="AB181" i="1"/>
  <c r="AC181" i="1" s="1"/>
  <c r="AB180" i="1"/>
  <c r="AC180" i="1" s="1"/>
  <c r="AB179" i="1"/>
  <c r="AC179" i="1" s="1"/>
  <c r="AB503" i="1"/>
  <c r="AC503" i="1" s="1"/>
  <c r="AB477" i="1"/>
  <c r="AC477" i="1" s="1"/>
  <c r="AB476" i="1"/>
  <c r="AC476" i="1" s="1"/>
  <c r="AB512" i="1"/>
  <c r="AC512" i="1" s="1"/>
  <c r="AB431" i="1"/>
  <c r="AC431" i="1" s="1"/>
  <c r="AB511" i="1"/>
  <c r="AC511" i="1" s="1"/>
  <c r="AB16" i="1"/>
  <c r="AC16" i="1" s="1"/>
  <c r="AB499" i="1"/>
  <c r="AC499" i="1" s="1"/>
  <c r="AB475" i="1"/>
  <c r="AC475" i="1" s="1"/>
  <c r="AB474" i="1"/>
  <c r="AC474" i="1" s="1"/>
  <c r="AB502" i="1"/>
  <c r="AC502" i="1" s="1"/>
  <c r="AB430" i="1"/>
  <c r="AC430" i="1" s="1"/>
  <c r="AB510" i="1"/>
  <c r="AC510" i="1" s="1"/>
  <c r="AB63" i="1"/>
  <c r="AC63" i="1" s="1"/>
  <c r="AB62" i="1"/>
  <c r="AC62" i="1" s="1"/>
  <c r="AB61" i="1"/>
  <c r="AC61" i="1" s="1"/>
  <c r="AB60" i="1"/>
  <c r="AC60" i="1" s="1"/>
  <c r="AB59" i="1"/>
  <c r="AC59" i="1" s="1"/>
  <c r="AB58" i="1"/>
  <c r="AC58" i="1" s="1"/>
  <c r="AB15" i="1"/>
  <c r="AC15" i="1" s="1"/>
  <c r="AB57" i="1"/>
  <c r="AC57" i="1" s="1"/>
  <c r="AB429" i="1"/>
  <c r="AC429" i="1" s="1"/>
  <c r="AB14" i="1"/>
  <c r="AC14" i="1" s="1"/>
  <c r="AB428" i="1"/>
  <c r="AC428" i="1" s="1"/>
  <c r="AB427" i="1"/>
  <c r="AC427" i="1" s="1"/>
  <c r="AB426" i="1"/>
  <c r="AC426" i="1" s="1"/>
  <c r="AB425" i="1"/>
  <c r="AC425" i="1" s="1"/>
  <c r="AB56" i="1"/>
  <c r="AC56" i="1" s="1"/>
  <c r="AB55" i="1"/>
  <c r="AC55" i="1" s="1"/>
  <c r="AB54" i="1"/>
  <c r="AC54" i="1" s="1"/>
  <c r="AB53" i="1"/>
  <c r="AC53" i="1" s="1"/>
  <c r="AB13" i="1"/>
  <c r="AC13" i="1" s="1"/>
  <c r="AB424" i="1"/>
  <c r="AC424" i="1" s="1"/>
  <c r="AB52" i="1"/>
  <c r="AC52" i="1" s="1"/>
  <c r="AB423" i="1"/>
  <c r="AC423" i="1" s="1"/>
  <c r="AB51" i="1"/>
  <c r="AC51" i="1" s="1"/>
  <c r="AB50" i="1"/>
  <c r="AC50" i="1" s="1"/>
  <c r="AB422" i="1"/>
  <c r="AC422" i="1" s="1"/>
  <c r="AB421" i="1"/>
  <c r="AC421" i="1" s="1"/>
  <c r="AB49" i="1"/>
  <c r="AC49" i="1" s="1"/>
  <c r="AB48" i="1"/>
  <c r="AC48" i="1" s="1"/>
  <c r="AB12" i="1"/>
  <c r="AC12" i="1" s="1"/>
  <c r="AB23" i="1"/>
  <c r="AC23" i="1" s="1"/>
  <c r="AB81" i="1"/>
  <c r="AC81" i="1" s="1"/>
  <c r="AB22" i="1"/>
  <c r="AC22" i="1" s="1"/>
  <c r="AB80" i="1"/>
  <c r="AC80" i="1" s="1"/>
  <c r="AB79" i="1"/>
  <c r="AC79" i="1" s="1"/>
  <c r="AB442" i="1"/>
  <c r="AC442" i="1" s="1"/>
  <c r="AB441" i="1"/>
  <c r="AC441" i="1" s="1"/>
  <c r="AB440" i="1"/>
  <c r="AC440" i="1" s="1"/>
  <c r="AB439" i="1"/>
  <c r="AC439" i="1" s="1"/>
  <c r="AB438" i="1"/>
  <c r="AC438" i="1" s="1"/>
  <c r="AB437" i="1"/>
  <c r="AC437" i="1" s="1"/>
  <c r="AB436" i="1"/>
  <c r="AC436" i="1" s="1"/>
  <c r="AB435" i="1"/>
  <c r="AC435" i="1" s="1"/>
  <c r="AB434" i="1"/>
  <c r="AC434" i="1" s="1"/>
  <c r="AB433" i="1"/>
  <c r="AC433" i="1" s="1"/>
  <c r="AB432" i="1"/>
  <c r="AC432" i="1" s="1"/>
  <c r="AB465" i="1"/>
  <c r="AC465" i="1" s="1"/>
  <c r="AB464" i="1"/>
  <c r="AC464" i="1" s="1"/>
  <c r="AB463" i="1"/>
  <c r="AC463" i="1" s="1"/>
  <c r="AB462" i="1"/>
  <c r="AC462" i="1" s="1"/>
  <c r="AB461" i="1"/>
  <c r="AC461" i="1" s="1"/>
  <c r="AB460" i="1"/>
  <c r="AC460" i="1" s="1"/>
  <c r="AB459" i="1"/>
  <c r="AC459" i="1" s="1"/>
  <c r="AB458" i="1"/>
  <c r="AC458" i="1" s="1"/>
  <c r="AB457" i="1"/>
  <c r="AC457" i="1" s="1"/>
  <c r="AB456" i="1"/>
  <c r="AC456" i="1" s="1"/>
  <c r="AB455" i="1"/>
  <c r="AC455" i="1" s="1"/>
  <c r="AB454" i="1"/>
  <c r="AC454" i="1" s="1"/>
  <c r="AB453" i="1"/>
  <c r="AC453" i="1" s="1"/>
  <c r="AB452" i="1"/>
  <c r="AC452" i="1" s="1"/>
  <c r="AB451" i="1"/>
  <c r="AC451" i="1" s="1"/>
  <c r="AB450" i="1"/>
  <c r="AC450" i="1" s="1"/>
  <c r="AB449" i="1"/>
  <c r="AC449" i="1" s="1"/>
  <c r="AB448" i="1"/>
  <c r="AC448" i="1" s="1"/>
  <c r="AB447" i="1"/>
  <c r="AC447" i="1" s="1"/>
  <c r="AB446" i="1"/>
  <c r="AC446" i="1" s="1"/>
  <c r="AB445" i="1"/>
  <c r="AC445" i="1" s="1"/>
  <c r="AB444" i="1"/>
  <c r="AC444" i="1" s="1"/>
  <c r="AB443" i="1"/>
  <c r="AC443" i="1" s="1"/>
  <c r="AB420" i="1"/>
  <c r="AC420" i="1" s="1"/>
  <c r="AB419" i="1"/>
  <c r="AC419" i="1" s="1"/>
  <c r="AB418" i="1"/>
  <c r="AC418" i="1" s="1"/>
  <c r="AB417" i="1"/>
  <c r="AC417" i="1" s="1"/>
  <c r="AB416" i="1"/>
  <c r="AC416" i="1" s="1"/>
  <c r="AB415" i="1"/>
  <c r="AC415" i="1" s="1"/>
  <c r="AB414" i="1"/>
  <c r="AC414" i="1" s="1"/>
  <c r="AB413" i="1"/>
  <c r="AC413" i="1" s="1"/>
  <c r="AB412" i="1"/>
  <c r="AC412" i="1" s="1"/>
  <c r="AB411" i="1"/>
  <c r="AC411" i="1" s="1"/>
  <c r="AB410" i="1"/>
  <c r="AC410" i="1" s="1"/>
  <c r="AB409" i="1"/>
  <c r="AC409" i="1" s="1"/>
  <c r="AB408" i="1"/>
  <c r="AC408" i="1" s="1"/>
  <c r="AB407" i="1"/>
  <c r="AC407" i="1" s="1"/>
  <c r="AB406" i="1"/>
  <c r="AC406" i="1" s="1"/>
  <c r="AB405" i="1"/>
  <c r="AC405" i="1" s="1"/>
  <c r="AB404" i="1"/>
  <c r="AC404" i="1" s="1"/>
  <c r="AB403" i="1"/>
  <c r="AC403" i="1" s="1"/>
  <c r="AB402" i="1"/>
  <c r="AC402" i="1" s="1"/>
  <c r="AB401" i="1"/>
  <c r="AC401" i="1" s="1"/>
  <c r="AB400" i="1"/>
  <c r="AC400" i="1" s="1"/>
  <c r="AB399" i="1"/>
  <c r="AC399" i="1" s="1"/>
  <c r="AB398" i="1"/>
  <c r="AC398" i="1" s="1"/>
  <c r="AB397" i="1"/>
  <c r="AC397" i="1" s="1"/>
  <c r="AB396" i="1"/>
  <c r="AC396" i="1" s="1"/>
  <c r="AB395" i="1"/>
  <c r="AC395" i="1" s="1"/>
  <c r="AB394" i="1"/>
  <c r="AC394" i="1" s="1"/>
  <c r="AB393" i="1"/>
  <c r="AC393" i="1" s="1"/>
  <c r="AB392" i="1"/>
  <c r="AC392" i="1" s="1"/>
  <c r="AB391" i="1"/>
  <c r="AC391" i="1" s="1"/>
  <c r="AB390" i="1"/>
  <c r="AC390" i="1" s="1"/>
  <c r="Y283" i="1"/>
  <c r="Z283" i="1" s="1"/>
  <c r="Y282" i="1"/>
  <c r="Z282" i="1" s="1"/>
  <c r="Y281" i="1"/>
  <c r="Z281" i="1" s="1"/>
  <c r="Y280" i="1"/>
  <c r="Z280" i="1" s="1"/>
  <c r="Y279" i="1"/>
  <c r="Z279" i="1" s="1"/>
  <c r="Y278" i="1"/>
  <c r="Z278" i="1" s="1"/>
  <c r="AD278" i="1" s="1"/>
  <c r="AF278" i="1" s="1"/>
  <c r="Y277" i="1"/>
  <c r="Z277" i="1" s="1"/>
  <c r="Y276" i="1"/>
  <c r="Z276" i="1" s="1"/>
  <c r="Y275" i="1"/>
  <c r="Z275" i="1" s="1"/>
  <c r="Y274" i="1"/>
  <c r="Z274" i="1" s="1"/>
  <c r="Y273" i="1"/>
  <c r="Z273" i="1" s="1"/>
  <c r="Y272" i="1"/>
  <c r="Z272" i="1" s="1"/>
  <c r="Y271" i="1"/>
  <c r="Z271" i="1" s="1"/>
  <c r="Y270" i="1"/>
  <c r="Z270" i="1" s="1"/>
  <c r="AD270" i="1" s="1"/>
  <c r="AF270" i="1" s="1"/>
  <c r="Y31" i="1"/>
  <c r="Z31" i="1" s="1"/>
  <c r="Y269" i="1"/>
  <c r="Z269" i="1" s="1"/>
  <c r="Y268" i="1"/>
  <c r="Z268" i="1" s="1"/>
  <c r="Y267" i="1"/>
  <c r="Z267" i="1" s="1"/>
  <c r="Y266" i="1"/>
  <c r="Z266" i="1" s="1"/>
  <c r="Y265" i="1"/>
  <c r="Z265" i="1" s="1"/>
  <c r="Y264" i="1"/>
  <c r="Z264" i="1" s="1"/>
  <c r="Y263" i="1"/>
  <c r="Z263" i="1" s="1"/>
  <c r="Y262" i="1"/>
  <c r="Z262" i="1" s="1"/>
  <c r="Y261" i="1"/>
  <c r="Z261" i="1" s="1"/>
  <c r="Y260" i="1"/>
  <c r="Z260" i="1" s="1"/>
  <c r="Y259" i="1"/>
  <c r="Z259" i="1" s="1"/>
  <c r="Y258" i="1"/>
  <c r="Z258" i="1" s="1"/>
  <c r="Y257" i="1"/>
  <c r="Z257" i="1" s="1"/>
  <c r="Y256" i="1"/>
  <c r="Z256" i="1" s="1"/>
  <c r="Y255" i="1"/>
  <c r="Z255" i="1" s="1"/>
  <c r="Y254" i="1"/>
  <c r="Z254" i="1" s="1"/>
  <c r="Y253" i="1"/>
  <c r="Z253" i="1" s="1"/>
  <c r="Y252" i="1"/>
  <c r="Z252" i="1" s="1"/>
  <c r="Y251" i="1"/>
  <c r="Z251" i="1" s="1"/>
  <c r="Y250" i="1"/>
  <c r="Z250" i="1" s="1"/>
  <c r="Y249" i="1"/>
  <c r="Z249" i="1" s="1"/>
  <c r="Y248" i="1"/>
  <c r="Z248" i="1" s="1"/>
  <c r="Y247" i="1"/>
  <c r="Z247" i="1" s="1"/>
  <c r="AD247" i="1" s="1"/>
  <c r="AF247" i="1" s="1"/>
  <c r="Y246" i="1"/>
  <c r="Z246" i="1" s="1"/>
  <c r="Y245" i="1"/>
  <c r="Z245" i="1" s="1"/>
  <c r="Y244" i="1"/>
  <c r="Z244" i="1" s="1"/>
  <c r="Y243" i="1"/>
  <c r="Z243" i="1" s="1"/>
  <c r="Y242" i="1"/>
  <c r="Z242" i="1" s="1"/>
  <c r="Y241" i="1"/>
  <c r="Z241" i="1" s="1"/>
  <c r="Y240" i="1"/>
  <c r="Z240" i="1" s="1"/>
  <c r="Y239" i="1"/>
  <c r="Z239" i="1" s="1"/>
  <c r="AD239" i="1" s="1"/>
  <c r="AF239" i="1" s="1"/>
  <c r="Y238" i="1"/>
  <c r="Z238" i="1" s="1"/>
  <c r="Y237" i="1"/>
  <c r="Z237" i="1" s="1"/>
  <c r="Y236" i="1"/>
  <c r="Z236" i="1" s="1"/>
  <c r="Y235" i="1"/>
  <c r="Z235" i="1" s="1"/>
  <c r="Y234" i="1"/>
  <c r="Z234" i="1" s="1"/>
  <c r="Y233" i="1"/>
  <c r="Z233" i="1" s="1"/>
  <c r="Y232" i="1"/>
  <c r="Z232" i="1" s="1"/>
  <c r="Y231" i="1"/>
  <c r="Z231" i="1" s="1"/>
  <c r="AD231" i="1" s="1"/>
  <c r="AF231" i="1" s="1"/>
  <c r="Y495" i="1"/>
  <c r="Z495" i="1" s="1"/>
  <c r="Y494" i="1"/>
  <c r="Z494" i="1" s="1"/>
  <c r="Y493" i="1"/>
  <c r="Z493" i="1" s="1"/>
  <c r="Y492" i="1"/>
  <c r="Z492" i="1" s="1"/>
  <c r="Y473" i="1"/>
  <c r="Z473" i="1" s="1"/>
  <c r="Y178" i="1"/>
  <c r="Z178" i="1" s="1"/>
  <c r="Y177" i="1"/>
  <c r="Z177" i="1" s="1"/>
  <c r="Y176" i="1"/>
  <c r="Z176" i="1" s="1"/>
  <c r="Y175" i="1"/>
  <c r="Z175" i="1" s="1"/>
  <c r="Y174" i="1"/>
  <c r="Z174" i="1" s="1"/>
  <c r="Y173" i="1"/>
  <c r="Z173" i="1" s="1"/>
  <c r="Y172" i="1"/>
  <c r="Z172" i="1" s="1"/>
  <c r="Y171" i="1"/>
  <c r="Z171" i="1" s="1"/>
  <c r="Y170" i="1"/>
  <c r="Z170" i="1" s="1"/>
  <c r="Y169" i="1"/>
  <c r="Z169" i="1" s="1"/>
  <c r="Y168" i="1"/>
  <c r="Z168" i="1" s="1"/>
  <c r="AD168" i="1" s="1"/>
  <c r="AF168" i="1" s="1"/>
  <c r="Y167" i="1"/>
  <c r="Z167" i="1" s="1"/>
  <c r="Y166" i="1"/>
  <c r="Z166" i="1" s="1"/>
  <c r="Y165" i="1"/>
  <c r="Z165" i="1" s="1"/>
  <c r="Y164" i="1"/>
  <c r="Z164" i="1" s="1"/>
  <c r="Y163" i="1"/>
  <c r="Z163" i="1" s="1"/>
  <c r="Y162" i="1"/>
  <c r="Z162" i="1" s="1"/>
  <c r="Y161" i="1"/>
  <c r="Z161" i="1" s="1"/>
  <c r="Y160" i="1"/>
  <c r="Z160" i="1" s="1"/>
  <c r="AD160" i="1" s="1"/>
  <c r="AF160" i="1" s="1"/>
  <c r="Y159" i="1"/>
  <c r="Z159" i="1" s="1"/>
  <c r="Y158" i="1"/>
  <c r="Z158" i="1" s="1"/>
  <c r="Y157" i="1"/>
  <c r="Z157" i="1" s="1"/>
  <c r="Y156" i="1"/>
  <c r="Z156" i="1" s="1"/>
  <c r="Y155" i="1"/>
  <c r="Z155" i="1" s="1"/>
  <c r="Y154" i="1"/>
  <c r="Z154" i="1" s="1"/>
  <c r="Y153" i="1"/>
  <c r="Z153" i="1" s="1"/>
  <c r="Y152" i="1"/>
  <c r="Z152" i="1" s="1"/>
  <c r="AD152" i="1" s="1"/>
  <c r="AF152" i="1" s="1"/>
  <c r="Y151" i="1"/>
  <c r="Z151" i="1" s="1"/>
  <c r="Y150" i="1"/>
  <c r="Z150" i="1" s="1"/>
  <c r="Y149" i="1"/>
  <c r="Z149" i="1" s="1"/>
  <c r="Y148" i="1"/>
  <c r="Z148" i="1" s="1"/>
  <c r="Y147" i="1"/>
  <c r="Z147" i="1" s="1"/>
  <c r="Y146" i="1"/>
  <c r="Z146" i="1" s="1"/>
  <c r="Y145" i="1"/>
  <c r="Z145" i="1" s="1"/>
  <c r="Y144" i="1"/>
  <c r="Z144" i="1" s="1"/>
  <c r="AD144" i="1" s="1"/>
  <c r="AF144" i="1" s="1"/>
  <c r="Y143" i="1"/>
  <c r="Z143" i="1" s="1"/>
  <c r="Y142" i="1"/>
  <c r="Z142" i="1" s="1"/>
  <c r="Y141" i="1"/>
  <c r="Z141" i="1" s="1"/>
  <c r="Y140" i="1"/>
  <c r="Z140" i="1" s="1"/>
  <c r="Y139" i="1"/>
  <c r="Z139" i="1" s="1"/>
  <c r="Y138" i="1"/>
  <c r="Z138" i="1" s="1"/>
  <c r="Y137" i="1"/>
  <c r="Z137" i="1" s="1"/>
  <c r="Y26" i="1"/>
  <c r="Z26" i="1" s="1"/>
  <c r="AD26" i="1" s="1"/>
  <c r="AF26" i="1" s="1"/>
  <c r="Y136" i="1"/>
  <c r="Z136" i="1" s="1"/>
  <c r="Y135" i="1"/>
  <c r="Z135" i="1" s="1"/>
  <c r="Y134" i="1"/>
  <c r="Z134" i="1" s="1"/>
  <c r="Y133" i="1"/>
  <c r="Z133" i="1" s="1"/>
  <c r="Y132" i="1"/>
  <c r="Z132" i="1" s="1"/>
  <c r="Y131" i="1"/>
  <c r="Z131" i="1" s="1"/>
  <c r="Y130" i="1"/>
  <c r="Z130" i="1" s="1"/>
  <c r="Y129" i="1"/>
  <c r="Z129" i="1" s="1"/>
  <c r="AD129" i="1" s="1"/>
  <c r="AF129" i="1" s="1"/>
  <c r="Y128" i="1"/>
  <c r="Z128" i="1" s="1"/>
  <c r="Y127" i="1"/>
  <c r="Z127" i="1" s="1"/>
  <c r="Y126" i="1"/>
  <c r="Z126" i="1" s="1"/>
  <c r="Y125" i="1"/>
  <c r="Z125" i="1" s="1"/>
  <c r="Y124" i="1"/>
  <c r="Z124" i="1" s="1"/>
  <c r="Y123" i="1"/>
  <c r="Z123" i="1" s="1"/>
  <c r="Y122" i="1"/>
  <c r="Z122" i="1" s="1"/>
  <c r="Y121" i="1"/>
  <c r="Z121" i="1" s="1"/>
  <c r="Y120" i="1"/>
  <c r="Z120" i="1" s="1"/>
  <c r="Y119" i="1"/>
  <c r="Z119" i="1" s="1"/>
  <c r="Y118" i="1"/>
  <c r="Z118" i="1" s="1"/>
  <c r="Y117" i="1"/>
  <c r="Z117" i="1" s="1"/>
  <c r="Y116" i="1"/>
  <c r="Z116" i="1" s="1"/>
  <c r="Y115" i="1"/>
  <c r="Z115" i="1" s="1"/>
  <c r="Y114" i="1"/>
  <c r="Z114" i="1" s="1"/>
  <c r="Y113" i="1"/>
  <c r="Z113" i="1" s="1"/>
  <c r="AD113" i="1" s="1"/>
  <c r="AF113" i="1" s="1"/>
  <c r="Y112" i="1"/>
  <c r="Z112" i="1" s="1"/>
  <c r="Y111" i="1"/>
  <c r="Z111" i="1" s="1"/>
  <c r="Y110" i="1"/>
  <c r="Z110" i="1" s="1"/>
  <c r="Y109" i="1"/>
  <c r="Z109" i="1" s="1"/>
  <c r="Y108" i="1"/>
  <c r="Z108" i="1" s="1"/>
  <c r="Y107" i="1"/>
  <c r="Z107" i="1" s="1"/>
  <c r="Y106" i="1"/>
  <c r="Z106" i="1" s="1"/>
  <c r="Y105" i="1"/>
  <c r="Z105" i="1" s="1"/>
  <c r="Y104" i="1"/>
  <c r="Z104" i="1" s="1"/>
  <c r="Y103" i="1"/>
  <c r="Z103" i="1" s="1"/>
  <c r="Y102" i="1"/>
  <c r="Z102" i="1" s="1"/>
  <c r="Y101" i="1"/>
  <c r="Z101" i="1" s="1"/>
  <c r="Y100" i="1"/>
  <c r="Z100" i="1" s="1"/>
  <c r="Y99" i="1"/>
  <c r="Z99" i="1" s="1"/>
  <c r="Y98" i="1"/>
  <c r="Z98" i="1" s="1"/>
  <c r="Y97" i="1"/>
  <c r="Z97" i="1" s="1"/>
  <c r="AD97" i="1" s="1"/>
  <c r="AF97" i="1" s="1"/>
  <c r="Y96" i="1"/>
  <c r="Z96" i="1" s="1"/>
  <c r="Y95" i="1"/>
  <c r="Z95" i="1" s="1"/>
  <c r="Y94" i="1"/>
  <c r="Z94" i="1" s="1"/>
  <c r="Y93" i="1"/>
  <c r="Z93" i="1" s="1"/>
  <c r="Y92" i="1"/>
  <c r="Z92" i="1" s="1"/>
  <c r="Y91" i="1"/>
  <c r="Z91" i="1" s="1"/>
  <c r="Y90" i="1"/>
  <c r="Z90" i="1" s="1"/>
  <c r="Y89" i="1"/>
  <c r="Z89" i="1" s="1"/>
  <c r="AD89" i="1" s="1"/>
  <c r="AF89" i="1" s="1"/>
  <c r="Y88" i="1"/>
  <c r="Z88" i="1" s="1"/>
  <c r="Y87" i="1"/>
  <c r="Z87" i="1" s="1"/>
  <c r="Y86" i="1"/>
  <c r="Z86" i="1" s="1"/>
  <c r="Y85" i="1"/>
  <c r="Z85" i="1" s="1"/>
  <c r="Y84" i="1"/>
  <c r="Z84" i="1" s="1"/>
  <c r="Y25" i="1"/>
  <c r="Z25" i="1" s="1"/>
  <c r="Y83" i="1"/>
  <c r="Z83" i="1" s="1"/>
  <c r="Y24" i="1"/>
  <c r="Z24" i="1" s="1"/>
  <c r="AD24" i="1" s="1"/>
  <c r="AF24" i="1" s="1"/>
  <c r="Y82" i="1"/>
  <c r="Z82" i="1" s="1"/>
  <c r="Y519" i="1"/>
  <c r="Z519" i="1" s="1"/>
  <c r="Y518" i="1"/>
  <c r="Z518" i="1" s="1"/>
  <c r="Y517" i="1"/>
  <c r="Z517" i="1" s="1"/>
  <c r="Y516" i="1"/>
  <c r="Z516" i="1" s="1"/>
  <c r="Y515" i="1"/>
  <c r="Z515" i="1" s="1"/>
  <c r="Y514" i="1"/>
  <c r="Z514" i="1" s="1"/>
  <c r="Y486" i="1"/>
  <c r="Z486" i="1" s="1"/>
  <c r="Y485" i="1"/>
  <c r="Z485" i="1" s="1"/>
  <c r="Y484" i="1"/>
  <c r="Z484" i="1" s="1"/>
  <c r="Y483" i="1"/>
  <c r="Z483" i="1" s="1"/>
  <c r="Y482" i="1"/>
  <c r="Z482" i="1" s="1"/>
  <c r="Y513" i="1"/>
  <c r="Z513" i="1" s="1"/>
  <c r="Y481" i="1"/>
  <c r="Z481" i="1" s="1"/>
  <c r="Y500" i="1"/>
  <c r="Z500" i="1" s="1"/>
  <c r="Y480" i="1"/>
  <c r="Z480" i="1" s="1"/>
  <c r="Y504" i="1"/>
  <c r="Z504" i="1" s="1"/>
  <c r="Y479" i="1"/>
  <c r="Z479" i="1" s="1"/>
  <c r="Y469" i="1"/>
  <c r="Z469" i="1" s="1"/>
  <c r="Y468" i="1"/>
  <c r="Z468" i="1" s="1"/>
  <c r="Y478" i="1"/>
  <c r="Z478" i="1" s="1"/>
  <c r="Y467" i="1"/>
  <c r="Z467" i="1" s="1"/>
  <c r="Y466" i="1"/>
  <c r="Z466" i="1" s="1"/>
  <c r="Y331" i="1"/>
  <c r="Z331" i="1" s="1"/>
  <c r="Y330" i="1"/>
  <c r="Z330" i="1" s="1"/>
  <c r="Y329" i="1"/>
  <c r="Z329" i="1" s="1"/>
  <c r="Y328" i="1"/>
  <c r="Z328" i="1" s="1"/>
  <c r="Y327" i="1"/>
  <c r="Z327" i="1" s="1"/>
  <c r="Y326" i="1"/>
  <c r="Z326" i="1" s="1"/>
  <c r="Y325" i="1"/>
  <c r="Z325" i="1" s="1"/>
  <c r="Y324" i="1"/>
  <c r="Z324" i="1" s="1"/>
  <c r="Y323" i="1"/>
  <c r="Z323" i="1" s="1"/>
  <c r="Y322" i="1"/>
  <c r="Z322" i="1" s="1"/>
  <c r="Y321" i="1"/>
  <c r="Z321" i="1" s="1"/>
  <c r="Y320" i="1"/>
  <c r="Z320" i="1" s="1"/>
  <c r="Y319" i="1"/>
  <c r="Z319" i="1" s="1"/>
  <c r="Y318" i="1"/>
  <c r="Z318" i="1" s="1"/>
  <c r="Y317" i="1"/>
  <c r="Z317" i="1" s="1"/>
  <c r="Y316" i="1"/>
  <c r="Z316" i="1" s="1"/>
  <c r="Y315" i="1"/>
  <c r="Z315" i="1" s="1"/>
  <c r="Y314" i="1"/>
  <c r="Z314" i="1" s="1"/>
  <c r="Y313" i="1"/>
  <c r="Z313" i="1" s="1"/>
  <c r="Y312" i="1"/>
  <c r="Z312" i="1" s="1"/>
  <c r="Y311" i="1"/>
  <c r="Z311" i="1" s="1"/>
  <c r="Y310" i="1"/>
  <c r="Z310" i="1" s="1"/>
  <c r="Y309" i="1"/>
  <c r="Z309" i="1" s="1"/>
  <c r="Y308" i="1"/>
  <c r="Z308" i="1" s="1"/>
  <c r="Y307" i="1"/>
  <c r="Z307" i="1" s="1"/>
  <c r="Y306" i="1"/>
  <c r="Z306" i="1" s="1"/>
  <c r="Y305" i="1"/>
  <c r="Z305" i="1" s="1"/>
  <c r="Y304" i="1"/>
  <c r="Z304" i="1" s="1"/>
  <c r="Y303" i="1"/>
  <c r="Z303" i="1" s="1"/>
  <c r="Y302" i="1"/>
  <c r="Z302" i="1" s="1"/>
  <c r="Y301" i="1"/>
  <c r="Z301" i="1" s="1"/>
  <c r="Y300" i="1"/>
  <c r="Z300" i="1" s="1"/>
  <c r="Y299" i="1"/>
  <c r="Z299" i="1" s="1"/>
  <c r="Y298" i="1"/>
  <c r="Z298" i="1" s="1"/>
  <c r="Y297" i="1"/>
  <c r="Z297" i="1" s="1"/>
  <c r="Y296" i="1"/>
  <c r="Z296" i="1" s="1"/>
  <c r="Y295" i="1"/>
  <c r="Z295" i="1" s="1"/>
  <c r="Y294" i="1"/>
  <c r="Z294" i="1" s="1"/>
  <c r="Y293" i="1"/>
  <c r="Z293" i="1" s="1"/>
  <c r="Y292" i="1"/>
  <c r="Z292" i="1" s="1"/>
  <c r="Y291" i="1"/>
  <c r="Z291" i="1" s="1"/>
  <c r="Y290" i="1"/>
  <c r="Z290" i="1" s="1"/>
  <c r="Y289" i="1"/>
  <c r="Z289" i="1" s="1"/>
  <c r="Y288" i="1"/>
  <c r="Z288" i="1" s="1"/>
  <c r="Y287" i="1"/>
  <c r="Z287" i="1" s="1"/>
  <c r="Y286" i="1"/>
  <c r="Z286" i="1" s="1"/>
  <c r="Y509" i="1"/>
  <c r="Z509" i="1" s="1"/>
  <c r="Y508" i="1"/>
  <c r="Z508" i="1" s="1"/>
  <c r="Y507" i="1"/>
  <c r="Z507" i="1" s="1"/>
  <c r="Y501" i="1"/>
  <c r="Z501" i="1" s="1"/>
  <c r="Y506" i="1"/>
  <c r="Z506" i="1" s="1"/>
  <c r="Y505" i="1"/>
  <c r="Z505" i="1" s="1"/>
  <c r="Y285" i="1"/>
  <c r="Z285" i="1" s="1"/>
  <c r="Y497" i="1"/>
  <c r="Z497" i="1" s="1"/>
  <c r="Y496" i="1"/>
  <c r="Z496" i="1" s="1"/>
  <c r="Y284" i="1"/>
  <c r="Z284" i="1" s="1"/>
  <c r="Y389" i="1"/>
  <c r="Z389" i="1" s="1"/>
  <c r="Y388" i="1"/>
  <c r="Z388" i="1" s="1"/>
  <c r="Y387" i="1"/>
  <c r="Z387" i="1" s="1"/>
  <c r="Y386" i="1"/>
  <c r="Z386" i="1" s="1"/>
  <c r="Y385" i="1"/>
  <c r="Z385" i="1" s="1"/>
  <c r="Y384" i="1"/>
  <c r="Z384" i="1" s="1"/>
  <c r="Y382" i="1"/>
  <c r="Z382" i="1" s="1"/>
  <c r="Y381" i="1"/>
  <c r="Z381" i="1" s="1"/>
  <c r="Y380" i="1"/>
  <c r="Z380" i="1" s="1"/>
  <c r="Y379" i="1"/>
  <c r="Z379" i="1" s="1"/>
  <c r="Y378" i="1"/>
  <c r="Z378" i="1" s="1"/>
  <c r="Y377" i="1"/>
  <c r="Z377" i="1" s="1"/>
  <c r="Y376" i="1"/>
  <c r="Z376" i="1" s="1"/>
  <c r="Y375" i="1"/>
  <c r="Z375" i="1" s="1"/>
  <c r="Y374" i="1"/>
  <c r="Z374" i="1" s="1"/>
  <c r="Y373" i="1"/>
  <c r="Z373" i="1" s="1"/>
  <c r="Y372" i="1"/>
  <c r="Z372" i="1" s="1"/>
  <c r="Y371" i="1"/>
  <c r="Z371" i="1" s="1"/>
  <c r="Y370" i="1"/>
  <c r="Z370" i="1" s="1"/>
  <c r="Y369" i="1"/>
  <c r="Z369" i="1" s="1"/>
  <c r="Y368" i="1"/>
  <c r="Z368" i="1" s="1"/>
  <c r="Y367" i="1"/>
  <c r="Z367" i="1" s="1"/>
  <c r="Y366" i="1"/>
  <c r="Z366" i="1" s="1"/>
  <c r="Y365" i="1"/>
  <c r="Z365" i="1" s="1"/>
  <c r="Y364" i="1"/>
  <c r="Z364" i="1" s="1"/>
  <c r="Y363" i="1"/>
  <c r="Z363" i="1" s="1"/>
  <c r="Y362" i="1"/>
  <c r="Z362" i="1" s="1"/>
  <c r="Y361" i="1"/>
  <c r="Z361" i="1" s="1"/>
  <c r="Y360" i="1"/>
  <c r="Z360" i="1" s="1"/>
  <c r="Y359" i="1"/>
  <c r="Z359" i="1" s="1"/>
  <c r="Y358" i="1"/>
  <c r="Z358" i="1" s="1"/>
  <c r="Y357" i="1"/>
  <c r="Z357" i="1" s="1"/>
  <c r="Y356" i="1"/>
  <c r="Z356" i="1" s="1"/>
  <c r="Y355" i="1"/>
  <c r="Z355" i="1" s="1"/>
  <c r="Y354" i="1"/>
  <c r="Z354" i="1" s="1"/>
  <c r="Y353" i="1"/>
  <c r="Z353" i="1" s="1"/>
  <c r="Y352" i="1"/>
  <c r="Z352" i="1" s="1"/>
  <c r="Y351" i="1"/>
  <c r="Z351" i="1" s="1"/>
  <c r="Y350" i="1"/>
  <c r="Z350" i="1" s="1"/>
  <c r="Y34" i="1"/>
  <c r="Z34" i="1" s="1"/>
  <c r="Y349" i="1"/>
  <c r="Z349" i="1" s="1"/>
  <c r="Y348" i="1"/>
  <c r="Z348" i="1" s="1"/>
  <c r="Y347" i="1"/>
  <c r="Z347" i="1" s="1"/>
  <c r="Y346" i="1"/>
  <c r="Z346" i="1" s="1"/>
  <c r="Y345" i="1"/>
  <c r="Z345" i="1" s="1"/>
  <c r="Y344" i="1"/>
  <c r="Z344" i="1" s="1"/>
  <c r="Y343" i="1"/>
  <c r="Z343" i="1" s="1"/>
  <c r="Y342" i="1"/>
  <c r="Z342" i="1" s="1"/>
  <c r="Y341" i="1"/>
  <c r="Z341" i="1" s="1"/>
  <c r="Y340" i="1"/>
  <c r="Z340" i="1" s="1"/>
  <c r="Y339" i="1"/>
  <c r="Z339" i="1" s="1"/>
  <c r="Y33" i="1"/>
  <c r="Z33" i="1" s="1"/>
  <c r="Y32" i="1"/>
  <c r="Z32" i="1" s="1"/>
  <c r="Y338" i="1"/>
  <c r="Z338" i="1" s="1"/>
  <c r="Y337" i="1"/>
  <c r="Z337" i="1" s="1"/>
  <c r="Y336" i="1"/>
  <c r="Z336" i="1" s="1"/>
  <c r="Y335" i="1"/>
  <c r="Z335" i="1" s="1"/>
  <c r="Y334" i="1"/>
  <c r="Z334" i="1" s="1"/>
  <c r="Y333" i="1"/>
  <c r="Z333" i="1" s="1"/>
  <c r="Y332" i="1"/>
  <c r="Z332" i="1" s="1"/>
  <c r="Y21" i="1"/>
  <c r="Z21" i="1" s="1"/>
  <c r="Y78" i="1"/>
  <c r="Z78" i="1" s="1"/>
  <c r="Y20" i="1"/>
  <c r="Z20" i="1" s="1"/>
  <c r="Y77" i="1"/>
  <c r="Z77" i="1" s="1"/>
  <c r="Y76" i="1"/>
  <c r="Z76" i="1" s="1"/>
  <c r="Y75" i="1"/>
  <c r="Z75" i="1" s="1"/>
  <c r="Y74" i="1"/>
  <c r="Z74" i="1" s="1"/>
  <c r="Y73" i="1"/>
  <c r="Z73" i="1" s="1"/>
  <c r="Y19" i="1"/>
  <c r="Z19" i="1" s="1"/>
  <c r="Y72" i="1"/>
  <c r="Z72" i="1" s="1"/>
  <c r="Y71" i="1"/>
  <c r="Z71" i="1" s="1"/>
  <c r="Y70" i="1"/>
  <c r="Z70" i="1" s="1"/>
  <c r="Y18" i="1"/>
  <c r="Z18" i="1" s="1"/>
  <c r="Y69" i="1"/>
  <c r="Z69" i="1" s="1"/>
  <c r="Y68" i="1"/>
  <c r="Z68" i="1" s="1"/>
  <c r="Y67" i="1"/>
  <c r="Z67" i="1" s="1"/>
  <c r="Y66" i="1"/>
  <c r="Z66" i="1" s="1"/>
  <c r="Y17" i="1"/>
  <c r="Z17" i="1" s="1"/>
  <c r="Y65" i="1"/>
  <c r="Z65" i="1" s="1"/>
  <c r="Y64" i="1"/>
  <c r="Z64" i="1" s="1"/>
  <c r="Y491" i="1"/>
  <c r="Z491" i="1" s="1"/>
  <c r="Y490" i="1"/>
  <c r="Z490" i="1" s="1"/>
  <c r="Y489" i="1"/>
  <c r="Z489" i="1" s="1"/>
  <c r="Y472" i="1"/>
  <c r="Z472" i="1" s="1"/>
  <c r="Y471" i="1"/>
  <c r="Z471" i="1" s="1"/>
  <c r="Y470" i="1"/>
  <c r="Z470" i="1" s="1"/>
  <c r="Y488" i="1"/>
  <c r="Z488" i="1" s="1"/>
  <c r="Y487" i="1"/>
  <c r="Z487" i="1" s="1"/>
  <c r="Y230" i="1"/>
  <c r="Z230" i="1" s="1"/>
  <c r="Y229" i="1"/>
  <c r="Z229" i="1" s="1"/>
  <c r="Y228" i="1"/>
  <c r="Z228" i="1" s="1"/>
  <c r="Y227" i="1"/>
  <c r="Z227" i="1" s="1"/>
  <c r="Y226" i="1"/>
  <c r="Z226" i="1" s="1"/>
  <c r="Y225" i="1"/>
  <c r="Z225" i="1" s="1"/>
  <c r="Y224" i="1"/>
  <c r="Z224" i="1" s="1"/>
  <c r="Y223" i="1"/>
  <c r="Z223" i="1" s="1"/>
  <c r="Y222" i="1"/>
  <c r="Z222" i="1" s="1"/>
  <c r="Y221" i="1"/>
  <c r="Z221" i="1" s="1"/>
  <c r="Y220" i="1"/>
  <c r="Z220" i="1" s="1"/>
  <c r="Y219" i="1"/>
  <c r="Z219" i="1" s="1"/>
  <c r="Y218" i="1"/>
  <c r="Z218" i="1" s="1"/>
  <c r="Y30" i="1"/>
  <c r="Z30" i="1" s="1"/>
  <c r="Y217" i="1"/>
  <c r="Z217" i="1" s="1"/>
  <c r="Y29" i="1"/>
  <c r="Z29" i="1" s="1"/>
  <c r="Y216" i="1"/>
  <c r="Z216" i="1" s="1"/>
  <c r="Y28" i="1"/>
  <c r="Z28" i="1" s="1"/>
  <c r="Y215" i="1"/>
  <c r="Z215" i="1" s="1"/>
  <c r="Y214" i="1"/>
  <c r="Z214" i="1" s="1"/>
  <c r="Y213" i="1"/>
  <c r="Z213" i="1" s="1"/>
  <c r="Y212" i="1"/>
  <c r="Z212" i="1" s="1"/>
  <c r="Y211" i="1"/>
  <c r="Z211" i="1" s="1"/>
  <c r="Y210" i="1"/>
  <c r="Z210" i="1" s="1"/>
  <c r="Y209" i="1"/>
  <c r="Z209" i="1" s="1"/>
  <c r="AD209" i="1" s="1"/>
  <c r="AF209" i="1" s="1"/>
  <c r="Y208" i="1"/>
  <c r="Z208" i="1" s="1"/>
  <c r="Y27" i="1"/>
  <c r="Z27" i="1" s="1"/>
  <c r="Y207" i="1"/>
  <c r="Z207" i="1" s="1"/>
  <c r="Y206" i="1"/>
  <c r="Z206" i="1" s="1"/>
  <c r="Y205" i="1"/>
  <c r="Z205" i="1" s="1"/>
  <c r="Y204" i="1"/>
  <c r="Z204" i="1" s="1"/>
  <c r="Y203" i="1"/>
  <c r="Z203" i="1" s="1"/>
  <c r="Y202" i="1"/>
  <c r="Z202" i="1" s="1"/>
  <c r="Y201" i="1"/>
  <c r="Z201" i="1" s="1"/>
  <c r="Y200" i="1"/>
  <c r="Z200" i="1" s="1"/>
  <c r="Y199" i="1"/>
  <c r="Z199" i="1" s="1"/>
  <c r="Y198" i="1"/>
  <c r="Z198" i="1" s="1"/>
  <c r="Y197" i="1"/>
  <c r="Z197" i="1" s="1"/>
  <c r="Y196" i="1"/>
  <c r="Z196" i="1" s="1"/>
  <c r="Y195" i="1"/>
  <c r="Z195" i="1" s="1"/>
  <c r="Y194" i="1"/>
  <c r="Z194" i="1" s="1"/>
  <c r="Y193" i="1"/>
  <c r="Z193" i="1" s="1"/>
  <c r="Y192" i="1"/>
  <c r="Z192" i="1" s="1"/>
  <c r="Y191" i="1"/>
  <c r="Z191" i="1" s="1"/>
  <c r="Y190" i="1"/>
  <c r="Z190" i="1" s="1"/>
  <c r="Y189" i="1"/>
  <c r="Z189" i="1" s="1"/>
  <c r="Y188" i="1"/>
  <c r="Z188" i="1" s="1"/>
  <c r="Y187" i="1"/>
  <c r="Z187" i="1" s="1"/>
  <c r="Y186" i="1"/>
  <c r="Z186" i="1" s="1"/>
  <c r="Y185" i="1"/>
  <c r="Z185" i="1" s="1"/>
  <c r="Y184" i="1"/>
  <c r="Z184" i="1" s="1"/>
  <c r="Y183" i="1"/>
  <c r="Z183" i="1" s="1"/>
  <c r="Y182" i="1"/>
  <c r="Z182" i="1" s="1"/>
  <c r="Y181" i="1"/>
  <c r="Z181" i="1" s="1"/>
  <c r="Y180" i="1"/>
  <c r="Z180" i="1" s="1"/>
  <c r="Y179" i="1"/>
  <c r="Z179" i="1" s="1"/>
  <c r="Y503" i="1"/>
  <c r="Z503" i="1" s="1"/>
  <c r="AD503" i="1" s="1"/>
  <c r="AF503" i="1" s="1"/>
  <c r="Y477" i="1"/>
  <c r="Z477" i="1" s="1"/>
  <c r="Y476" i="1"/>
  <c r="Z476" i="1" s="1"/>
  <c r="Y512" i="1"/>
  <c r="Z512" i="1" s="1"/>
  <c r="Y431" i="1"/>
  <c r="Z431" i="1" s="1"/>
  <c r="Y511" i="1"/>
  <c r="Z511" i="1" s="1"/>
  <c r="Y16" i="1"/>
  <c r="Z16" i="1" s="1"/>
  <c r="Y499" i="1"/>
  <c r="Z499" i="1" s="1"/>
  <c r="Y475" i="1"/>
  <c r="Z475" i="1" s="1"/>
  <c r="Y474" i="1"/>
  <c r="Z474" i="1" s="1"/>
  <c r="Y502" i="1"/>
  <c r="Z502" i="1" s="1"/>
  <c r="Y430" i="1"/>
  <c r="Z430" i="1" s="1"/>
  <c r="Y510" i="1"/>
  <c r="Z510" i="1" s="1"/>
  <c r="Y63" i="1"/>
  <c r="Z63" i="1" s="1"/>
  <c r="Y62" i="1"/>
  <c r="Z62" i="1" s="1"/>
  <c r="Y61" i="1"/>
  <c r="Z61" i="1" s="1"/>
  <c r="Y60" i="1"/>
  <c r="Z60" i="1" s="1"/>
  <c r="Y59" i="1"/>
  <c r="Z59" i="1" s="1"/>
  <c r="Y58" i="1"/>
  <c r="Z58" i="1" s="1"/>
  <c r="Y15" i="1"/>
  <c r="Z15" i="1" s="1"/>
  <c r="Y57" i="1"/>
  <c r="Z57" i="1" s="1"/>
  <c r="Y429" i="1"/>
  <c r="Z429" i="1" s="1"/>
  <c r="Y14" i="1"/>
  <c r="Z14" i="1" s="1"/>
  <c r="Y428" i="1"/>
  <c r="Z428" i="1" s="1"/>
  <c r="Y427" i="1"/>
  <c r="Z427" i="1" s="1"/>
  <c r="Y426" i="1"/>
  <c r="Z426" i="1" s="1"/>
  <c r="Y425" i="1"/>
  <c r="Z425" i="1" s="1"/>
  <c r="Y56" i="1"/>
  <c r="Z56" i="1" s="1"/>
  <c r="Y55" i="1"/>
  <c r="Z55" i="1" s="1"/>
  <c r="Y54" i="1"/>
  <c r="Z54" i="1" s="1"/>
  <c r="Y53" i="1"/>
  <c r="Z53" i="1" s="1"/>
  <c r="Y13" i="1"/>
  <c r="Z13" i="1" s="1"/>
  <c r="Y424" i="1"/>
  <c r="Z424" i="1" s="1"/>
  <c r="Y52" i="1"/>
  <c r="Z52" i="1" s="1"/>
  <c r="Y423" i="1"/>
  <c r="Z423" i="1" s="1"/>
  <c r="Y51" i="1"/>
  <c r="Z51" i="1" s="1"/>
  <c r="Y50" i="1"/>
  <c r="Z50" i="1" s="1"/>
  <c r="Y422" i="1"/>
  <c r="Z422" i="1" s="1"/>
  <c r="Y421" i="1"/>
  <c r="Z421" i="1" s="1"/>
  <c r="Y49" i="1"/>
  <c r="Z49" i="1" s="1"/>
  <c r="Y48" i="1"/>
  <c r="Z48" i="1" s="1"/>
  <c r="Y12" i="1"/>
  <c r="Z12" i="1" s="1"/>
  <c r="Y23" i="1"/>
  <c r="Z23" i="1" s="1"/>
  <c r="Y81" i="1"/>
  <c r="Z81" i="1" s="1"/>
  <c r="Y22" i="1"/>
  <c r="Z22" i="1" s="1"/>
  <c r="Y80" i="1"/>
  <c r="Z80" i="1" s="1"/>
  <c r="Y79" i="1"/>
  <c r="Z79" i="1" s="1"/>
  <c r="Y442" i="1"/>
  <c r="Z442" i="1" s="1"/>
  <c r="Y441" i="1"/>
  <c r="Z441" i="1" s="1"/>
  <c r="Y440" i="1"/>
  <c r="Z440" i="1" s="1"/>
  <c r="Y439" i="1"/>
  <c r="Z439" i="1" s="1"/>
  <c r="Y438" i="1"/>
  <c r="Z438" i="1" s="1"/>
  <c r="Y437" i="1"/>
  <c r="Z437" i="1" s="1"/>
  <c r="Y436" i="1"/>
  <c r="Z436" i="1" s="1"/>
  <c r="Y435" i="1"/>
  <c r="Z435" i="1" s="1"/>
  <c r="Y434" i="1"/>
  <c r="Z434" i="1" s="1"/>
  <c r="Y433" i="1"/>
  <c r="Z433" i="1" s="1"/>
  <c r="AD433" i="1" s="1"/>
  <c r="AF433" i="1" s="1"/>
  <c r="Y432" i="1"/>
  <c r="Z432" i="1" s="1"/>
  <c r="Y465" i="1"/>
  <c r="Z465" i="1" s="1"/>
  <c r="Y464" i="1"/>
  <c r="Z464" i="1" s="1"/>
  <c r="Y463" i="1"/>
  <c r="Z463" i="1" s="1"/>
  <c r="Y462" i="1"/>
  <c r="Z462" i="1" s="1"/>
  <c r="Y461" i="1"/>
  <c r="Z461" i="1" s="1"/>
  <c r="Y460" i="1"/>
  <c r="Z460" i="1" s="1"/>
  <c r="Y459" i="1"/>
  <c r="Z459" i="1" s="1"/>
  <c r="Y458" i="1"/>
  <c r="Z458" i="1" s="1"/>
  <c r="Y457" i="1"/>
  <c r="Z457" i="1" s="1"/>
  <c r="Y456" i="1"/>
  <c r="Z456" i="1" s="1"/>
  <c r="Y455" i="1"/>
  <c r="Z455" i="1" s="1"/>
  <c r="Y454" i="1"/>
  <c r="Z454" i="1" s="1"/>
  <c r="Y453" i="1"/>
  <c r="Z453" i="1" s="1"/>
  <c r="Y452" i="1"/>
  <c r="Z452" i="1" s="1"/>
  <c r="Y451" i="1"/>
  <c r="Z451" i="1" s="1"/>
  <c r="Y450" i="1"/>
  <c r="Z450" i="1" s="1"/>
  <c r="Y449" i="1"/>
  <c r="Z449" i="1" s="1"/>
  <c r="Y448" i="1"/>
  <c r="Z448" i="1" s="1"/>
  <c r="Y447" i="1"/>
  <c r="Z447" i="1" s="1"/>
  <c r="Y446" i="1"/>
  <c r="Z446" i="1" s="1"/>
  <c r="Y445" i="1"/>
  <c r="Z445" i="1" s="1"/>
  <c r="Y444" i="1"/>
  <c r="Z444" i="1" s="1"/>
  <c r="Y443" i="1"/>
  <c r="Z443" i="1" s="1"/>
  <c r="Y420" i="1"/>
  <c r="Z420" i="1" s="1"/>
  <c r="Y419" i="1"/>
  <c r="Z419" i="1" s="1"/>
  <c r="Y418" i="1"/>
  <c r="Z418" i="1" s="1"/>
  <c r="Y417" i="1"/>
  <c r="Z417" i="1" s="1"/>
  <c r="Y416" i="1"/>
  <c r="Z416" i="1" s="1"/>
  <c r="Y415" i="1"/>
  <c r="Z415" i="1" s="1"/>
  <c r="Y414" i="1"/>
  <c r="Z414" i="1" s="1"/>
  <c r="Y413" i="1"/>
  <c r="Z413" i="1" s="1"/>
  <c r="AD413" i="1" s="1"/>
  <c r="AF413" i="1" s="1"/>
  <c r="Y412" i="1"/>
  <c r="Z412" i="1" s="1"/>
  <c r="Y411" i="1"/>
  <c r="Z411" i="1" s="1"/>
  <c r="Y410" i="1"/>
  <c r="Z410" i="1" s="1"/>
  <c r="Y409" i="1"/>
  <c r="Z409" i="1" s="1"/>
  <c r="Y408" i="1"/>
  <c r="Z408" i="1" s="1"/>
  <c r="Y407" i="1"/>
  <c r="Z407" i="1" s="1"/>
  <c r="Y406" i="1"/>
  <c r="Z406" i="1" s="1"/>
  <c r="Y405" i="1"/>
  <c r="Z405" i="1" s="1"/>
  <c r="Y404" i="1"/>
  <c r="Z404" i="1" s="1"/>
  <c r="Y403" i="1"/>
  <c r="Z403" i="1" s="1"/>
  <c r="Y402" i="1"/>
  <c r="Z402" i="1" s="1"/>
  <c r="Y401" i="1"/>
  <c r="Z401" i="1" s="1"/>
  <c r="Y400" i="1"/>
  <c r="Z400" i="1" s="1"/>
  <c r="Y399" i="1"/>
  <c r="Z399" i="1" s="1"/>
  <c r="Y398" i="1"/>
  <c r="Z398" i="1" s="1"/>
  <c r="Y397" i="1"/>
  <c r="Z397" i="1" s="1"/>
  <c r="Y396" i="1"/>
  <c r="Z396" i="1" s="1"/>
  <c r="Y395" i="1"/>
  <c r="Z395" i="1" s="1"/>
  <c r="Y394" i="1"/>
  <c r="Z394" i="1" s="1"/>
  <c r="Y393" i="1"/>
  <c r="Z393" i="1" s="1"/>
  <c r="Y392" i="1"/>
  <c r="Z392" i="1" s="1"/>
  <c r="Y391" i="1"/>
  <c r="Z391" i="1" s="1"/>
  <c r="Y390" i="1"/>
  <c r="Z390" i="1" s="1"/>
  <c r="Y498" i="1"/>
  <c r="Z498" i="1" s="1"/>
  <c r="W283" i="1"/>
  <c r="W282" i="1"/>
  <c r="W281" i="1"/>
  <c r="W280" i="1"/>
  <c r="W279" i="1"/>
  <c r="W278" i="1"/>
  <c r="W277" i="1"/>
  <c r="W276" i="1"/>
  <c r="W275" i="1"/>
  <c r="W274" i="1"/>
  <c r="W273" i="1"/>
  <c r="W272" i="1"/>
  <c r="W271" i="1"/>
  <c r="W270" i="1"/>
  <c r="W31" i="1"/>
  <c r="W269" i="1"/>
  <c r="W268" i="1"/>
  <c r="W267" i="1"/>
  <c r="W266" i="1"/>
  <c r="W265" i="1"/>
  <c r="W264" i="1"/>
  <c r="W263" i="1"/>
  <c r="W262" i="1"/>
  <c r="W261" i="1"/>
  <c r="W260" i="1"/>
  <c r="W259" i="1"/>
  <c r="W258" i="1"/>
  <c r="W257" i="1"/>
  <c r="W256" i="1"/>
  <c r="W255" i="1"/>
  <c r="W254" i="1"/>
  <c r="W253" i="1"/>
  <c r="W252" i="1"/>
  <c r="W251" i="1"/>
  <c r="W250" i="1"/>
  <c r="W249" i="1"/>
  <c r="W248" i="1"/>
  <c r="W247" i="1"/>
  <c r="W246" i="1"/>
  <c r="W245" i="1"/>
  <c r="W244" i="1"/>
  <c r="W243" i="1"/>
  <c r="W242" i="1"/>
  <c r="W241" i="1"/>
  <c r="W240" i="1"/>
  <c r="W239" i="1"/>
  <c r="W238" i="1"/>
  <c r="W237" i="1"/>
  <c r="W236" i="1"/>
  <c r="W235" i="1"/>
  <c r="W234" i="1"/>
  <c r="W233" i="1"/>
  <c r="W232" i="1"/>
  <c r="W231" i="1"/>
  <c r="W495" i="1"/>
  <c r="W494" i="1"/>
  <c r="W493" i="1"/>
  <c r="W492" i="1"/>
  <c r="W473" i="1"/>
  <c r="W178" i="1"/>
  <c r="W177" i="1"/>
  <c r="W176" i="1"/>
  <c r="W175" i="1"/>
  <c r="W174" i="1"/>
  <c r="W173" i="1"/>
  <c r="W172" i="1"/>
  <c r="W171" i="1"/>
  <c r="W170" i="1"/>
  <c r="W169" i="1"/>
  <c r="W168" i="1"/>
  <c r="W167" i="1"/>
  <c r="W166" i="1"/>
  <c r="W165" i="1"/>
  <c r="W164" i="1"/>
  <c r="W163" i="1"/>
  <c r="W162" i="1"/>
  <c r="W161" i="1"/>
  <c r="W160" i="1"/>
  <c r="W159" i="1"/>
  <c r="W158" i="1"/>
  <c r="W157" i="1"/>
  <c r="W156" i="1"/>
  <c r="W155" i="1"/>
  <c r="W154" i="1"/>
  <c r="W153" i="1"/>
  <c r="W152" i="1"/>
  <c r="W151" i="1"/>
  <c r="W150" i="1"/>
  <c r="W149" i="1"/>
  <c r="W148" i="1"/>
  <c r="W147" i="1"/>
  <c r="W146" i="1"/>
  <c r="W145" i="1"/>
  <c r="W144" i="1"/>
  <c r="W143" i="1"/>
  <c r="W142" i="1"/>
  <c r="W141" i="1"/>
  <c r="W140" i="1"/>
  <c r="W139" i="1"/>
  <c r="W138" i="1"/>
  <c r="W137" i="1"/>
  <c r="W26" i="1"/>
  <c r="W136" i="1"/>
  <c r="W135" i="1"/>
  <c r="W134" i="1"/>
  <c r="W133" i="1"/>
  <c r="W132" i="1"/>
  <c r="W131" i="1"/>
  <c r="W130" i="1"/>
  <c r="W129" i="1"/>
  <c r="W128" i="1"/>
  <c r="W127" i="1"/>
  <c r="W126" i="1"/>
  <c r="W125" i="1"/>
  <c r="W124" i="1"/>
  <c r="W123" i="1"/>
  <c r="W122" i="1"/>
  <c r="W121" i="1"/>
  <c r="W120" i="1"/>
  <c r="W119" i="1"/>
  <c r="W118" i="1"/>
  <c r="W117" i="1"/>
  <c r="W116" i="1"/>
  <c r="W115" i="1"/>
  <c r="W114" i="1"/>
  <c r="W113" i="1"/>
  <c r="W112" i="1"/>
  <c r="W111" i="1"/>
  <c r="W110" i="1"/>
  <c r="W109" i="1"/>
  <c r="W108" i="1"/>
  <c r="W107" i="1"/>
  <c r="W106" i="1"/>
  <c r="W105" i="1"/>
  <c r="W104" i="1"/>
  <c r="W103" i="1"/>
  <c r="W102" i="1"/>
  <c r="W101" i="1"/>
  <c r="W100" i="1"/>
  <c r="W99" i="1"/>
  <c r="W98" i="1"/>
  <c r="W97" i="1"/>
  <c r="W96" i="1"/>
  <c r="W95" i="1"/>
  <c r="W94" i="1"/>
  <c r="W93" i="1"/>
  <c r="W92" i="1"/>
  <c r="W91" i="1"/>
  <c r="W90" i="1"/>
  <c r="W89" i="1"/>
  <c r="W88" i="1"/>
  <c r="W87" i="1"/>
  <c r="W86" i="1"/>
  <c r="W85" i="1"/>
  <c r="W84" i="1"/>
  <c r="W25" i="1"/>
  <c r="W83" i="1"/>
  <c r="W24" i="1"/>
  <c r="W82" i="1"/>
  <c r="W519" i="1"/>
  <c r="W518" i="1"/>
  <c r="W517" i="1"/>
  <c r="W516" i="1"/>
  <c r="W515" i="1"/>
  <c r="W514" i="1"/>
  <c r="W486" i="1"/>
  <c r="W485" i="1"/>
  <c r="W484" i="1"/>
  <c r="W483" i="1"/>
  <c r="W482" i="1"/>
  <c r="W513" i="1"/>
  <c r="W481" i="1"/>
  <c r="W500" i="1"/>
  <c r="W480" i="1"/>
  <c r="W504" i="1"/>
  <c r="W479" i="1"/>
  <c r="W469" i="1"/>
  <c r="W468" i="1"/>
  <c r="W478" i="1"/>
  <c r="W467" i="1"/>
  <c r="W466" i="1"/>
  <c r="W331" i="1"/>
  <c r="W330" i="1"/>
  <c r="W329" i="1"/>
  <c r="W328" i="1"/>
  <c r="W327" i="1"/>
  <c r="W326" i="1"/>
  <c r="W325" i="1"/>
  <c r="W324" i="1"/>
  <c r="W323" i="1"/>
  <c r="W322" i="1"/>
  <c r="W321" i="1"/>
  <c r="W320" i="1"/>
  <c r="W319" i="1"/>
  <c r="W318" i="1"/>
  <c r="W317" i="1"/>
  <c r="W316" i="1"/>
  <c r="W315" i="1"/>
  <c r="W314" i="1"/>
  <c r="W313" i="1"/>
  <c r="W312" i="1"/>
  <c r="W311" i="1"/>
  <c r="W310" i="1"/>
  <c r="W309" i="1"/>
  <c r="W308" i="1"/>
  <c r="W307" i="1"/>
  <c r="W306" i="1"/>
  <c r="W305" i="1"/>
  <c r="W304" i="1"/>
  <c r="W303" i="1"/>
  <c r="W302" i="1"/>
  <c r="W301" i="1"/>
  <c r="W300" i="1"/>
  <c r="W299" i="1"/>
  <c r="W298" i="1"/>
  <c r="W297" i="1"/>
  <c r="W296" i="1"/>
  <c r="W295" i="1"/>
  <c r="W294" i="1"/>
  <c r="W293" i="1"/>
  <c r="W292" i="1"/>
  <c r="W291" i="1"/>
  <c r="W290" i="1"/>
  <c r="W289" i="1"/>
  <c r="W288" i="1"/>
  <c r="W287" i="1"/>
  <c r="W286" i="1"/>
  <c r="W509" i="1"/>
  <c r="W508" i="1"/>
  <c r="W507" i="1"/>
  <c r="W501" i="1"/>
  <c r="W506" i="1"/>
  <c r="W505" i="1"/>
  <c r="W285" i="1"/>
  <c r="W497" i="1"/>
  <c r="W496" i="1"/>
  <c r="W284" i="1"/>
  <c r="W389" i="1"/>
  <c r="W388" i="1"/>
  <c r="W387" i="1"/>
  <c r="W386" i="1"/>
  <c r="W385" i="1"/>
  <c r="W384" i="1"/>
  <c r="W383" i="1"/>
  <c r="W382" i="1"/>
  <c r="W381" i="1"/>
  <c r="W380" i="1"/>
  <c r="W379" i="1"/>
  <c r="W378" i="1"/>
  <c r="W377" i="1"/>
  <c r="W376" i="1"/>
  <c r="W375" i="1"/>
  <c r="W374" i="1"/>
  <c r="W373" i="1"/>
  <c r="W372" i="1"/>
  <c r="W371" i="1"/>
  <c r="W370" i="1"/>
  <c r="W369" i="1"/>
  <c r="W368" i="1"/>
  <c r="W367" i="1"/>
  <c r="W366" i="1"/>
  <c r="W365" i="1"/>
  <c r="W364" i="1"/>
  <c r="W363" i="1"/>
  <c r="W362" i="1"/>
  <c r="W361" i="1"/>
  <c r="W360" i="1"/>
  <c r="W359" i="1"/>
  <c r="W358" i="1"/>
  <c r="W357" i="1"/>
  <c r="W356" i="1"/>
  <c r="W355" i="1"/>
  <c r="W354" i="1"/>
  <c r="W353" i="1"/>
  <c r="W352" i="1"/>
  <c r="W351" i="1"/>
  <c r="W350" i="1"/>
  <c r="W34" i="1"/>
  <c r="W349" i="1"/>
  <c r="W348" i="1"/>
  <c r="W347" i="1"/>
  <c r="W346" i="1"/>
  <c r="W345" i="1"/>
  <c r="W344" i="1"/>
  <c r="W343" i="1"/>
  <c r="W342" i="1"/>
  <c r="W341" i="1"/>
  <c r="W340" i="1"/>
  <c r="W339" i="1"/>
  <c r="W33" i="1"/>
  <c r="W32" i="1"/>
  <c r="W338" i="1"/>
  <c r="W337" i="1"/>
  <c r="W336" i="1"/>
  <c r="W335" i="1"/>
  <c r="W334" i="1"/>
  <c r="W333" i="1"/>
  <c r="W332" i="1"/>
  <c r="W21" i="1"/>
  <c r="W78" i="1"/>
  <c r="W20" i="1"/>
  <c r="W77" i="1"/>
  <c r="W76" i="1"/>
  <c r="W75" i="1"/>
  <c r="W74" i="1"/>
  <c r="W73" i="1"/>
  <c r="W19" i="1"/>
  <c r="W72" i="1"/>
  <c r="W71" i="1"/>
  <c r="W70" i="1"/>
  <c r="W18" i="1"/>
  <c r="W69" i="1"/>
  <c r="W68" i="1"/>
  <c r="W67" i="1"/>
  <c r="W66" i="1"/>
  <c r="W17" i="1"/>
  <c r="W65" i="1"/>
  <c r="W64" i="1"/>
  <c r="W491" i="1"/>
  <c r="W490" i="1"/>
  <c r="W489" i="1"/>
  <c r="W472" i="1"/>
  <c r="W471" i="1"/>
  <c r="W470" i="1"/>
  <c r="W488" i="1"/>
  <c r="W487" i="1"/>
  <c r="W230" i="1"/>
  <c r="W229" i="1"/>
  <c r="W228" i="1"/>
  <c r="W227" i="1"/>
  <c r="W226" i="1"/>
  <c r="W225" i="1"/>
  <c r="W224" i="1"/>
  <c r="W223" i="1"/>
  <c r="W222" i="1"/>
  <c r="W221" i="1"/>
  <c r="W220" i="1"/>
  <c r="W219" i="1"/>
  <c r="W218" i="1"/>
  <c r="W30" i="1"/>
  <c r="W217" i="1"/>
  <c r="W29" i="1"/>
  <c r="W216" i="1"/>
  <c r="W28" i="1"/>
  <c r="W215" i="1"/>
  <c r="W214" i="1"/>
  <c r="W213" i="1"/>
  <c r="W212" i="1"/>
  <c r="W211" i="1"/>
  <c r="W210" i="1"/>
  <c r="W209" i="1"/>
  <c r="W208" i="1"/>
  <c r="W27" i="1"/>
  <c r="W207" i="1"/>
  <c r="W206" i="1"/>
  <c r="W205" i="1"/>
  <c r="W204" i="1"/>
  <c r="W203" i="1"/>
  <c r="W202" i="1"/>
  <c r="W201" i="1"/>
  <c r="W200" i="1"/>
  <c r="W199" i="1"/>
  <c r="W198" i="1"/>
  <c r="W197" i="1"/>
  <c r="W196" i="1"/>
  <c r="W195" i="1"/>
  <c r="W194" i="1"/>
  <c r="W193" i="1"/>
  <c r="W192" i="1"/>
  <c r="W191" i="1"/>
  <c r="W190" i="1"/>
  <c r="W189" i="1"/>
  <c r="W188" i="1"/>
  <c r="W187" i="1"/>
  <c r="W186" i="1"/>
  <c r="W185" i="1"/>
  <c r="W184" i="1"/>
  <c r="W183" i="1"/>
  <c r="W182" i="1"/>
  <c r="W181" i="1"/>
  <c r="W180" i="1"/>
  <c r="W179" i="1"/>
  <c r="W503" i="1"/>
  <c r="W477" i="1"/>
  <c r="W476" i="1"/>
  <c r="W512" i="1"/>
  <c r="W431" i="1"/>
  <c r="W511" i="1"/>
  <c r="W16" i="1"/>
  <c r="W499" i="1"/>
  <c r="W475" i="1"/>
  <c r="W474" i="1"/>
  <c r="W502" i="1"/>
  <c r="W430" i="1"/>
  <c r="W510" i="1"/>
  <c r="W63" i="1"/>
  <c r="W62" i="1"/>
  <c r="W61" i="1"/>
  <c r="W60" i="1"/>
  <c r="W59" i="1"/>
  <c r="W58" i="1"/>
  <c r="W15" i="1"/>
  <c r="W57" i="1"/>
  <c r="W429" i="1"/>
  <c r="W14" i="1"/>
  <c r="W428" i="1"/>
  <c r="W427" i="1"/>
  <c r="W426" i="1"/>
  <c r="W425" i="1"/>
  <c r="W56" i="1"/>
  <c r="W55" i="1"/>
  <c r="W54" i="1"/>
  <c r="W53" i="1"/>
  <c r="W13" i="1"/>
  <c r="W424" i="1"/>
  <c r="W52" i="1"/>
  <c r="W423" i="1"/>
  <c r="W51" i="1"/>
  <c r="W50" i="1"/>
  <c r="W422" i="1"/>
  <c r="W421" i="1"/>
  <c r="W49" i="1"/>
  <c r="W48" i="1"/>
  <c r="W12" i="1"/>
  <c r="W23" i="1"/>
  <c r="W81" i="1"/>
  <c r="W22" i="1"/>
  <c r="W80" i="1"/>
  <c r="W79" i="1"/>
  <c r="W442" i="1"/>
  <c r="W441" i="1"/>
  <c r="W440" i="1"/>
  <c r="W439" i="1"/>
  <c r="W438" i="1"/>
  <c r="W437" i="1"/>
  <c r="W436" i="1"/>
  <c r="W435" i="1"/>
  <c r="W434" i="1"/>
  <c r="W433" i="1"/>
  <c r="W432" i="1"/>
  <c r="W465" i="1"/>
  <c r="W464" i="1"/>
  <c r="W463" i="1"/>
  <c r="W462" i="1"/>
  <c r="W461" i="1"/>
  <c r="W460" i="1"/>
  <c r="W459" i="1"/>
  <c r="W458" i="1"/>
  <c r="W457" i="1"/>
  <c r="W456" i="1"/>
  <c r="W455" i="1"/>
  <c r="W454" i="1"/>
  <c r="W453" i="1"/>
  <c r="W452" i="1"/>
  <c r="W451" i="1"/>
  <c r="W450" i="1"/>
  <c r="W449" i="1"/>
  <c r="W448" i="1"/>
  <c r="W447" i="1"/>
  <c r="W446" i="1"/>
  <c r="W445" i="1"/>
  <c r="W444" i="1"/>
  <c r="W443" i="1"/>
  <c r="W420" i="1"/>
  <c r="W419" i="1"/>
  <c r="W418" i="1"/>
  <c r="W417" i="1"/>
  <c r="W416" i="1"/>
  <c r="W415" i="1"/>
  <c r="W414" i="1"/>
  <c r="W413" i="1"/>
  <c r="W412" i="1"/>
  <c r="W411" i="1"/>
  <c r="W410" i="1"/>
  <c r="W409" i="1"/>
  <c r="W408" i="1"/>
  <c r="W407" i="1"/>
  <c r="W406" i="1"/>
  <c r="W405" i="1"/>
  <c r="W404" i="1"/>
  <c r="W403" i="1"/>
  <c r="W402" i="1"/>
  <c r="W401" i="1"/>
  <c r="W400" i="1"/>
  <c r="W399" i="1"/>
  <c r="W398" i="1"/>
  <c r="W397" i="1"/>
  <c r="W396" i="1"/>
  <c r="W395" i="1"/>
  <c r="W394" i="1"/>
  <c r="W393" i="1"/>
  <c r="W392" i="1"/>
  <c r="W391" i="1"/>
  <c r="W390" i="1"/>
  <c r="V283" i="1"/>
  <c r="V282" i="1"/>
  <c r="V281" i="1"/>
  <c r="V280" i="1"/>
  <c r="V279" i="1"/>
  <c r="V278" i="1"/>
  <c r="V277" i="1"/>
  <c r="V276" i="1"/>
  <c r="V275" i="1"/>
  <c r="V274" i="1"/>
  <c r="V273" i="1"/>
  <c r="V272" i="1"/>
  <c r="V271" i="1"/>
  <c r="V270" i="1"/>
  <c r="V31" i="1"/>
  <c r="V269" i="1"/>
  <c r="V268" i="1"/>
  <c r="V267" i="1"/>
  <c r="V266" i="1"/>
  <c r="V265" i="1"/>
  <c r="V264" i="1"/>
  <c r="V263" i="1"/>
  <c r="V262" i="1"/>
  <c r="V261" i="1"/>
  <c r="V260" i="1"/>
  <c r="V259" i="1"/>
  <c r="V258" i="1"/>
  <c r="V257" i="1"/>
  <c r="V256" i="1"/>
  <c r="V255" i="1"/>
  <c r="V254" i="1"/>
  <c r="V253" i="1"/>
  <c r="V252" i="1"/>
  <c r="V251" i="1"/>
  <c r="V250" i="1"/>
  <c r="V249" i="1"/>
  <c r="V248" i="1"/>
  <c r="V247" i="1"/>
  <c r="V246" i="1"/>
  <c r="V245" i="1"/>
  <c r="V244" i="1"/>
  <c r="V243" i="1"/>
  <c r="V242" i="1"/>
  <c r="V241" i="1"/>
  <c r="V240" i="1"/>
  <c r="V239" i="1"/>
  <c r="V238" i="1"/>
  <c r="V237" i="1"/>
  <c r="V236" i="1"/>
  <c r="V235" i="1"/>
  <c r="V234" i="1"/>
  <c r="V233" i="1"/>
  <c r="V232" i="1"/>
  <c r="V231" i="1"/>
  <c r="V495" i="1"/>
  <c r="V494" i="1"/>
  <c r="V493" i="1"/>
  <c r="V492" i="1"/>
  <c r="V473" i="1"/>
  <c r="V178" i="1"/>
  <c r="V177" i="1"/>
  <c r="V176" i="1"/>
  <c r="V175" i="1"/>
  <c r="V174" i="1"/>
  <c r="V173" i="1"/>
  <c r="V172" i="1"/>
  <c r="V171" i="1"/>
  <c r="V170" i="1"/>
  <c r="V169" i="1"/>
  <c r="V168" i="1"/>
  <c r="V167" i="1"/>
  <c r="V166" i="1"/>
  <c r="V165" i="1"/>
  <c r="V164" i="1"/>
  <c r="V163" i="1"/>
  <c r="V162" i="1"/>
  <c r="V161" i="1"/>
  <c r="V160" i="1"/>
  <c r="V159" i="1"/>
  <c r="V158" i="1"/>
  <c r="V157" i="1"/>
  <c r="V156" i="1"/>
  <c r="V155" i="1"/>
  <c r="V154" i="1"/>
  <c r="V153" i="1"/>
  <c r="V152" i="1"/>
  <c r="V151" i="1"/>
  <c r="V150" i="1"/>
  <c r="V149" i="1"/>
  <c r="V148" i="1"/>
  <c r="V147" i="1"/>
  <c r="V146" i="1"/>
  <c r="V145" i="1"/>
  <c r="V144" i="1"/>
  <c r="V143" i="1"/>
  <c r="V142" i="1"/>
  <c r="V141" i="1"/>
  <c r="V140" i="1"/>
  <c r="V139" i="1"/>
  <c r="V138" i="1"/>
  <c r="V137" i="1"/>
  <c r="V26" i="1"/>
  <c r="V136" i="1"/>
  <c r="V135" i="1"/>
  <c r="V134" i="1"/>
  <c r="V133" i="1"/>
  <c r="V132" i="1"/>
  <c r="V131" i="1"/>
  <c r="V130" i="1"/>
  <c r="V129" i="1"/>
  <c r="V128" i="1"/>
  <c r="V127" i="1"/>
  <c r="V126" i="1"/>
  <c r="V125" i="1"/>
  <c r="V124" i="1"/>
  <c r="V123" i="1"/>
  <c r="V122" i="1"/>
  <c r="V121" i="1"/>
  <c r="V120" i="1"/>
  <c r="V119" i="1"/>
  <c r="V118" i="1"/>
  <c r="V117" i="1"/>
  <c r="V116" i="1"/>
  <c r="V115" i="1"/>
  <c r="V114" i="1"/>
  <c r="V113" i="1"/>
  <c r="V112" i="1"/>
  <c r="V111" i="1"/>
  <c r="V110" i="1"/>
  <c r="V109" i="1"/>
  <c r="V108" i="1"/>
  <c r="V107" i="1"/>
  <c r="V106" i="1"/>
  <c r="V105" i="1"/>
  <c r="V104" i="1"/>
  <c r="V103" i="1"/>
  <c r="V102" i="1"/>
  <c r="V101" i="1"/>
  <c r="V100" i="1"/>
  <c r="V99" i="1"/>
  <c r="V98" i="1"/>
  <c r="V97" i="1"/>
  <c r="V96" i="1"/>
  <c r="V95" i="1"/>
  <c r="V94" i="1"/>
  <c r="V93" i="1"/>
  <c r="V92" i="1"/>
  <c r="V91" i="1"/>
  <c r="V90" i="1"/>
  <c r="V89" i="1"/>
  <c r="V88" i="1"/>
  <c r="V87" i="1"/>
  <c r="V86" i="1"/>
  <c r="V85" i="1"/>
  <c r="V84" i="1"/>
  <c r="V25" i="1"/>
  <c r="V83" i="1"/>
  <c r="V24" i="1"/>
  <c r="V82" i="1"/>
  <c r="V519" i="1"/>
  <c r="V518" i="1"/>
  <c r="V517" i="1"/>
  <c r="V516" i="1"/>
  <c r="V515" i="1"/>
  <c r="V514" i="1"/>
  <c r="V486" i="1"/>
  <c r="V485" i="1"/>
  <c r="V484" i="1"/>
  <c r="V483" i="1"/>
  <c r="V482" i="1"/>
  <c r="V513" i="1"/>
  <c r="V481" i="1"/>
  <c r="V500" i="1"/>
  <c r="V480" i="1"/>
  <c r="V504" i="1"/>
  <c r="V479" i="1"/>
  <c r="V469" i="1"/>
  <c r="V468" i="1"/>
  <c r="V478" i="1"/>
  <c r="V467" i="1"/>
  <c r="V466" i="1"/>
  <c r="V331" i="1"/>
  <c r="V330" i="1"/>
  <c r="V329" i="1"/>
  <c r="V328" i="1"/>
  <c r="V327" i="1"/>
  <c r="V326" i="1"/>
  <c r="V325" i="1"/>
  <c r="V324" i="1"/>
  <c r="V323" i="1"/>
  <c r="V322" i="1"/>
  <c r="V321" i="1"/>
  <c r="V320" i="1"/>
  <c r="V319" i="1"/>
  <c r="V318" i="1"/>
  <c r="V317" i="1"/>
  <c r="V316" i="1"/>
  <c r="V315" i="1"/>
  <c r="V314" i="1"/>
  <c r="V313" i="1"/>
  <c r="V312" i="1"/>
  <c r="V311" i="1"/>
  <c r="V310" i="1"/>
  <c r="V309" i="1"/>
  <c r="V308" i="1"/>
  <c r="V307" i="1"/>
  <c r="V306" i="1"/>
  <c r="V305" i="1"/>
  <c r="V304" i="1"/>
  <c r="V303" i="1"/>
  <c r="V302" i="1"/>
  <c r="V301" i="1"/>
  <c r="V300" i="1"/>
  <c r="V299" i="1"/>
  <c r="V298" i="1"/>
  <c r="V297" i="1"/>
  <c r="V296" i="1"/>
  <c r="V295" i="1"/>
  <c r="V294" i="1"/>
  <c r="V293" i="1"/>
  <c r="V292" i="1"/>
  <c r="V291" i="1"/>
  <c r="V290" i="1"/>
  <c r="V289" i="1"/>
  <c r="V288" i="1"/>
  <c r="V287" i="1"/>
  <c r="V286" i="1"/>
  <c r="V509" i="1"/>
  <c r="V508" i="1"/>
  <c r="V507" i="1"/>
  <c r="V501" i="1"/>
  <c r="V506" i="1"/>
  <c r="V505" i="1"/>
  <c r="V285" i="1"/>
  <c r="V497" i="1"/>
  <c r="V496" i="1"/>
  <c r="V284" i="1"/>
  <c r="V389" i="1"/>
  <c r="V388" i="1"/>
  <c r="V387" i="1"/>
  <c r="V386" i="1"/>
  <c r="V385" i="1"/>
  <c r="V384" i="1"/>
  <c r="V383" i="1"/>
  <c r="V382" i="1"/>
  <c r="V381" i="1"/>
  <c r="V380" i="1"/>
  <c r="V379" i="1"/>
  <c r="V378" i="1"/>
  <c r="V377" i="1"/>
  <c r="V376" i="1"/>
  <c r="V375" i="1"/>
  <c r="V374" i="1"/>
  <c r="V373" i="1"/>
  <c r="V372" i="1"/>
  <c r="V371" i="1"/>
  <c r="V370" i="1"/>
  <c r="V369" i="1"/>
  <c r="V368" i="1"/>
  <c r="V367" i="1"/>
  <c r="V366" i="1"/>
  <c r="V365" i="1"/>
  <c r="V364" i="1"/>
  <c r="V363" i="1"/>
  <c r="V362" i="1"/>
  <c r="V361" i="1"/>
  <c r="V360" i="1"/>
  <c r="V359" i="1"/>
  <c r="V358" i="1"/>
  <c r="V357" i="1"/>
  <c r="V356" i="1"/>
  <c r="V355" i="1"/>
  <c r="V354" i="1"/>
  <c r="V353" i="1"/>
  <c r="V352" i="1"/>
  <c r="V351" i="1"/>
  <c r="V350" i="1"/>
  <c r="V34" i="1"/>
  <c r="V349" i="1"/>
  <c r="V348" i="1"/>
  <c r="V347" i="1"/>
  <c r="V346" i="1"/>
  <c r="V345" i="1"/>
  <c r="V344" i="1"/>
  <c r="V343" i="1"/>
  <c r="V342" i="1"/>
  <c r="V341" i="1"/>
  <c r="V340" i="1"/>
  <c r="V339" i="1"/>
  <c r="V33" i="1"/>
  <c r="V32" i="1"/>
  <c r="V338" i="1"/>
  <c r="V337" i="1"/>
  <c r="V336" i="1"/>
  <c r="V335" i="1"/>
  <c r="V334" i="1"/>
  <c r="V333" i="1"/>
  <c r="V332" i="1"/>
  <c r="V21" i="1"/>
  <c r="V78" i="1"/>
  <c r="V20" i="1"/>
  <c r="V77" i="1"/>
  <c r="V76" i="1"/>
  <c r="V75" i="1"/>
  <c r="V74" i="1"/>
  <c r="V73" i="1"/>
  <c r="V19" i="1"/>
  <c r="V72" i="1"/>
  <c r="V71" i="1"/>
  <c r="V70" i="1"/>
  <c r="V18" i="1"/>
  <c r="V69" i="1"/>
  <c r="V68" i="1"/>
  <c r="V67" i="1"/>
  <c r="V66" i="1"/>
  <c r="V17" i="1"/>
  <c r="V65" i="1"/>
  <c r="V64" i="1"/>
  <c r="V491" i="1"/>
  <c r="V490" i="1"/>
  <c r="V489" i="1"/>
  <c r="V472" i="1"/>
  <c r="V471" i="1"/>
  <c r="V470" i="1"/>
  <c r="V488" i="1"/>
  <c r="V487" i="1"/>
  <c r="V230" i="1"/>
  <c r="V229" i="1"/>
  <c r="V228" i="1"/>
  <c r="V227" i="1"/>
  <c r="V226" i="1"/>
  <c r="V225" i="1"/>
  <c r="V224" i="1"/>
  <c r="V223" i="1"/>
  <c r="V222" i="1"/>
  <c r="V221" i="1"/>
  <c r="V220" i="1"/>
  <c r="V219" i="1"/>
  <c r="V218" i="1"/>
  <c r="V30" i="1"/>
  <c r="V217" i="1"/>
  <c r="V29" i="1"/>
  <c r="V216" i="1"/>
  <c r="V28" i="1"/>
  <c r="V215" i="1"/>
  <c r="V214" i="1"/>
  <c r="V213" i="1"/>
  <c r="V212" i="1"/>
  <c r="V211" i="1"/>
  <c r="V210" i="1"/>
  <c r="V209" i="1"/>
  <c r="V208" i="1"/>
  <c r="V27" i="1"/>
  <c r="V207" i="1"/>
  <c r="V206" i="1"/>
  <c r="V205" i="1"/>
  <c r="V204" i="1"/>
  <c r="V203" i="1"/>
  <c r="V202" i="1"/>
  <c r="V201" i="1"/>
  <c r="V200" i="1"/>
  <c r="V199" i="1"/>
  <c r="V198" i="1"/>
  <c r="V197" i="1"/>
  <c r="V196" i="1"/>
  <c r="V195" i="1"/>
  <c r="V194" i="1"/>
  <c r="V193" i="1"/>
  <c r="V192" i="1"/>
  <c r="V191" i="1"/>
  <c r="V190" i="1"/>
  <c r="V189" i="1"/>
  <c r="V188" i="1"/>
  <c r="V187" i="1"/>
  <c r="V186" i="1"/>
  <c r="V185" i="1"/>
  <c r="V184" i="1"/>
  <c r="V183" i="1"/>
  <c r="V182" i="1"/>
  <c r="V181" i="1"/>
  <c r="V180" i="1"/>
  <c r="V179" i="1"/>
  <c r="V503" i="1"/>
  <c r="V477" i="1"/>
  <c r="V476" i="1"/>
  <c r="V512" i="1"/>
  <c r="V431" i="1"/>
  <c r="V511" i="1"/>
  <c r="V16" i="1"/>
  <c r="V499" i="1"/>
  <c r="V475" i="1"/>
  <c r="V474" i="1"/>
  <c r="V502" i="1"/>
  <c r="V430" i="1"/>
  <c r="V510" i="1"/>
  <c r="V63" i="1"/>
  <c r="V62" i="1"/>
  <c r="V61" i="1"/>
  <c r="V60" i="1"/>
  <c r="V59" i="1"/>
  <c r="V58" i="1"/>
  <c r="V15" i="1"/>
  <c r="V57" i="1"/>
  <c r="V429" i="1"/>
  <c r="V14" i="1"/>
  <c r="V428" i="1"/>
  <c r="V427" i="1"/>
  <c r="V426" i="1"/>
  <c r="V425" i="1"/>
  <c r="V56" i="1"/>
  <c r="V55" i="1"/>
  <c r="V54" i="1"/>
  <c r="V53" i="1"/>
  <c r="V13" i="1"/>
  <c r="V424" i="1"/>
  <c r="V52" i="1"/>
  <c r="V423" i="1"/>
  <c r="V51" i="1"/>
  <c r="V50" i="1"/>
  <c r="V422" i="1"/>
  <c r="V421" i="1"/>
  <c r="V49" i="1"/>
  <c r="V48" i="1"/>
  <c r="V12" i="1"/>
  <c r="V23" i="1"/>
  <c r="V81" i="1"/>
  <c r="V22" i="1"/>
  <c r="V80" i="1"/>
  <c r="V79" i="1"/>
  <c r="V442" i="1"/>
  <c r="V441" i="1"/>
  <c r="V440" i="1"/>
  <c r="V439" i="1"/>
  <c r="V438" i="1"/>
  <c r="V437" i="1"/>
  <c r="V436" i="1"/>
  <c r="V435" i="1"/>
  <c r="V434" i="1"/>
  <c r="V433" i="1"/>
  <c r="V432" i="1"/>
  <c r="V465" i="1"/>
  <c r="V464" i="1"/>
  <c r="V463" i="1"/>
  <c r="V462" i="1"/>
  <c r="V461" i="1"/>
  <c r="V460" i="1"/>
  <c r="V459" i="1"/>
  <c r="V458" i="1"/>
  <c r="V457" i="1"/>
  <c r="V456" i="1"/>
  <c r="V455" i="1"/>
  <c r="V454" i="1"/>
  <c r="V453" i="1"/>
  <c r="V452" i="1"/>
  <c r="V451" i="1"/>
  <c r="V450" i="1"/>
  <c r="V449" i="1"/>
  <c r="V448" i="1"/>
  <c r="V447" i="1"/>
  <c r="V446" i="1"/>
  <c r="V445" i="1"/>
  <c r="V444" i="1"/>
  <c r="V443" i="1"/>
  <c r="V420" i="1"/>
  <c r="V419" i="1"/>
  <c r="V418" i="1"/>
  <c r="V417" i="1"/>
  <c r="V416" i="1"/>
  <c r="V415" i="1"/>
  <c r="V414" i="1"/>
  <c r="V413" i="1"/>
  <c r="V412" i="1"/>
  <c r="V411" i="1"/>
  <c r="V410" i="1"/>
  <c r="V409" i="1"/>
  <c r="V408" i="1"/>
  <c r="V407" i="1"/>
  <c r="V406" i="1"/>
  <c r="V405" i="1"/>
  <c r="V404" i="1"/>
  <c r="V403" i="1"/>
  <c r="V402" i="1"/>
  <c r="V401" i="1"/>
  <c r="V400" i="1"/>
  <c r="V399" i="1"/>
  <c r="V398" i="1"/>
  <c r="V397" i="1"/>
  <c r="V396" i="1"/>
  <c r="V395" i="1"/>
  <c r="V394" i="1"/>
  <c r="V393" i="1"/>
  <c r="V392" i="1"/>
  <c r="V391" i="1"/>
  <c r="V390" i="1"/>
  <c r="V498" i="1"/>
  <c r="U283" i="1"/>
  <c r="U282" i="1"/>
  <c r="U281" i="1"/>
  <c r="U280" i="1"/>
  <c r="U279" i="1"/>
  <c r="U278" i="1"/>
  <c r="U277" i="1"/>
  <c r="U276" i="1"/>
  <c r="U275" i="1"/>
  <c r="U274" i="1"/>
  <c r="U273" i="1"/>
  <c r="U272" i="1"/>
  <c r="U271" i="1"/>
  <c r="U270" i="1"/>
  <c r="U31" i="1"/>
  <c r="U269" i="1"/>
  <c r="U268" i="1"/>
  <c r="U267" i="1"/>
  <c r="U266" i="1"/>
  <c r="U265" i="1"/>
  <c r="U264" i="1"/>
  <c r="U263" i="1"/>
  <c r="U262" i="1"/>
  <c r="U261" i="1"/>
  <c r="U260" i="1"/>
  <c r="U259" i="1"/>
  <c r="U258" i="1"/>
  <c r="U257" i="1"/>
  <c r="U256" i="1"/>
  <c r="U255" i="1"/>
  <c r="U254" i="1"/>
  <c r="U253" i="1"/>
  <c r="U252" i="1"/>
  <c r="U251" i="1"/>
  <c r="U250" i="1"/>
  <c r="U249" i="1"/>
  <c r="U248" i="1"/>
  <c r="U247" i="1"/>
  <c r="U246" i="1"/>
  <c r="U245" i="1"/>
  <c r="U244" i="1"/>
  <c r="U243" i="1"/>
  <c r="U242" i="1"/>
  <c r="U241" i="1"/>
  <c r="U240" i="1"/>
  <c r="U239" i="1"/>
  <c r="U238" i="1"/>
  <c r="U237" i="1"/>
  <c r="U236" i="1"/>
  <c r="U235" i="1"/>
  <c r="U234" i="1"/>
  <c r="U233" i="1"/>
  <c r="U232" i="1"/>
  <c r="U231" i="1"/>
  <c r="U495" i="1"/>
  <c r="U494" i="1"/>
  <c r="U493" i="1"/>
  <c r="U492" i="1"/>
  <c r="U473" i="1"/>
  <c r="U178" i="1"/>
  <c r="U177" i="1"/>
  <c r="U176" i="1"/>
  <c r="U175" i="1"/>
  <c r="U174" i="1"/>
  <c r="U173" i="1"/>
  <c r="U172" i="1"/>
  <c r="U171" i="1"/>
  <c r="U170" i="1"/>
  <c r="U169" i="1"/>
  <c r="U168" i="1"/>
  <c r="U167" i="1"/>
  <c r="U166" i="1"/>
  <c r="U165" i="1"/>
  <c r="U164" i="1"/>
  <c r="U163" i="1"/>
  <c r="U162" i="1"/>
  <c r="U161" i="1"/>
  <c r="U160" i="1"/>
  <c r="U159" i="1"/>
  <c r="U158" i="1"/>
  <c r="U157" i="1"/>
  <c r="U156" i="1"/>
  <c r="U155" i="1"/>
  <c r="U154" i="1"/>
  <c r="U153" i="1"/>
  <c r="U152" i="1"/>
  <c r="U151" i="1"/>
  <c r="U150" i="1"/>
  <c r="U149" i="1"/>
  <c r="U148" i="1"/>
  <c r="U147" i="1"/>
  <c r="U146" i="1"/>
  <c r="U145" i="1"/>
  <c r="U144" i="1"/>
  <c r="U143" i="1"/>
  <c r="U142" i="1"/>
  <c r="U141" i="1"/>
  <c r="U140" i="1"/>
  <c r="U139" i="1"/>
  <c r="U138" i="1"/>
  <c r="U137" i="1"/>
  <c r="U26" i="1"/>
  <c r="U136" i="1"/>
  <c r="U135" i="1"/>
  <c r="U134" i="1"/>
  <c r="U133" i="1"/>
  <c r="U132" i="1"/>
  <c r="U131" i="1"/>
  <c r="U130" i="1"/>
  <c r="U129" i="1"/>
  <c r="U128" i="1"/>
  <c r="U127" i="1"/>
  <c r="U126" i="1"/>
  <c r="U125" i="1"/>
  <c r="U124" i="1"/>
  <c r="U123" i="1"/>
  <c r="U122" i="1"/>
  <c r="U121" i="1"/>
  <c r="U120" i="1"/>
  <c r="U119" i="1"/>
  <c r="U118" i="1"/>
  <c r="U117" i="1"/>
  <c r="U116" i="1"/>
  <c r="U115" i="1"/>
  <c r="U114" i="1"/>
  <c r="U113" i="1"/>
  <c r="U112" i="1"/>
  <c r="U111" i="1"/>
  <c r="U110" i="1"/>
  <c r="U109" i="1"/>
  <c r="U108" i="1"/>
  <c r="U107" i="1"/>
  <c r="U106" i="1"/>
  <c r="U105" i="1"/>
  <c r="U104" i="1"/>
  <c r="U103" i="1"/>
  <c r="U102" i="1"/>
  <c r="U101" i="1"/>
  <c r="U100" i="1"/>
  <c r="U99" i="1"/>
  <c r="U98" i="1"/>
  <c r="U97" i="1"/>
  <c r="U96" i="1"/>
  <c r="U95" i="1"/>
  <c r="U94" i="1"/>
  <c r="U93" i="1"/>
  <c r="U92" i="1"/>
  <c r="U91" i="1"/>
  <c r="U90" i="1"/>
  <c r="U89" i="1"/>
  <c r="U88" i="1"/>
  <c r="U87" i="1"/>
  <c r="U86" i="1"/>
  <c r="U85" i="1"/>
  <c r="U84" i="1"/>
  <c r="U25" i="1"/>
  <c r="U83" i="1"/>
  <c r="U24" i="1"/>
  <c r="U82" i="1"/>
  <c r="U519" i="1"/>
  <c r="U518" i="1"/>
  <c r="U517" i="1"/>
  <c r="U516" i="1"/>
  <c r="U515" i="1"/>
  <c r="U514" i="1"/>
  <c r="U486" i="1"/>
  <c r="U485" i="1"/>
  <c r="U484" i="1"/>
  <c r="U483" i="1"/>
  <c r="U482" i="1"/>
  <c r="U513" i="1"/>
  <c r="U481" i="1"/>
  <c r="U500" i="1"/>
  <c r="U480" i="1"/>
  <c r="U504" i="1"/>
  <c r="U479" i="1"/>
  <c r="U469" i="1"/>
  <c r="U468" i="1"/>
  <c r="U478" i="1"/>
  <c r="U467" i="1"/>
  <c r="U466" i="1"/>
  <c r="U331" i="1"/>
  <c r="U330" i="1"/>
  <c r="U329" i="1"/>
  <c r="U328" i="1"/>
  <c r="U327" i="1"/>
  <c r="U326" i="1"/>
  <c r="U325" i="1"/>
  <c r="U324" i="1"/>
  <c r="U323" i="1"/>
  <c r="U322" i="1"/>
  <c r="U321" i="1"/>
  <c r="U320" i="1"/>
  <c r="U319" i="1"/>
  <c r="U318" i="1"/>
  <c r="U317" i="1"/>
  <c r="U316" i="1"/>
  <c r="U315" i="1"/>
  <c r="U314" i="1"/>
  <c r="U313" i="1"/>
  <c r="U312" i="1"/>
  <c r="U311" i="1"/>
  <c r="U310" i="1"/>
  <c r="U309" i="1"/>
  <c r="U308" i="1"/>
  <c r="U307" i="1"/>
  <c r="U306" i="1"/>
  <c r="U305" i="1"/>
  <c r="U304" i="1"/>
  <c r="U303" i="1"/>
  <c r="U302" i="1"/>
  <c r="U301" i="1"/>
  <c r="U300" i="1"/>
  <c r="U299" i="1"/>
  <c r="U298" i="1"/>
  <c r="U297" i="1"/>
  <c r="U296" i="1"/>
  <c r="U295" i="1"/>
  <c r="U294" i="1"/>
  <c r="U293" i="1"/>
  <c r="U292" i="1"/>
  <c r="U291" i="1"/>
  <c r="U290" i="1"/>
  <c r="U289" i="1"/>
  <c r="U288" i="1"/>
  <c r="U287" i="1"/>
  <c r="U286" i="1"/>
  <c r="U509" i="1"/>
  <c r="U508" i="1"/>
  <c r="U507" i="1"/>
  <c r="U501" i="1"/>
  <c r="U506" i="1"/>
  <c r="U505" i="1"/>
  <c r="U285" i="1"/>
  <c r="U497" i="1"/>
  <c r="U496" i="1"/>
  <c r="U284" i="1"/>
  <c r="U389" i="1"/>
  <c r="U388" i="1"/>
  <c r="U387" i="1"/>
  <c r="U386" i="1"/>
  <c r="U385" i="1"/>
  <c r="U384" i="1"/>
  <c r="U383" i="1"/>
  <c r="U382" i="1"/>
  <c r="U381" i="1"/>
  <c r="U380" i="1"/>
  <c r="U379" i="1"/>
  <c r="U378" i="1"/>
  <c r="U377" i="1"/>
  <c r="U376" i="1"/>
  <c r="U375" i="1"/>
  <c r="U374" i="1"/>
  <c r="U373" i="1"/>
  <c r="U372" i="1"/>
  <c r="U371" i="1"/>
  <c r="U370" i="1"/>
  <c r="U369" i="1"/>
  <c r="U368" i="1"/>
  <c r="U367" i="1"/>
  <c r="U366" i="1"/>
  <c r="U365" i="1"/>
  <c r="U364" i="1"/>
  <c r="U363" i="1"/>
  <c r="U362" i="1"/>
  <c r="U361" i="1"/>
  <c r="U360" i="1"/>
  <c r="U359" i="1"/>
  <c r="U358" i="1"/>
  <c r="U357" i="1"/>
  <c r="U356" i="1"/>
  <c r="U355" i="1"/>
  <c r="U354" i="1"/>
  <c r="U353" i="1"/>
  <c r="U352" i="1"/>
  <c r="U351" i="1"/>
  <c r="U350" i="1"/>
  <c r="U34" i="1"/>
  <c r="U349" i="1"/>
  <c r="U348" i="1"/>
  <c r="U347" i="1"/>
  <c r="U346" i="1"/>
  <c r="U345" i="1"/>
  <c r="U344" i="1"/>
  <c r="U343" i="1"/>
  <c r="U342" i="1"/>
  <c r="U341" i="1"/>
  <c r="U340" i="1"/>
  <c r="U339" i="1"/>
  <c r="U33" i="1"/>
  <c r="U32" i="1"/>
  <c r="U338" i="1"/>
  <c r="U337" i="1"/>
  <c r="U336" i="1"/>
  <c r="U335" i="1"/>
  <c r="U334" i="1"/>
  <c r="U333" i="1"/>
  <c r="U332" i="1"/>
  <c r="U21" i="1"/>
  <c r="U78" i="1"/>
  <c r="U20" i="1"/>
  <c r="U77" i="1"/>
  <c r="U76" i="1"/>
  <c r="U75" i="1"/>
  <c r="U74" i="1"/>
  <c r="U73" i="1"/>
  <c r="U19" i="1"/>
  <c r="U72" i="1"/>
  <c r="U71" i="1"/>
  <c r="U70" i="1"/>
  <c r="U18" i="1"/>
  <c r="U69" i="1"/>
  <c r="U68" i="1"/>
  <c r="U67" i="1"/>
  <c r="U66" i="1"/>
  <c r="U17" i="1"/>
  <c r="U65" i="1"/>
  <c r="U64" i="1"/>
  <c r="U491" i="1"/>
  <c r="U490" i="1"/>
  <c r="U489" i="1"/>
  <c r="U472" i="1"/>
  <c r="U471" i="1"/>
  <c r="U470" i="1"/>
  <c r="U488" i="1"/>
  <c r="U487" i="1"/>
  <c r="U230" i="1"/>
  <c r="U229" i="1"/>
  <c r="U228" i="1"/>
  <c r="U227" i="1"/>
  <c r="U226" i="1"/>
  <c r="U225" i="1"/>
  <c r="U224" i="1"/>
  <c r="U223" i="1"/>
  <c r="U222" i="1"/>
  <c r="U221" i="1"/>
  <c r="U220" i="1"/>
  <c r="U219" i="1"/>
  <c r="U218" i="1"/>
  <c r="U30" i="1"/>
  <c r="U217" i="1"/>
  <c r="U29" i="1"/>
  <c r="U216" i="1"/>
  <c r="U28" i="1"/>
  <c r="U215" i="1"/>
  <c r="U214" i="1"/>
  <c r="U213" i="1"/>
  <c r="U212" i="1"/>
  <c r="U211" i="1"/>
  <c r="U210" i="1"/>
  <c r="U209" i="1"/>
  <c r="U208" i="1"/>
  <c r="U27" i="1"/>
  <c r="U207" i="1"/>
  <c r="U206" i="1"/>
  <c r="U205" i="1"/>
  <c r="U204" i="1"/>
  <c r="U203" i="1"/>
  <c r="U202" i="1"/>
  <c r="U201" i="1"/>
  <c r="U200" i="1"/>
  <c r="U199" i="1"/>
  <c r="U198" i="1"/>
  <c r="U197" i="1"/>
  <c r="U196" i="1"/>
  <c r="U195" i="1"/>
  <c r="U194" i="1"/>
  <c r="U193" i="1"/>
  <c r="U192" i="1"/>
  <c r="U191" i="1"/>
  <c r="U190" i="1"/>
  <c r="U189" i="1"/>
  <c r="U188" i="1"/>
  <c r="U187" i="1"/>
  <c r="U186" i="1"/>
  <c r="U185" i="1"/>
  <c r="U184" i="1"/>
  <c r="U183" i="1"/>
  <c r="U182" i="1"/>
  <c r="U181" i="1"/>
  <c r="U180" i="1"/>
  <c r="U179" i="1"/>
  <c r="U503" i="1"/>
  <c r="U477" i="1"/>
  <c r="U476" i="1"/>
  <c r="U512" i="1"/>
  <c r="U431" i="1"/>
  <c r="U511" i="1"/>
  <c r="U16" i="1"/>
  <c r="U499" i="1"/>
  <c r="U475" i="1"/>
  <c r="U474" i="1"/>
  <c r="U502" i="1"/>
  <c r="U430" i="1"/>
  <c r="U510" i="1"/>
  <c r="U63" i="1"/>
  <c r="U62" i="1"/>
  <c r="U61" i="1"/>
  <c r="U60" i="1"/>
  <c r="U59" i="1"/>
  <c r="U58" i="1"/>
  <c r="U15" i="1"/>
  <c r="U57" i="1"/>
  <c r="U429" i="1"/>
  <c r="U14" i="1"/>
  <c r="U428" i="1"/>
  <c r="U427" i="1"/>
  <c r="U426" i="1"/>
  <c r="U425" i="1"/>
  <c r="U56" i="1"/>
  <c r="U55" i="1"/>
  <c r="U54" i="1"/>
  <c r="U53" i="1"/>
  <c r="U13" i="1"/>
  <c r="U424" i="1"/>
  <c r="U52" i="1"/>
  <c r="U423" i="1"/>
  <c r="U51" i="1"/>
  <c r="U50" i="1"/>
  <c r="U422" i="1"/>
  <c r="U421" i="1"/>
  <c r="U49" i="1"/>
  <c r="U48" i="1"/>
  <c r="U12" i="1"/>
  <c r="U23" i="1"/>
  <c r="U81" i="1"/>
  <c r="U22" i="1"/>
  <c r="U80" i="1"/>
  <c r="U79" i="1"/>
  <c r="U442" i="1"/>
  <c r="U441" i="1"/>
  <c r="U440" i="1"/>
  <c r="U439" i="1"/>
  <c r="U438" i="1"/>
  <c r="U437" i="1"/>
  <c r="U436" i="1"/>
  <c r="U435" i="1"/>
  <c r="U434" i="1"/>
  <c r="U433" i="1"/>
  <c r="U432" i="1"/>
  <c r="U465" i="1"/>
  <c r="U464" i="1"/>
  <c r="U463" i="1"/>
  <c r="U462" i="1"/>
  <c r="U461" i="1"/>
  <c r="U460" i="1"/>
  <c r="U459" i="1"/>
  <c r="U458" i="1"/>
  <c r="U457" i="1"/>
  <c r="U456" i="1"/>
  <c r="U455" i="1"/>
  <c r="U454" i="1"/>
  <c r="U453" i="1"/>
  <c r="U452" i="1"/>
  <c r="U451" i="1"/>
  <c r="U450" i="1"/>
  <c r="U449" i="1"/>
  <c r="U448" i="1"/>
  <c r="U447" i="1"/>
  <c r="U446" i="1"/>
  <c r="U445" i="1"/>
  <c r="U444" i="1"/>
  <c r="U443" i="1"/>
  <c r="U420" i="1"/>
  <c r="U419" i="1"/>
  <c r="U418" i="1"/>
  <c r="U417" i="1"/>
  <c r="U416" i="1"/>
  <c r="U415" i="1"/>
  <c r="U414" i="1"/>
  <c r="U413" i="1"/>
  <c r="U412" i="1"/>
  <c r="U411" i="1"/>
  <c r="U410" i="1"/>
  <c r="U409" i="1"/>
  <c r="U408" i="1"/>
  <c r="U407" i="1"/>
  <c r="U406" i="1"/>
  <c r="U405" i="1"/>
  <c r="U404" i="1"/>
  <c r="U403" i="1"/>
  <c r="U402" i="1"/>
  <c r="U401" i="1"/>
  <c r="U400" i="1"/>
  <c r="U399" i="1"/>
  <c r="U398" i="1"/>
  <c r="U397" i="1"/>
  <c r="U396" i="1"/>
  <c r="U395" i="1"/>
  <c r="U394" i="1"/>
  <c r="U393" i="1"/>
  <c r="U392" i="1"/>
  <c r="U391" i="1"/>
  <c r="U390" i="1"/>
  <c r="U498" i="1"/>
  <c r="T283" i="1"/>
  <c r="T282" i="1"/>
  <c r="T281" i="1"/>
  <c r="T280" i="1"/>
  <c r="T279" i="1"/>
  <c r="T278" i="1"/>
  <c r="T277" i="1"/>
  <c r="T276" i="1"/>
  <c r="T275" i="1"/>
  <c r="T274" i="1"/>
  <c r="T273" i="1"/>
  <c r="T272" i="1"/>
  <c r="T271" i="1"/>
  <c r="T270" i="1"/>
  <c r="T31" i="1"/>
  <c r="T269" i="1"/>
  <c r="T268" i="1"/>
  <c r="T267" i="1"/>
  <c r="T266" i="1"/>
  <c r="T265" i="1"/>
  <c r="T264" i="1"/>
  <c r="T263" i="1"/>
  <c r="T262" i="1"/>
  <c r="T261" i="1"/>
  <c r="T260" i="1"/>
  <c r="T259" i="1"/>
  <c r="T258" i="1"/>
  <c r="T257" i="1"/>
  <c r="T256" i="1"/>
  <c r="T255" i="1"/>
  <c r="T254" i="1"/>
  <c r="T253" i="1"/>
  <c r="T252" i="1"/>
  <c r="T251" i="1"/>
  <c r="T250" i="1"/>
  <c r="T249" i="1"/>
  <c r="T248" i="1"/>
  <c r="T247" i="1"/>
  <c r="T246" i="1"/>
  <c r="T245" i="1"/>
  <c r="T244" i="1"/>
  <c r="T243" i="1"/>
  <c r="T242" i="1"/>
  <c r="T241" i="1"/>
  <c r="T240" i="1"/>
  <c r="T239" i="1"/>
  <c r="T238" i="1"/>
  <c r="T237" i="1"/>
  <c r="T236" i="1"/>
  <c r="T235" i="1"/>
  <c r="T234" i="1"/>
  <c r="T233" i="1"/>
  <c r="T232" i="1"/>
  <c r="T231" i="1"/>
  <c r="T495" i="1"/>
  <c r="T494" i="1"/>
  <c r="T493" i="1"/>
  <c r="T492" i="1"/>
  <c r="T473" i="1"/>
  <c r="T178" i="1"/>
  <c r="T177" i="1"/>
  <c r="T176" i="1"/>
  <c r="T175" i="1"/>
  <c r="T174" i="1"/>
  <c r="T173" i="1"/>
  <c r="T172" i="1"/>
  <c r="T171" i="1"/>
  <c r="T170" i="1"/>
  <c r="T169" i="1"/>
  <c r="T168" i="1"/>
  <c r="T167" i="1"/>
  <c r="T166" i="1"/>
  <c r="T165" i="1"/>
  <c r="T164" i="1"/>
  <c r="T163" i="1"/>
  <c r="T162" i="1"/>
  <c r="T161" i="1"/>
  <c r="T160" i="1"/>
  <c r="T159" i="1"/>
  <c r="T158" i="1"/>
  <c r="T157" i="1"/>
  <c r="T156" i="1"/>
  <c r="T155" i="1"/>
  <c r="T154" i="1"/>
  <c r="T153" i="1"/>
  <c r="T152" i="1"/>
  <c r="T151" i="1"/>
  <c r="T150" i="1"/>
  <c r="T149" i="1"/>
  <c r="T148" i="1"/>
  <c r="T147" i="1"/>
  <c r="T146" i="1"/>
  <c r="T145" i="1"/>
  <c r="T144" i="1"/>
  <c r="T143" i="1"/>
  <c r="T142" i="1"/>
  <c r="T141" i="1"/>
  <c r="T140" i="1"/>
  <c r="T139" i="1"/>
  <c r="T138" i="1"/>
  <c r="T137" i="1"/>
  <c r="T26" i="1"/>
  <c r="T136" i="1"/>
  <c r="T135" i="1"/>
  <c r="T134" i="1"/>
  <c r="T133" i="1"/>
  <c r="T132" i="1"/>
  <c r="T131" i="1"/>
  <c r="T130" i="1"/>
  <c r="T129" i="1"/>
  <c r="T128" i="1"/>
  <c r="T127" i="1"/>
  <c r="T126" i="1"/>
  <c r="T125" i="1"/>
  <c r="T124" i="1"/>
  <c r="T123" i="1"/>
  <c r="T122" i="1"/>
  <c r="T121" i="1"/>
  <c r="T120" i="1"/>
  <c r="T119" i="1"/>
  <c r="T118" i="1"/>
  <c r="T117" i="1"/>
  <c r="T116" i="1"/>
  <c r="T115" i="1"/>
  <c r="T114" i="1"/>
  <c r="T113" i="1"/>
  <c r="T112" i="1"/>
  <c r="T111" i="1"/>
  <c r="T110" i="1"/>
  <c r="T109" i="1"/>
  <c r="T108" i="1"/>
  <c r="T107" i="1"/>
  <c r="T106" i="1"/>
  <c r="T105" i="1"/>
  <c r="T104" i="1"/>
  <c r="T103" i="1"/>
  <c r="T102" i="1"/>
  <c r="T101" i="1"/>
  <c r="T100" i="1"/>
  <c r="T99" i="1"/>
  <c r="T98" i="1"/>
  <c r="T97" i="1"/>
  <c r="T96" i="1"/>
  <c r="T95" i="1"/>
  <c r="T94" i="1"/>
  <c r="T93" i="1"/>
  <c r="T92" i="1"/>
  <c r="T91" i="1"/>
  <c r="T90" i="1"/>
  <c r="T89" i="1"/>
  <c r="T88" i="1"/>
  <c r="T87" i="1"/>
  <c r="T86" i="1"/>
  <c r="T85" i="1"/>
  <c r="T84" i="1"/>
  <c r="T25" i="1"/>
  <c r="T83" i="1"/>
  <c r="T24" i="1"/>
  <c r="T82" i="1"/>
  <c r="T519" i="1"/>
  <c r="T518" i="1"/>
  <c r="T517" i="1"/>
  <c r="T516" i="1"/>
  <c r="T515" i="1"/>
  <c r="T514" i="1"/>
  <c r="T486" i="1"/>
  <c r="T485" i="1"/>
  <c r="T484" i="1"/>
  <c r="T483" i="1"/>
  <c r="T482" i="1"/>
  <c r="T513" i="1"/>
  <c r="T481" i="1"/>
  <c r="T500" i="1"/>
  <c r="T480" i="1"/>
  <c r="T504" i="1"/>
  <c r="T479" i="1"/>
  <c r="T469" i="1"/>
  <c r="T468" i="1"/>
  <c r="T478" i="1"/>
  <c r="T467" i="1"/>
  <c r="T466" i="1"/>
  <c r="T331" i="1"/>
  <c r="T330" i="1"/>
  <c r="T329" i="1"/>
  <c r="T328" i="1"/>
  <c r="T327" i="1"/>
  <c r="T326" i="1"/>
  <c r="T325" i="1"/>
  <c r="T324" i="1"/>
  <c r="T323" i="1"/>
  <c r="T322" i="1"/>
  <c r="T321" i="1"/>
  <c r="T320" i="1"/>
  <c r="T319" i="1"/>
  <c r="T318" i="1"/>
  <c r="T317" i="1"/>
  <c r="T316" i="1"/>
  <c r="T315" i="1"/>
  <c r="T314" i="1"/>
  <c r="T313" i="1"/>
  <c r="T312" i="1"/>
  <c r="T311" i="1"/>
  <c r="T310" i="1"/>
  <c r="T309" i="1"/>
  <c r="T308" i="1"/>
  <c r="T307" i="1"/>
  <c r="T306" i="1"/>
  <c r="T305" i="1"/>
  <c r="T304" i="1"/>
  <c r="T303" i="1"/>
  <c r="T302" i="1"/>
  <c r="T301" i="1"/>
  <c r="T300" i="1"/>
  <c r="T299" i="1"/>
  <c r="T298" i="1"/>
  <c r="T297" i="1"/>
  <c r="T296" i="1"/>
  <c r="T295" i="1"/>
  <c r="T294" i="1"/>
  <c r="T293" i="1"/>
  <c r="T292" i="1"/>
  <c r="T291" i="1"/>
  <c r="T290" i="1"/>
  <c r="T289" i="1"/>
  <c r="T288" i="1"/>
  <c r="T287" i="1"/>
  <c r="T286" i="1"/>
  <c r="T509" i="1"/>
  <c r="T508" i="1"/>
  <c r="T507" i="1"/>
  <c r="T501" i="1"/>
  <c r="T506" i="1"/>
  <c r="T505" i="1"/>
  <c r="T285" i="1"/>
  <c r="T497" i="1"/>
  <c r="T496" i="1"/>
  <c r="T284" i="1"/>
  <c r="T389" i="1"/>
  <c r="T388" i="1"/>
  <c r="T387" i="1"/>
  <c r="T386" i="1"/>
  <c r="T385" i="1"/>
  <c r="T384" i="1"/>
  <c r="T383" i="1"/>
  <c r="T382" i="1"/>
  <c r="T381" i="1"/>
  <c r="T380" i="1"/>
  <c r="T379" i="1"/>
  <c r="T378" i="1"/>
  <c r="T377" i="1"/>
  <c r="T376" i="1"/>
  <c r="T375" i="1"/>
  <c r="T374" i="1"/>
  <c r="T373" i="1"/>
  <c r="T372" i="1"/>
  <c r="T371" i="1"/>
  <c r="T370" i="1"/>
  <c r="T369" i="1"/>
  <c r="T368" i="1"/>
  <c r="T367" i="1"/>
  <c r="T366" i="1"/>
  <c r="T365" i="1"/>
  <c r="T364" i="1"/>
  <c r="T363" i="1"/>
  <c r="T362" i="1"/>
  <c r="T361" i="1"/>
  <c r="T360" i="1"/>
  <c r="T359" i="1"/>
  <c r="T358" i="1"/>
  <c r="T357" i="1"/>
  <c r="T356" i="1"/>
  <c r="T355" i="1"/>
  <c r="T354" i="1"/>
  <c r="T353" i="1"/>
  <c r="T352" i="1"/>
  <c r="T351" i="1"/>
  <c r="T350" i="1"/>
  <c r="T34" i="1"/>
  <c r="T349" i="1"/>
  <c r="T348" i="1"/>
  <c r="T347" i="1"/>
  <c r="T346" i="1"/>
  <c r="T345" i="1"/>
  <c r="T344" i="1"/>
  <c r="T343" i="1"/>
  <c r="T342" i="1"/>
  <c r="T341" i="1"/>
  <c r="T340" i="1"/>
  <c r="T339" i="1"/>
  <c r="T33" i="1"/>
  <c r="T32" i="1"/>
  <c r="T338" i="1"/>
  <c r="T337" i="1"/>
  <c r="T336" i="1"/>
  <c r="T335" i="1"/>
  <c r="T334" i="1"/>
  <c r="T333" i="1"/>
  <c r="T332" i="1"/>
  <c r="T21" i="1"/>
  <c r="T78" i="1"/>
  <c r="T20" i="1"/>
  <c r="T77" i="1"/>
  <c r="T76" i="1"/>
  <c r="T75" i="1"/>
  <c r="T74" i="1"/>
  <c r="T73" i="1"/>
  <c r="T19" i="1"/>
  <c r="T72" i="1"/>
  <c r="T71" i="1"/>
  <c r="T70" i="1"/>
  <c r="T18" i="1"/>
  <c r="T69" i="1"/>
  <c r="T68" i="1"/>
  <c r="T67" i="1"/>
  <c r="T66" i="1"/>
  <c r="T17" i="1"/>
  <c r="T65" i="1"/>
  <c r="T64" i="1"/>
  <c r="T491" i="1"/>
  <c r="T490" i="1"/>
  <c r="T489" i="1"/>
  <c r="T472" i="1"/>
  <c r="T471" i="1"/>
  <c r="T470" i="1"/>
  <c r="T488" i="1"/>
  <c r="T487" i="1"/>
  <c r="T230" i="1"/>
  <c r="T229" i="1"/>
  <c r="T228" i="1"/>
  <c r="T227" i="1"/>
  <c r="T226" i="1"/>
  <c r="T225" i="1"/>
  <c r="T224" i="1"/>
  <c r="T223" i="1"/>
  <c r="T222" i="1"/>
  <c r="T221" i="1"/>
  <c r="T220" i="1"/>
  <c r="T219" i="1"/>
  <c r="T218" i="1"/>
  <c r="T30" i="1"/>
  <c r="T217" i="1"/>
  <c r="T29" i="1"/>
  <c r="T216" i="1"/>
  <c r="T28" i="1"/>
  <c r="T215" i="1"/>
  <c r="T214" i="1"/>
  <c r="T213" i="1"/>
  <c r="T212" i="1"/>
  <c r="T211" i="1"/>
  <c r="T210" i="1"/>
  <c r="T209" i="1"/>
  <c r="T208" i="1"/>
  <c r="T27" i="1"/>
  <c r="T207" i="1"/>
  <c r="T206" i="1"/>
  <c r="T205" i="1"/>
  <c r="T204" i="1"/>
  <c r="T203" i="1"/>
  <c r="T202" i="1"/>
  <c r="T201" i="1"/>
  <c r="T200" i="1"/>
  <c r="T199" i="1"/>
  <c r="T198" i="1"/>
  <c r="T197" i="1"/>
  <c r="T196" i="1"/>
  <c r="T195" i="1"/>
  <c r="T194" i="1"/>
  <c r="T193" i="1"/>
  <c r="T192" i="1"/>
  <c r="T191" i="1"/>
  <c r="T190" i="1"/>
  <c r="T189" i="1"/>
  <c r="T188" i="1"/>
  <c r="T187" i="1"/>
  <c r="T186" i="1"/>
  <c r="T185" i="1"/>
  <c r="T184" i="1"/>
  <c r="T183" i="1"/>
  <c r="T182" i="1"/>
  <c r="T181" i="1"/>
  <c r="T180" i="1"/>
  <c r="T179" i="1"/>
  <c r="T503" i="1"/>
  <c r="T477" i="1"/>
  <c r="T476" i="1"/>
  <c r="T512" i="1"/>
  <c r="T431" i="1"/>
  <c r="T511" i="1"/>
  <c r="T16" i="1"/>
  <c r="T499" i="1"/>
  <c r="T475" i="1"/>
  <c r="T474" i="1"/>
  <c r="T502" i="1"/>
  <c r="T430" i="1"/>
  <c r="T510" i="1"/>
  <c r="T63" i="1"/>
  <c r="T62" i="1"/>
  <c r="T61" i="1"/>
  <c r="T60" i="1"/>
  <c r="T59" i="1"/>
  <c r="T58" i="1"/>
  <c r="T15" i="1"/>
  <c r="T57" i="1"/>
  <c r="T429" i="1"/>
  <c r="T14" i="1"/>
  <c r="T428" i="1"/>
  <c r="T427" i="1"/>
  <c r="T426" i="1"/>
  <c r="T425" i="1"/>
  <c r="T56" i="1"/>
  <c r="T55" i="1"/>
  <c r="T54" i="1"/>
  <c r="T53" i="1"/>
  <c r="T13" i="1"/>
  <c r="T424" i="1"/>
  <c r="T52" i="1"/>
  <c r="T423" i="1"/>
  <c r="T51" i="1"/>
  <c r="T50" i="1"/>
  <c r="T422" i="1"/>
  <c r="T421" i="1"/>
  <c r="T49" i="1"/>
  <c r="T48" i="1"/>
  <c r="T12" i="1"/>
  <c r="T23" i="1"/>
  <c r="T81" i="1"/>
  <c r="T22" i="1"/>
  <c r="T80" i="1"/>
  <c r="T79" i="1"/>
  <c r="T442" i="1"/>
  <c r="T441" i="1"/>
  <c r="T440" i="1"/>
  <c r="T439" i="1"/>
  <c r="T438" i="1"/>
  <c r="T437" i="1"/>
  <c r="T436" i="1"/>
  <c r="T435" i="1"/>
  <c r="T434" i="1"/>
  <c r="T433" i="1"/>
  <c r="T432" i="1"/>
  <c r="T465" i="1"/>
  <c r="T464" i="1"/>
  <c r="T463" i="1"/>
  <c r="T462" i="1"/>
  <c r="T461" i="1"/>
  <c r="T460" i="1"/>
  <c r="T459" i="1"/>
  <c r="T458" i="1"/>
  <c r="T457" i="1"/>
  <c r="T456" i="1"/>
  <c r="T455" i="1"/>
  <c r="T454" i="1"/>
  <c r="T453" i="1"/>
  <c r="T452" i="1"/>
  <c r="T451" i="1"/>
  <c r="T450" i="1"/>
  <c r="T449" i="1"/>
  <c r="T448" i="1"/>
  <c r="T447" i="1"/>
  <c r="T446" i="1"/>
  <c r="T445" i="1"/>
  <c r="T444" i="1"/>
  <c r="T443" i="1"/>
  <c r="T420" i="1"/>
  <c r="T419" i="1"/>
  <c r="T418" i="1"/>
  <c r="T417" i="1"/>
  <c r="T416" i="1"/>
  <c r="T415" i="1"/>
  <c r="T414" i="1"/>
  <c r="T413" i="1"/>
  <c r="T412" i="1"/>
  <c r="T411" i="1"/>
  <c r="T410" i="1"/>
  <c r="T409" i="1"/>
  <c r="T408" i="1"/>
  <c r="T407" i="1"/>
  <c r="T406" i="1"/>
  <c r="T405" i="1"/>
  <c r="T404" i="1"/>
  <c r="T403" i="1"/>
  <c r="T402" i="1"/>
  <c r="T401" i="1"/>
  <c r="T400" i="1"/>
  <c r="T399" i="1"/>
  <c r="T398" i="1"/>
  <c r="T397" i="1"/>
  <c r="T396" i="1"/>
  <c r="T395" i="1"/>
  <c r="T394" i="1"/>
  <c r="T393" i="1"/>
  <c r="T392" i="1"/>
  <c r="T391" i="1"/>
  <c r="T390" i="1"/>
  <c r="S283" i="1"/>
  <c r="S282" i="1"/>
  <c r="S281" i="1"/>
  <c r="S280" i="1"/>
  <c r="S279" i="1"/>
  <c r="S278" i="1"/>
  <c r="S277" i="1"/>
  <c r="S276" i="1"/>
  <c r="S275" i="1"/>
  <c r="S274" i="1"/>
  <c r="S273" i="1"/>
  <c r="S272" i="1"/>
  <c r="S271" i="1"/>
  <c r="S270" i="1"/>
  <c r="S31" i="1"/>
  <c r="S269" i="1"/>
  <c r="S268" i="1"/>
  <c r="S267" i="1"/>
  <c r="S266" i="1"/>
  <c r="S265" i="1"/>
  <c r="S264" i="1"/>
  <c r="S263" i="1"/>
  <c r="S262" i="1"/>
  <c r="S261" i="1"/>
  <c r="S260" i="1"/>
  <c r="S259" i="1"/>
  <c r="S258" i="1"/>
  <c r="S257" i="1"/>
  <c r="S256" i="1"/>
  <c r="S255" i="1"/>
  <c r="S254" i="1"/>
  <c r="S253" i="1"/>
  <c r="S252" i="1"/>
  <c r="S251" i="1"/>
  <c r="S250" i="1"/>
  <c r="S249" i="1"/>
  <c r="S248" i="1"/>
  <c r="S247" i="1"/>
  <c r="S246" i="1"/>
  <c r="S245" i="1"/>
  <c r="S244" i="1"/>
  <c r="S243" i="1"/>
  <c r="S242" i="1"/>
  <c r="S241" i="1"/>
  <c r="S240" i="1"/>
  <c r="S239" i="1"/>
  <c r="S238" i="1"/>
  <c r="S237" i="1"/>
  <c r="S236" i="1"/>
  <c r="S235" i="1"/>
  <c r="S234" i="1"/>
  <c r="S233" i="1"/>
  <c r="S232" i="1"/>
  <c r="S231" i="1"/>
  <c r="S495" i="1"/>
  <c r="S494" i="1"/>
  <c r="S493" i="1"/>
  <c r="S492" i="1"/>
  <c r="S473" i="1"/>
  <c r="S178" i="1"/>
  <c r="S177" i="1"/>
  <c r="S176" i="1"/>
  <c r="S175" i="1"/>
  <c r="S174" i="1"/>
  <c r="S173" i="1"/>
  <c r="S172" i="1"/>
  <c r="S171" i="1"/>
  <c r="S170" i="1"/>
  <c r="S169" i="1"/>
  <c r="S168" i="1"/>
  <c r="S167" i="1"/>
  <c r="S166" i="1"/>
  <c r="S165" i="1"/>
  <c r="S164" i="1"/>
  <c r="S163" i="1"/>
  <c r="S162" i="1"/>
  <c r="S161" i="1"/>
  <c r="S160" i="1"/>
  <c r="S159" i="1"/>
  <c r="S158" i="1"/>
  <c r="S157" i="1"/>
  <c r="S156" i="1"/>
  <c r="S155" i="1"/>
  <c r="S154" i="1"/>
  <c r="S153" i="1"/>
  <c r="S152" i="1"/>
  <c r="S151" i="1"/>
  <c r="S150" i="1"/>
  <c r="S149" i="1"/>
  <c r="S148" i="1"/>
  <c r="S147" i="1"/>
  <c r="S146" i="1"/>
  <c r="S145" i="1"/>
  <c r="S144" i="1"/>
  <c r="S143" i="1"/>
  <c r="S142" i="1"/>
  <c r="S141" i="1"/>
  <c r="S140" i="1"/>
  <c r="S139" i="1"/>
  <c r="S138" i="1"/>
  <c r="S137" i="1"/>
  <c r="S26" i="1"/>
  <c r="S136" i="1"/>
  <c r="S135" i="1"/>
  <c r="S134" i="1"/>
  <c r="S133" i="1"/>
  <c r="S132" i="1"/>
  <c r="S131" i="1"/>
  <c r="S130" i="1"/>
  <c r="S129" i="1"/>
  <c r="S128" i="1"/>
  <c r="S127" i="1"/>
  <c r="S126" i="1"/>
  <c r="S125" i="1"/>
  <c r="S124" i="1"/>
  <c r="S123" i="1"/>
  <c r="S122" i="1"/>
  <c r="S121" i="1"/>
  <c r="S120" i="1"/>
  <c r="S119" i="1"/>
  <c r="S118" i="1"/>
  <c r="S117" i="1"/>
  <c r="S116" i="1"/>
  <c r="S115" i="1"/>
  <c r="S114" i="1"/>
  <c r="S113" i="1"/>
  <c r="S112" i="1"/>
  <c r="S111" i="1"/>
  <c r="S110" i="1"/>
  <c r="S109" i="1"/>
  <c r="S108" i="1"/>
  <c r="S107" i="1"/>
  <c r="S106" i="1"/>
  <c r="S105" i="1"/>
  <c r="S104" i="1"/>
  <c r="S103" i="1"/>
  <c r="S102" i="1"/>
  <c r="S101" i="1"/>
  <c r="S100" i="1"/>
  <c r="S99" i="1"/>
  <c r="S98" i="1"/>
  <c r="S97" i="1"/>
  <c r="S96" i="1"/>
  <c r="S95" i="1"/>
  <c r="S94" i="1"/>
  <c r="S93" i="1"/>
  <c r="S92" i="1"/>
  <c r="S91" i="1"/>
  <c r="S90" i="1"/>
  <c r="S89" i="1"/>
  <c r="S88" i="1"/>
  <c r="S87" i="1"/>
  <c r="S86" i="1"/>
  <c r="S85" i="1"/>
  <c r="S84" i="1"/>
  <c r="S25" i="1"/>
  <c r="S83" i="1"/>
  <c r="S24" i="1"/>
  <c r="S82" i="1"/>
  <c r="S519" i="1"/>
  <c r="S518" i="1"/>
  <c r="S517" i="1"/>
  <c r="S516" i="1"/>
  <c r="S515" i="1"/>
  <c r="S514" i="1"/>
  <c r="S486" i="1"/>
  <c r="S485" i="1"/>
  <c r="S484" i="1"/>
  <c r="S483" i="1"/>
  <c r="S482" i="1"/>
  <c r="S513" i="1"/>
  <c r="S481" i="1"/>
  <c r="S500" i="1"/>
  <c r="S480" i="1"/>
  <c r="S504" i="1"/>
  <c r="S479" i="1"/>
  <c r="S469" i="1"/>
  <c r="S468" i="1"/>
  <c r="S478" i="1"/>
  <c r="S467" i="1"/>
  <c r="S466" i="1"/>
  <c r="S331" i="1"/>
  <c r="S330" i="1"/>
  <c r="S329" i="1"/>
  <c r="S328" i="1"/>
  <c r="S327" i="1"/>
  <c r="S326" i="1"/>
  <c r="S325" i="1"/>
  <c r="S324" i="1"/>
  <c r="S323" i="1"/>
  <c r="S322" i="1"/>
  <c r="S321" i="1"/>
  <c r="S320" i="1"/>
  <c r="S319" i="1"/>
  <c r="S318" i="1"/>
  <c r="S317" i="1"/>
  <c r="S316" i="1"/>
  <c r="S315" i="1"/>
  <c r="S314" i="1"/>
  <c r="S313" i="1"/>
  <c r="S312" i="1"/>
  <c r="S311" i="1"/>
  <c r="S310" i="1"/>
  <c r="S309" i="1"/>
  <c r="S308" i="1"/>
  <c r="S307" i="1"/>
  <c r="S306" i="1"/>
  <c r="S305" i="1"/>
  <c r="S304" i="1"/>
  <c r="S303" i="1"/>
  <c r="S302" i="1"/>
  <c r="S301" i="1"/>
  <c r="S300" i="1"/>
  <c r="S299" i="1"/>
  <c r="S298" i="1"/>
  <c r="S297" i="1"/>
  <c r="S296" i="1"/>
  <c r="S295" i="1"/>
  <c r="S294" i="1"/>
  <c r="S293" i="1"/>
  <c r="S292" i="1"/>
  <c r="S291" i="1"/>
  <c r="S290" i="1"/>
  <c r="S289" i="1"/>
  <c r="S288" i="1"/>
  <c r="S287" i="1"/>
  <c r="S286" i="1"/>
  <c r="S509" i="1"/>
  <c r="S508" i="1"/>
  <c r="S507" i="1"/>
  <c r="S501" i="1"/>
  <c r="S506" i="1"/>
  <c r="S505" i="1"/>
  <c r="S285" i="1"/>
  <c r="S497" i="1"/>
  <c r="S496" i="1"/>
  <c r="S284" i="1"/>
  <c r="S389" i="1"/>
  <c r="S388" i="1"/>
  <c r="S387" i="1"/>
  <c r="S386" i="1"/>
  <c r="S385" i="1"/>
  <c r="S384" i="1"/>
  <c r="S383" i="1"/>
  <c r="S382" i="1"/>
  <c r="S381" i="1"/>
  <c r="S380" i="1"/>
  <c r="S379" i="1"/>
  <c r="S378" i="1"/>
  <c r="S377" i="1"/>
  <c r="S376" i="1"/>
  <c r="S375" i="1"/>
  <c r="S374" i="1"/>
  <c r="S373" i="1"/>
  <c r="S372" i="1"/>
  <c r="S371" i="1"/>
  <c r="S370" i="1"/>
  <c r="S369" i="1"/>
  <c r="S368" i="1"/>
  <c r="S367" i="1"/>
  <c r="S366" i="1"/>
  <c r="S365" i="1"/>
  <c r="S364" i="1"/>
  <c r="S363" i="1"/>
  <c r="S362" i="1"/>
  <c r="S361" i="1"/>
  <c r="S360" i="1"/>
  <c r="S359" i="1"/>
  <c r="S358" i="1"/>
  <c r="S357" i="1"/>
  <c r="S356" i="1"/>
  <c r="S355" i="1"/>
  <c r="S354" i="1"/>
  <c r="S353" i="1"/>
  <c r="S352" i="1"/>
  <c r="S351" i="1"/>
  <c r="S350" i="1"/>
  <c r="S34" i="1"/>
  <c r="S349" i="1"/>
  <c r="S348" i="1"/>
  <c r="S347" i="1"/>
  <c r="S346" i="1"/>
  <c r="S345" i="1"/>
  <c r="S344" i="1"/>
  <c r="S343" i="1"/>
  <c r="S342" i="1"/>
  <c r="S341" i="1"/>
  <c r="S340" i="1"/>
  <c r="S339" i="1"/>
  <c r="S33" i="1"/>
  <c r="S32" i="1"/>
  <c r="S338" i="1"/>
  <c r="S337" i="1"/>
  <c r="S336" i="1"/>
  <c r="S335" i="1"/>
  <c r="S334" i="1"/>
  <c r="S333" i="1"/>
  <c r="S332" i="1"/>
  <c r="S21" i="1"/>
  <c r="S78" i="1"/>
  <c r="S20" i="1"/>
  <c r="S77" i="1"/>
  <c r="S76" i="1"/>
  <c r="S75" i="1"/>
  <c r="S74" i="1"/>
  <c r="S73" i="1"/>
  <c r="S19" i="1"/>
  <c r="S72" i="1"/>
  <c r="S71" i="1"/>
  <c r="S70" i="1"/>
  <c r="S18" i="1"/>
  <c r="S69" i="1"/>
  <c r="S68" i="1"/>
  <c r="S67" i="1"/>
  <c r="S66" i="1"/>
  <c r="S17" i="1"/>
  <c r="S65" i="1"/>
  <c r="S64" i="1"/>
  <c r="S491" i="1"/>
  <c r="S490" i="1"/>
  <c r="S489" i="1"/>
  <c r="S472" i="1"/>
  <c r="S471" i="1"/>
  <c r="S470" i="1"/>
  <c r="S488" i="1"/>
  <c r="S487" i="1"/>
  <c r="S230" i="1"/>
  <c r="S229" i="1"/>
  <c r="S228" i="1"/>
  <c r="S227" i="1"/>
  <c r="S226" i="1"/>
  <c r="S225" i="1"/>
  <c r="S224" i="1"/>
  <c r="S223" i="1"/>
  <c r="S222" i="1"/>
  <c r="S221" i="1"/>
  <c r="S220" i="1"/>
  <c r="S219" i="1"/>
  <c r="S218" i="1"/>
  <c r="S30" i="1"/>
  <c r="S217" i="1"/>
  <c r="S29" i="1"/>
  <c r="S216" i="1"/>
  <c r="S28" i="1"/>
  <c r="S215" i="1"/>
  <c r="S214" i="1"/>
  <c r="S213" i="1"/>
  <c r="S212" i="1"/>
  <c r="S211" i="1"/>
  <c r="S210" i="1"/>
  <c r="S209" i="1"/>
  <c r="S208" i="1"/>
  <c r="S27" i="1"/>
  <c r="S207" i="1"/>
  <c r="S206" i="1"/>
  <c r="S205" i="1"/>
  <c r="S204" i="1"/>
  <c r="S203" i="1"/>
  <c r="S202" i="1"/>
  <c r="S201" i="1"/>
  <c r="S200" i="1"/>
  <c r="S199" i="1"/>
  <c r="S198" i="1"/>
  <c r="S197" i="1"/>
  <c r="S196" i="1"/>
  <c r="S195" i="1"/>
  <c r="S194" i="1"/>
  <c r="S193" i="1"/>
  <c r="S192" i="1"/>
  <c r="S191" i="1"/>
  <c r="S190" i="1"/>
  <c r="S189" i="1"/>
  <c r="S188" i="1"/>
  <c r="S187" i="1"/>
  <c r="S186" i="1"/>
  <c r="S185" i="1"/>
  <c r="S184" i="1"/>
  <c r="S183" i="1"/>
  <c r="S182" i="1"/>
  <c r="S181" i="1"/>
  <c r="S180" i="1"/>
  <c r="S179" i="1"/>
  <c r="S503" i="1"/>
  <c r="S477" i="1"/>
  <c r="S476" i="1"/>
  <c r="S512" i="1"/>
  <c r="S431" i="1"/>
  <c r="S511" i="1"/>
  <c r="S16" i="1"/>
  <c r="S499" i="1"/>
  <c r="S475" i="1"/>
  <c r="S474" i="1"/>
  <c r="S502" i="1"/>
  <c r="S430" i="1"/>
  <c r="S510" i="1"/>
  <c r="S63" i="1"/>
  <c r="S62" i="1"/>
  <c r="S61" i="1"/>
  <c r="S60" i="1"/>
  <c r="S59" i="1"/>
  <c r="S58" i="1"/>
  <c r="S15" i="1"/>
  <c r="S57" i="1"/>
  <c r="S429" i="1"/>
  <c r="S14" i="1"/>
  <c r="S428" i="1"/>
  <c r="S427" i="1"/>
  <c r="S426" i="1"/>
  <c r="S425" i="1"/>
  <c r="S56" i="1"/>
  <c r="S55" i="1"/>
  <c r="S54" i="1"/>
  <c r="S53" i="1"/>
  <c r="S13" i="1"/>
  <c r="S424" i="1"/>
  <c r="S52" i="1"/>
  <c r="S423" i="1"/>
  <c r="S51" i="1"/>
  <c r="S50" i="1"/>
  <c r="S422" i="1"/>
  <c r="S421" i="1"/>
  <c r="S49" i="1"/>
  <c r="S48" i="1"/>
  <c r="S12" i="1"/>
  <c r="S23" i="1"/>
  <c r="S81" i="1"/>
  <c r="S22" i="1"/>
  <c r="S80" i="1"/>
  <c r="S79" i="1"/>
  <c r="S442" i="1"/>
  <c r="S441" i="1"/>
  <c r="S440" i="1"/>
  <c r="S439" i="1"/>
  <c r="S438" i="1"/>
  <c r="S437" i="1"/>
  <c r="S436" i="1"/>
  <c r="S435" i="1"/>
  <c r="S434" i="1"/>
  <c r="S433" i="1"/>
  <c r="S432" i="1"/>
  <c r="S465" i="1"/>
  <c r="S464" i="1"/>
  <c r="S463" i="1"/>
  <c r="S462" i="1"/>
  <c r="S461" i="1"/>
  <c r="S460" i="1"/>
  <c r="S459" i="1"/>
  <c r="S458" i="1"/>
  <c r="S457" i="1"/>
  <c r="S456" i="1"/>
  <c r="S455" i="1"/>
  <c r="S454" i="1"/>
  <c r="S453" i="1"/>
  <c r="S452" i="1"/>
  <c r="S451" i="1"/>
  <c r="S450" i="1"/>
  <c r="S449" i="1"/>
  <c r="S448" i="1"/>
  <c r="S447" i="1"/>
  <c r="S446" i="1"/>
  <c r="S445" i="1"/>
  <c r="S444" i="1"/>
  <c r="S443" i="1"/>
  <c r="S420" i="1"/>
  <c r="S419" i="1"/>
  <c r="S418" i="1"/>
  <c r="S417" i="1"/>
  <c r="S416" i="1"/>
  <c r="S415" i="1"/>
  <c r="S414" i="1"/>
  <c r="S413" i="1"/>
  <c r="S412" i="1"/>
  <c r="S411" i="1"/>
  <c r="S410" i="1"/>
  <c r="S409" i="1"/>
  <c r="S408" i="1"/>
  <c r="S407" i="1"/>
  <c r="S406" i="1"/>
  <c r="S405" i="1"/>
  <c r="S404" i="1"/>
  <c r="S403" i="1"/>
  <c r="S402" i="1"/>
  <c r="S401" i="1"/>
  <c r="S400" i="1"/>
  <c r="S399" i="1"/>
  <c r="S398" i="1"/>
  <c r="S397" i="1"/>
  <c r="S396" i="1"/>
  <c r="S395" i="1"/>
  <c r="S394" i="1"/>
  <c r="S393" i="1"/>
  <c r="S392" i="1"/>
  <c r="S391" i="1"/>
  <c r="S390" i="1"/>
  <c r="S498" i="1"/>
  <c r="T498" i="1"/>
  <c r="W498" i="1"/>
  <c r="AB498" i="1"/>
  <c r="AC498" i="1" s="1"/>
  <c r="M37" i="9"/>
  <c r="M36" i="9"/>
  <c r="M35" i="9"/>
  <c r="M34" i="9"/>
  <c r="M33" i="9"/>
  <c r="M32" i="9"/>
  <c r="M31" i="9"/>
  <c r="M30" i="9"/>
  <c r="M29" i="9"/>
  <c r="M28" i="9"/>
  <c r="M27" i="9"/>
  <c r="M26" i="9"/>
  <c r="M7" i="9"/>
  <c r="M8" i="9"/>
  <c r="M9" i="9"/>
  <c r="M10" i="9"/>
  <c r="M11" i="9"/>
  <c r="M12" i="9"/>
  <c r="M13" i="9"/>
  <c r="M14" i="9"/>
  <c r="M15" i="9"/>
  <c r="M16" i="9"/>
  <c r="M17" i="9"/>
  <c r="M18" i="9"/>
  <c r="M19" i="9"/>
  <c r="M6" i="9"/>
  <c r="L20" i="9"/>
  <c r="F20" i="9"/>
  <c r="D37" i="6"/>
  <c r="G86" i="2"/>
  <c r="G76" i="2"/>
  <c r="G70" i="2"/>
  <c r="G51" i="2"/>
  <c r="G45" i="2"/>
  <c r="G32" i="2"/>
  <c r="Q5" i="1"/>
  <c r="Q6" i="1"/>
  <c r="W6" i="1" s="1"/>
  <c r="AI581" i="1"/>
  <c r="AE565" i="1"/>
  <c r="AD623" i="1"/>
  <c r="AF623" i="1" s="1"/>
  <c r="AD624" i="1"/>
  <c r="AF624" i="1" s="1"/>
  <c r="AE530" i="1"/>
  <c r="AE557" i="1"/>
  <c r="AI557" i="1"/>
  <c r="AD631" i="1"/>
  <c r="AF631" i="1" s="1"/>
  <c r="AE527" i="1"/>
  <c r="AE581" i="1"/>
  <c r="AE573" i="1"/>
  <c r="AD556" i="1"/>
  <c r="AF556" i="1" s="1"/>
  <c r="AI573" i="1"/>
  <c r="AI565" i="1"/>
  <c r="AI555" i="1" l="1"/>
  <c r="AD566" i="1"/>
  <c r="AF566" i="1" s="1"/>
  <c r="AI530" i="1"/>
  <c r="AI525" i="1"/>
  <c r="AD659" i="1"/>
  <c r="AF659" i="1" s="1"/>
  <c r="AD661" i="1"/>
  <c r="AF661" i="1" s="1"/>
  <c r="AI563" i="1"/>
  <c r="AD131" i="1"/>
  <c r="AF131" i="1" s="1"/>
  <c r="AI579" i="1"/>
  <c r="AI571" i="1"/>
  <c r="AE579" i="1"/>
  <c r="AE563" i="1"/>
  <c r="AE525" i="1"/>
  <c r="AI531" i="1"/>
  <c r="AE571" i="1"/>
  <c r="AE555" i="1"/>
  <c r="AD178" i="1"/>
  <c r="AF178" i="1" s="1"/>
  <c r="AD312" i="1"/>
  <c r="AF312" i="1" s="1"/>
  <c r="AI539" i="1"/>
  <c r="AD123" i="1"/>
  <c r="AF123" i="1" s="1"/>
  <c r="AD481" i="1"/>
  <c r="AF481" i="1" s="1"/>
  <c r="AD384" i="1"/>
  <c r="AF384" i="1" s="1"/>
  <c r="AD286" i="1"/>
  <c r="AF286" i="1" s="1"/>
  <c r="AD302" i="1"/>
  <c r="AF302" i="1" s="1"/>
  <c r="AD310" i="1"/>
  <c r="AF310" i="1" s="1"/>
  <c r="AD326" i="1"/>
  <c r="AF326" i="1" s="1"/>
  <c r="AD467" i="1"/>
  <c r="AF467" i="1" s="1"/>
  <c r="AD146" i="1"/>
  <c r="AF146" i="1" s="1"/>
  <c r="AD257" i="1"/>
  <c r="AF257" i="1" s="1"/>
  <c r="AI377" i="1"/>
  <c r="AD32" i="1"/>
  <c r="AF32" i="1" s="1"/>
  <c r="AD352" i="1"/>
  <c r="AF352" i="1" s="1"/>
  <c r="AD360" i="1"/>
  <c r="AF360" i="1" s="1"/>
  <c r="AD376" i="1"/>
  <c r="AF376" i="1" s="1"/>
  <c r="AD220" i="1"/>
  <c r="AF220" i="1" s="1"/>
  <c r="AD228" i="1"/>
  <c r="AF228" i="1" s="1"/>
  <c r="AD489" i="1"/>
  <c r="AF489" i="1" s="1"/>
  <c r="AD68" i="1"/>
  <c r="AF68" i="1" s="1"/>
  <c r="AD438" i="1"/>
  <c r="AF438" i="1" s="1"/>
  <c r="AD199" i="1"/>
  <c r="AF199" i="1" s="1"/>
  <c r="AI643" i="1"/>
  <c r="AD536" i="1"/>
  <c r="AF536" i="1" s="1"/>
  <c r="AD604" i="1"/>
  <c r="AF604" i="1" s="1"/>
  <c r="AD633" i="1"/>
  <c r="AF633" i="1" s="1"/>
  <c r="M20" i="9"/>
  <c r="AE524" i="1"/>
  <c r="AE578" i="1"/>
  <c r="AD520" i="1"/>
  <c r="AF520" i="1" s="1"/>
  <c r="AD528" i="1"/>
  <c r="AF528" i="1" s="1"/>
  <c r="AI652" i="1"/>
  <c r="AE553" i="1"/>
  <c r="AI524" i="1"/>
  <c r="AI538" i="1"/>
  <c r="AD544" i="1"/>
  <c r="AF544" i="1" s="1"/>
  <c r="AD551" i="1"/>
  <c r="AF551" i="1" s="1"/>
  <c r="AE570" i="1"/>
  <c r="AE562" i="1"/>
  <c r="AE554" i="1"/>
  <c r="AI593" i="1"/>
  <c r="AE605" i="1"/>
  <c r="AD35" i="1"/>
  <c r="AF35" i="1" s="1"/>
  <c r="AD636" i="1"/>
  <c r="AF636" i="1" s="1"/>
  <c r="AI642" i="1"/>
  <c r="AI644" i="1"/>
  <c r="AE645" i="1"/>
  <c r="AE647" i="1"/>
  <c r="AE654" i="1"/>
  <c r="AD653" i="1"/>
  <c r="AF653" i="1" s="1"/>
  <c r="AD535" i="1"/>
  <c r="AF535" i="1" s="1"/>
  <c r="AD635" i="1"/>
  <c r="AF635" i="1" s="1"/>
  <c r="AE271" i="1"/>
  <c r="AI545" i="1"/>
  <c r="AD541" i="1"/>
  <c r="AF541" i="1" s="1"/>
  <c r="AD525" i="1"/>
  <c r="AF525" i="1" s="1"/>
  <c r="AD29" i="1"/>
  <c r="AF29" i="1" s="1"/>
  <c r="AE572" i="1"/>
  <c r="AI591" i="1"/>
  <c r="AI600" i="1"/>
  <c r="AE642" i="1"/>
  <c r="AD72" i="1"/>
  <c r="AF72" i="1" s="1"/>
  <c r="AD381" i="1"/>
  <c r="AF381" i="1" s="1"/>
  <c r="AD149" i="1"/>
  <c r="AF149" i="1" s="1"/>
  <c r="AD165" i="1"/>
  <c r="AF165" i="1" s="1"/>
  <c r="AE560" i="1"/>
  <c r="AI576" i="1"/>
  <c r="AI568" i="1"/>
  <c r="AD616" i="1"/>
  <c r="AF616" i="1" s="1"/>
  <c r="AE289" i="1"/>
  <c r="AD533" i="1"/>
  <c r="AF533" i="1" s="1"/>
  <c r="AE66" i="1"/>
  <c r="AD316" i="1"/>
  <c r="AF316" i="1" s="1"/>
  <c r="AD660" i="1"/>
  <c r="AF660" i="1" s="1"/>
  <c r="AI520" i="1"/>
  <c r="AD527" i="1"/>
  <c r="AF527" i="1" s="1"/>
  <c r="AE589" i="1"/>
  <c r="AD590" i="1"/>
  <c r="AF590" i="1" s="1"/>
  <c r="AD594" i="1"/>
  <c r="AF594" i="1" s="1"/>
  <c r="AE597" i="1"/>
  <c r="AE608" i="1"/>
  <c r="AE614" i="1"/>
  <c r="AE625" i="1"/>
  <c r="AI626" i="1"/>
  <c r="AE35" i="1"/>
  <c r="AD629" i="1"/>
  <c r="AF629" i="1" s="1"/>
  <c r="AE632" i="1"/>
  <c r="AE638" i="1"/>
  <c r="AE640" i="1"/>
  <c r="AD642" i="1"/>
  <c r="AF642" i="1" s="1"/>
  <c r="AD36" i="1"/>
  <c r="AF36" i="1" s="1"/>
  <c r="AD649" i="1"/>
  <c r="AF649" i="1" s="1"/>
  <c r="AD652" i="1"/>
  <c r="AF652" i="1" s="1"/>
  <c r="AD662" i="1"/>
  <c r="AF662" i="1" s="1"/>
  <c r="AI583" i="1"/>
  <c r="AI567" i="1"/>
  <c r="AI628" i="1"/>
  <c r="AI637" i="1"/>
  <c r="AI649" i="1"/>
  <c r="AD229" i="1"/>
  <c r="AF229" i="1" s="1"/>
  <c r="AD346" i="1"/>
  <c r="AF346" i="1" s="1"/>
  <c r="AD114" i="1"/>
  <c r="AF114" i="1" s="1"/>
  <c r="AD542" i="1"/>
  <c r="AF542" i="1" s="1"/>
  <c r="AE580" i="1"/>
  <c r="AE564" i="1"/>
  <c r="AE556" i="1"/>
  <c r="AE599" i="1"/>
  <c r="AE603" i="1"/>
  <c r="AI604" i="1"/>
  <c r="AE611" i="1"/>
  <c r="AE613" i="1"/>
  <c r="AE615" i="1"/>
  <c r="AE627" i="1"/>
  <c r="AD628" i="1"/>
  <c r="AF628" i="1" s="1"/>
  <c r="AD630" i="1"/>
  <c r="AF630" i="1" s="1"/>
  <c r="AD638" i="1"/>
  <c r="AF638" i="1" s="1"/>
  <c r="AE644" i="1"/>
  <c r="AD645" i="1"/>
  <c r="AF645" i="1" s="1"/>
  <c r="AD646" i="1"/>
  <c r="AF646" i="1" s="1"/>
  <c r="AD650" i="1"/>
  <c r="AF650" i="1" s="1"/>
  <c r="AE657" i="1"/>
  <c r="AE660" i="1"/>
  <c r="AD663" i="1"/>
  <c r="AF663" i="1" s="1"/>
  <c r="AD625" i="1"/>
  <c r="AF625" i="1" s="1"/>
  <c r="AD643" i="1"/>
  <c r="AF643" i="1" s="1"/>
  <c r="AI657" i="1"/>
  <c r="AI532" i="1"/>
  <c r="AI580" i="1"/>
  <c r="AI572" i="1"/>
  <c r="AI564" i="1"/>
  <c r="AI556" i="1"/>
  <c r="AI633" i="1"/>
  <c r="AI661" i="1"/>
  <c r="AI18" i="1"/>
  <c r="AI288" i="1"/>
  <c r="AI468" i="1"/>
  <c r="AD385" i="1"/>
  <c r="AF385" i="1" s="1"/>
  <c r="AD285" i="1"/>
  <c r="AF285" i="1" s="1"/>
  <c r="AD287" i="1"/>
  <c r="AF287" i="1" s="1"/>
  <c r="AD295" i="1"/>
  <c r="AF295" i="1" s="1"/>
  <c r="AD303" i="1"/>
  <c r="AF303" i="1" s="1"/>
  <c r="AD311" i="1"/>
  <c r="AF311" i="1" s="1"/>
  <c r="AD319" i="1"/>
  <c r="AF319" i="1" s="1"/>
  <c r="AD327" i="1"/>
  <c r="AF327" i="1" s="1"/>
  <c r="AD478" i="1"/>
  <c r="AF478" i="1" s="1"/>
  <c r="AD513" i="1"/>
  <c r="AF513" i="1" s="1"/>
  <c r="AD516" i="1"/>
  <c r="AF516" i="1" s="1"/>
  <c r="AD83" i="1"/>
  <c r="AF83" i="1" s="1"/>
  <c r="AD90" i="1"/>
  <c r="AF90" i="1" s="1"/>
  <c r="AD98" i="1"/>
  <c r="AF98" i="1" s="1"/>
  <c r="AD106" i="1"/>
  <c r="AF106" i="1" s="1"/>
  <c r="AD122" i="1"/>
  <c r="AF122" i="1" s="1"/>
  <c r="AD130" i="1"/>
  <c r="AF130" i="1" s="1"/>
  <c r="AD137" i="1"/>
  <c r="AF137" i="1" s="1"/>
  <c r="AD169" i="1"/>
  <c r="AF169" i="1" s="1"/>
  <c r="AD177" i="1"/>
  <c r="AF177" i="1" s="1"/>
  <c r="AD549" i="1"/>
  <c r="AF549" i="1" s="1"/>
  <c r="AD602" i="1"/>
  <c r="AF602" i="1" s="1"/>
  <c r="AD610" i="1"/>
  <c r="AF610" i="1" s="1"/>
  <c r="AI75" i="1"/>
  <c r="AI354" i="1"/>
  <c r="AI312" i="1"/>
  <c r="AI406" i="1"/>
  <c r="AI444" i="1"/>
  <c r="AI452" i="1"/>
  <c r="AI460" i="1"/>
  <c r="AI499" i="1"/>
  <c r="AI179" i="1"/>
  <c r="AI187" i="1"/>
  <c r="AI195" i="1"/>
  <c r="AD28" i="1"/>
  <c r="AF28" i="1" s="1"/>
  <c r="AD74" i="1"/>
  <c r="AF74" i="1" s="1"/>
  <c r="AD332" i="1"/>
  <c r="AF332" i="1" s="1"/>
  <c r="AD353" i="1"/>
  <c r="AF353" i="1" s="1"/>
  <c r="AD361" i="1"/>
  <c r="AF361" i="1" s="1"/>
  <c r="AD386" i="1"/>
  <c r="AF386" i="1" s="1"/>
  <c r="AD288" i="1"/>
  <c r="AF288" i="1" s="1"/>
  <c r="AD296" i="1"/>
  <c r="AF296" i="1" s="1"/>
  <c r="AD304" i="1"/>
  <c r="AF304" i="1" s="1"/>
  <c r="AD320" i="1"/>
  <c r="AF320" i="1" s="1"/>
  <c r="AD468" i="1"/>
  <c r="AF468" i="1" s="1"/>
  <c r="AD91" i="1"/>
  <c r="AF91" i="1" s="1"/>
  <c r="AD107" i="1"/>
  <c r="AF107" i="1" s="1"/>
  <c r="AD115" i="1"/>
  <c r="AF115" i="1" s="1"/>
  <c r="AD154" i="1"/>
  <c r="AF154" i="1" s="1"/>
  <c r="AD162" i="1"/>
  <c r="AF162" i="1" s="1"/>
  <c r="AD265" i="1"/>
  <c r="AF265" i="1" s="1"/>
  <c r="AD272" i="1"/>
  <c r="AF272" i="1" s="1"/>
  <c r="AD550" i="1"/>
  <c r="AF550" i="1" s="1"/>
  <c r="AI333" i="1"/>
  <c r="AI505" i="1"/>
  <c r="AI304" i="1"/>
  <c r="AD397" i="1"/>
  <c r="AF397" i="1" s="1"/>
  <c r="AD405" i="1"/>
  <c r="AF405" i="1" s="1"/>
  <c r="AD443" i="1"/>
  <c r="AF443" i="1" s="1"/>
  <c r="AD451" i="1"/>
  <c r="AF451" i="1" s="1"/>
  <c r="AD459" i="1"/>
  <c r="AF459" i="1" s="1"/>
  <c r="AD441" i="1"/>
  <c r="AF441" i="1" s="1"/>
  <c r="AD48" i="1"/>
  <c r="AF48" i="1" s="1"/>
  <c r="AD424" i="1"/>
  <c r="AF424" i="1" s="1"/>
  <c r="AD427" i="1"/>
  <c r="AF427" i="1" s="1"/>
  <c r="AD60" i="1"/>
  <c r="AF60" i="1" s="1"/>
  <c r="AD475" i="1"/>
  <c r="AF475" i="1" s="1"/>
  <c r="AD186" i="1"/>
  <c r="AF186" i="1" s="1"/>
  <c r="AD222" i="1"/>
  <c r="AF222" i="1" s="1"/>
  <c r="AD230" i="1"/>
  <c r="AF230" i="1" s="1"/>
  <c r="AD491" i="1"/>
  <c r="AF491" i="1" s="1"/>
  <c r="AD18" i="1"/>
  <c r="AF18" i="1" s="1"/>
  <c r="AD75" i="1"/>
  <c r="AF75" i="1" s="1"/>
  <c r="AD333" i="1"/>
  <c r="AF333" i="1" s="1"/>
  <c r="AD339" i="1"/>
  <c r="AF339" i="1" s="1"/>
  <c r="AD354" i="1"/>
  <c r="AF354" i="1" s="1"/>
  <c r="AD362" i="1"/>
  <c r="AF362" i="1" s="1"/>
  <c r="AD370" i="1"/>
  <c r="AF370" i="1" s="1"/>
  <c r="AD378" i="1"/>
  <c r="AF378" i="1" s="1"/>
  <c r="AD125" i="1"/>
  <c r="AF125" i="1" s="1"/>
  <c r="AD156" i="1"/>
  <c r="AF156" i="1" s="1"/>
  <c r="AE545" i="1"/>
  <c r="AE537" i="1"/>
  <c r="AI537" i="1"/>
  <c r="AE569" i="1"/>
  <c r="AI561" i="1"/>
  <c r="AE588" i="1"/>
  <c r="AD605" i="1"/>
  <c r="AF605" i="1" s="1"/>
  <c r="AE639" i="1"/>
  <c r="AE648" i="1"/>
  <c r="AD654" i="1"/>
  <c r="AF654" i="1" s="1"/>
  <c r="AI417" i="1"/>
  <c r="AI358" i="1"/>
  <c r="AI95" i="1"/>
  <c r="AI103" i="1"/>
  <c r="AI111" i="1"/>
  <c r="AI119" i="1"/>
  <c r="AI127" i="1"/>
  <c r="AI150" i="1"/>
  <c r="AI174" i="1"/>
  <c r="AI494" i="1"/>
  <c r="AI237" i="1"/>
  <c r="AI245" i="1"/>
  <c r="AI261" i="1"/>
  <c r="AD350" i="1"/>
  <c r="AF350" i="1" s="1"/>
  <c r="AD87" i="1"/>
  <c r="AF87" i="1" s="1"/>
  <c r="AD276" i="1"/>
  <c r="AF276" i="1" s="1"/>
  <c r="AE394" i="1"/>
  <c r="AE214" i="1"/>
  <c r="AD50" i="1"/>
  <c r="AF50" i="1" s="1"/>
  <c r="AD621" i="1"/>
  <c r="AF621" i="1" s="1"/>
  <c r="AE626" i="1"/>
  <c r="AD627" i="1"/>
  <c r="AF627" i="1" s="1"/>
  <c r="AD632" i="1"/>
  <c r="AF632" i="1" s="1"/>
  <c r="AI634" i="1"/>
  <c r="AE635" i="1"/>
  <c r="AI636" i="1"/>
  <c r="AD637" i="1"/>
  <c r="AF637" i="1" s="1"/>
  <c r="AE641" i="1"/>
  <c r="AD644" i="1"/>
  <c r="AF644" i="1" s="1"/>
  <c r="AE655" i="1"/>
  <c r="AI656" i="1"/>
  <c r="AI663" i="1"/>
  <c r="AI546" i="1"/>
  <c r="AD552" i="1"/>
  <c r="AF552" i="1" s="1"/>
  <c r="AE634" i="1"/>
  <c r="AD548" i="1"/>
  <c r="AF548" i="1" s="1"/>
  <c r="AE606" i="1"/>
  <c r="AI607" i="1"/>
  <c r="AD603" i="1"/>
  <c r="AF603" i="1" s="1"/>
  <c r="AD611" i="1"/>
  <c r="AF611" i="1" s="1"/>
  <c r="AD613" i="1"/>
  <c r="AF613" i="1" s="1"/>
  <c r="AE616" i="1"/>
  <c r="AI621" i="1"/>
  <c r="AD599" i="1"/>
  <c r="AF599" i="1" s="1"/>
  <c r="AE382" i="1"/>
  <c r="AE103" i="1"/>
  <c r="AE119" i="1"/>
  <c r="AE135" i="1"/>
  <c r="AD191" i="1"/>
  <c r="AF191" i="1" s="1"/>
  <c r="AD207" i="1"/>
  <c r="AF207" i="1" s="1"/>
  <c r="AD522" i="1"/>
  <c r="AF522" i="1" s="1"/>
  <c r="AI597" i="1"/>
  <c r="AD601" i="1"/>
  <c r="AF601" i="1" s="1"/>
  <c r="AD609" i="1"/>
  <c r="AF609" i="1" s="1"/>
  <c r="AD606" i="1"/>
  <c r="AF606" i="1" s="1"/>
  <c r="AD96" i="1"/>
  <c r="AF96" i="1" s="1"/>
  <c r="AD112" i="1"/>
  <c r="AF112" i="1" s="1"/>
  <c r="AD22" i="1"/>
  <c r="AF22" i="1" s="1"/>
  <c r="AD198" i="1"/>
  <c r="AF198" i="1" s="1"/>
  <c r="AD17" i="1"/>
  <c r="AF17" i="1" s="1"/>
  <c r="AD20" i="1"/>
  <c r="AF20" i="1" s="1"/>
  <c r="AD336" i="1"/>
  <c r="AF336" i="1" s="1"/>
  <c r="AD34" i="1"/>
  <c r="AF34" i="1" s="1"/>
  <c r="AD357" i="1"/>
  <c r="AF357" i="1" s="1"/>
  <c r="AD365" i="1"/>
  <c r="AF365" i="1" s="1"/>
  <c r="AD373" i="1"/>
  <c r="AF373" i="1" s="1"/>
  <c r="AD102" i="1"/>
  <c r="AF102" i="1" s="1"/>
  <c r="AD118" i="1"/>
  <c r="AF118" i="1" s="1"/>
  <c r="AD126" i="1"/>
  <c r="AF126" i="1" s="1"/>
  <c r="AD134" i="1"/>
  <c r="AF134" i="1" s="1"/>
  <c r="AD157" i="1"/>
  <c r="AF157" i="1" s="1"/>
  <c r="AD173" i="1"/>
  <c r="AF173" i="1" s="1"/>
  <c r="AD236" i="1"/>
  <c r="AF236" i="1" s="1"/>
  <c r="AD244" i="1"/>
  <c r="AF244" i="1" s="1"/>
  <c r="AD252" i="1"/>
  <c r="AF252" i="1" s="1"/>
  <c r="AD268" i="1"/>
  <c r="AF268" i="1" s="1"/>
  <c r="AD275" i="1"/>
  <c r="AF275" i="1" s="1"/>
  <c r="AD283" i="1"/>
  <c r="AF283" i="1" s="1"/>
  <c r="AI536" i="1"/>
  <c r="AE584" i="1"/>
  <c r="AE576" i="1"/>
  <c r="AE568" i="1"/>
  <c r="AI584" i="1"/>
  <c r="AI560" i="1"/>
  <c r="AE594" i="1"/>
  <c r="AE595" i="1"/>
  <c r="AD597" i="1"/>
  <c r="AF597" i="1" s="1"/>
  <c r="AE607" i="1"/>
  <c r="AE610" i="1"/>
  <c r="AI639" i="1"/>
  <c r="AI402" i="1"/>
  <c r="AI199" i="1"/>
  <c r="AD546" i="1"/>
  <c r="AF546" i="1" s="1"/>
  <c r="AD656" i="1"/>
  <c r="AF656" i="1" s="1"/>
  <c r="AD289" i="1"/>
  <c r="AF289" i="1" s="1"/>
  <c r="AD313" i="1"/>
  <c r="AF313" i="1" s="1"/>
  <c r="AD321" i="1"/>
  <c r="AF321" i="1" s="1"/>
  <c r="AD92" i="1"/>
  <c r="AF92" i="1" s="1"/>
  <c r="AD132" i="1"/>
  <c r="AF132" i="1" s="1"/>
  <c r="AD139" i="1"/>
  <c r="AF139" i="1" s="1"/>
  <c r="AD147" i="1"/>
  <c r="AF147" i="1" s="1"/>
  <c r="AD155" i="1"/>
  <c r="AF155" i="1" s="1"/>
  <c r="AD163" i="1"/>
  <c r="AF163" i="1" s="1"/>
  <c r="AD473" i="1"/>
  <c r="AF473" i="1" s="1"/>
  <c r="AD234" i="1"/>
  <c r="AF234" i="1" s="1"/>
  <c r="AD242" i="1"/>
  <c r="AF242" i="1" s="1"/>
  <c r="AD250" i="1"/>
  <c r="AF250" i="1" s="1"/>
  <c r="AD258" i="1"/>
  <c r="AF258" i="1" s="1"/>
  <c r="AD266" i="1"/>
  <c r="AF266" i="1" s="1"/>
  <c r="AD273" i="1"/>
  <c r="AF273" i="1" s="1"/>
  <c r="AD281" i="1"/>
  <c r="AF281" i="1" s="1"/>
  <c r="AD390" i="1"/>
  <c r="AF390" i="1" s="1"/>
  <c r="AD444" i="1"/>
  <c r="AF444" i="1" s="1"/>
  <c r="AD452" i="1"/>
  <c r="AF452" i="1" s="1"/>
  <c r="AD434" i="1"/>
  <c r="AF434" i="1" s="1"/>
  <c r="AD442" i="1"/>
  <c r="AF442" i="1" s="1"/>
  <c r="AD13" i="1"/>
  <c r="AF13" i="1" s="1"/>
  <c r="AD499" i="1"/>
  <c r="AF499" i="1" s="1"/>
  <c r="AD187" i="1"/>
  <c r="AF187" i="1" s="1"/>
  <c r="AD223" i="1"/>
  <c r="AF223" i="1" s="1"/>
  <c r="AD64" i="1"/>
  <c r="AF64" i="1" s="1"/>
  <c r="AD355" i="1"/>
  <c r="AF355" i="1" s="1"/>
  <c r="AI294" i="1"/>
  <c r="AI408" i="1"/>
  <c r="AE416" i="1"/>
  <c r="AE511" i="1"/>
  <c r="AD461" i="1"/>
  <c r="AF461" i="1" s="1"/>
  <c r="AD188" i="1"/>
  <c r="AF188" i="1" s="1"/>
  <c r="AD109" i="1"/>
  <c r="AF109" i="1" s="1"/>
  <c r="AD172" i="1"/>
  <c r="AF172" i="1" s="1"/>
  <c r="AE521" i="1"/>
  <c r="AI522" i="1"/>
  <c r="AE523" i="1"/>
  <c r="AI523" i="1"/>
  <c r="AE535" i="1"/>
  <c r="AD521" i="1"/>
  <c r="AF521" i="1" s="1"/>
  <c r="AD529" i="1"/>
  <c r="AF529" i="1" s="1"/>
  <c r="AD538" i="1"/>
  <c r="AF538" i="1" s="1"/>
  <c r="AD530" i="1"/>
  <c r="AF530" i="1" s="1"/>
  <c r="AD537" i="1"/>
  <c r="AF537" i="1" s="1"/>
  <c r="AD545" i="1"/>
  <c r="AF545" i="1" s="1"/>
  <c r="AE577" i="1"/>
  <c r="AE561" i="1"/>
  <c r="AI577" i="1"/>
  <c r="AE586" i="1"/>
  <c r="AE587" i="1"/>
  <c r="AE592" i="1"/>
  <c r="AD591" i="1"/>
  <c r="AF591" i="1" s="1"/>
  <c r="AI599" i="1"/>
  <c r="AE602" i="1"/>
  <c r="AI608" i="1"/>
  <c r="AE612" i="1"/>
  <c r="AI613" i="1"/>
  <c r="AE623" i="1"/>
  <c r="AE624" i="1"/>
  <c r="AE631" i="1"/>
  <c r="AD640" i="1"/>
  <c r="AF640" i="1" s="1"/>
  <c r="AE646" i="1"/>
  <c r="AE650" i="1"/>
  <c r="AE651" i="1"/>
  <c r="AE659" i="1"/>
  <c r="AE662" i="1"/>
  <c r="AE551" i="1"/>
  <c r="AE543" i="1"/>
  <c r="AI544" i="1"/>
  <c r="AE498" i="1"/>
  <c r="AE202" i="1"/>
  <c r="AD418" i="1"/>
  <c r="AF418" i="1" s="1"/>
  <c r="AD219" i="1"/>
  <c r="AF219" i="1" s="1"/>
  <c r="AD472" i="1"/>
  <c r="AF472" i="1" s="1"/>
  <c r="AD67" i="1"/>
  <c r="AF67" i="1" s="1"/>
  <c r="AD73" i="1"/>
  <c r="AF73" i="1" s="1"/>
  <c r="AD21" i="1"/>
  <c r="AF21" i="1" s="1"/>
  <c r="AD338" i="1"/>
  <c r="AF338" i="1" s="1"/>
  <c r="AD344" i="1"/>
  <c r="AF344" i="1" s="1"/>
  <c r="AD351" i="1"/>
  <c r="AF351" i="1" s="1"/>
  <c r="AD359" i="1"/>
  <c r="AF359" i="1" s="1"/>
  <c r="AD375" i="1"/>
  <c r="AF375" i="1" s="1"/>
  <c r="AD293" i="1"/>
  <c r="AF293" i="1" s="1"/>
  <c r="AD309" i="1"/>
  <c r="AF309" i="1" s="1"/>
  <c r="AD317" i="1"/>
  <c r="AF317" i="1" s="1"/>
  <c r="AD325" i="1"/>
  <c r="AF325" i="1" s="1"/>
  <c r="AD500" i="1"/>
  <c r="AF500" i="1" s="1"/>
  <c r="AD104" i="1"/>
  <c r="AF104" i="1" s="1"/>
  <c r="AD128" i="1"/>
  <c r="AF128" i="1" s="1"/>
  <c r="AD143" i="1"/>
  <c r="AF143" i="1" s="1"/>
  <c r="AD151" i="1"/>
  <c r="AF151" i="1" s="1"/>
  <c r="AD159" i="1"/>
  <c r="AF159" i="1" s="1"/>
  <c r="AD167" i="1"/>
  <c r="AF167" i="1" s="1"/>
  <c r="AD175" i="1"/>
  <c r="AF175" i="1" s="1"/>
  <c r="AD495" i="1"/>
  <c r="AF495" i="1" s="1"/>
  <c r="AD238" i="1"/>
  <c r="AF238" i="1" s="1"/>
  <c r="AD246" i="1"/>
  <c r="AF246" i="1" s="1"/>
  <c r="AD254" i="1"/>
  <c r="AF254" i="1" s="1"/>
  <c r="AD277" i="1"/>
  <c r="AF277" i="1" s="1"/>
  <c r="AE550" i="1"/>
  <c r="AE542" i="1"/>
  <c r="AE534" i="1"/>
  <c r="AD547" i="1"/>
  <c r="AF547" i="1" s="1"/>
  <c r="AD608" i="1"/>
  <c r="AF608" i="1" s="1"/>
  <c r="AE621" i="1"/>
  <c r="AE619" i="1"/>
  <c r="AE617" i="1"/>
  <c r="AE226" i="1"/>
  <c r="AE78" i="1"/>
  <c r="AE337" i="1"/>
  <c r="AE374" i="1"/>
  <c r="AE300" i="1"/>
  <c r="AE316" i="1"/>
  <c r="AE466" i="1"/>
  <c r="AE87" i="1"/>
  <c r="AE166" i="1"/>
  <c r="AE494" i="1"/>
  <c r="AE237" i="1"/>
  <c r="AE245" i="1"/>
  <c r="AE253" i="1"/>
  <c r="AE269" i="1"/>
  <c r="AE276" i="1"/>
  <c r="AD395" i="1"/>
  <c r="AF395" i="1" s="1"/>
  <c r="AD403" i="1"/>
  <c r="AF403" i="1" s="1"/>
  <c r="AD411" i="1"/>
  <c r="AF411" i="1" s="1"/>
  <c r="AD419" i="1"/>
  <c r="AF419" i="1" s="1"/>
  <c r="AD449" i="1"/>
  <c r="AF449" i="1" s="1"/>
  <c r="AD457" i="1"/>
  <c r="AF457" i="1" s="1"/>
  <c r="AD465" i="1"/>
  <c r="AF465" i="1" s="1"/>
  <c r="AD439" i="1"/>
  <c r="AF439" i="1" s="1"/>
  <c r="AD23" i="1"/>
  <c r="AF23" i="1" s="1"/>
  <c r="AD423" i="1"/>
  <c r="AF423" i="1" s="1"/>
  <c r="AD425" i="1"/>
  <c r="AF425" i="1" s="1"/>
  <c r="AD58" i="1"/>
  <c r="AF58" i="1" s="1"/>
  <c r="AD502" i="1"/>
  <c r="AF502" i="1" s="1"/>
  <c r="AD476" i="1"/>
  <c r="AF476" i="1" s="1"/>
  <c r="AD184" i="1"/>
  <c r="AF184" i="1" s="1"/>
  <c r="AD200" i="1"/>
  <c r="AF200" i="1" s="1"/>
  <c r="AD27" i="1"/>
  <c r="AF27" i="1" s="1"/>
  <c r="AD215" i="1"/>
  <c r="AF215" i="1" s="1"/>
  <c r="AD618" i="1"/>
  <c r="AF618" i="1" s="1"/>
  <c r="AE333" i="1"/>
  <c r="AE418" i="1"/>
  <c r="AE448" i="1"/>
  <c r="AE81" i="1"/>
  <c r="AE56" i="1"/>
  <c r="AE199" i="1"/>
  <c r="AD501" i="1"/>
  <c r="AF501" i="1" s="1"/>
  <c r="AD290" i="1"/>
  <c r="AF290" i="1" s="1"/>
  <c r="AD298" i="1"/>
  <c r="AF298" i="1" s="1"/>
  <c r="AD306" i="1"/>
  <c r="AF306" i="1" s="1"/>
  <c r="AD314" i="1"/>
  <c r="AF314" i="1" s="1"/>
  <c r="AD330" i="1"/>
  <c r="AF330" i="1" s="1"/>
  <c r="AD479" i="1"/>
  <c r="AF479" i="1" s="1"/>
  <c r="AD484" i="1"/>
  <c r="AF484" i="1" s="1"/>
  <c r="AD85" i="1"/>
  <c r="AF85" i="1" s="1"/>
  <c r="AD93" i="1"/>
  <c r="AF93" i="1" s="1"/>
  <c r="AD101" i="1"/>
  <c r="AF101" i="1" s="1"/>
  <c r="AD117" i="1"/>
  <c r="AF117" i="1" s="1"/>
  <c r="AD133" i="1"/>
  <c r="AF133" i="1" s="1"/>
  <c r="AD140" i="1"/>
  <c r="AF140" i="1" s="1"/>
  <c r="AD148" i="1"/>
  <c r="AF148" i="1" s="1"/>
  <c r="AD492" i="1"/>
  <c r="AF492" i="1" s="1"/>
  <c r="AD243" i="1"/>
  <c r="AF243" i="1" s="1"/>
  <c r="AD251" i="1"/>
  <c r="AF251" i="1" s="1"/>
  <c r="AD267" i="1"/>
  <c r="AF267" i="1" s="1"/>
  <c r="AD274" i="1"/>
  <c r="AF274" i="1" s="1"/>
  <c r="AD282" i="1"/>
  <c r="AF282" i="1" s="1"/>
  <c r="AE227" i="1"/>
  <c r="AE472" i="1"/>
  <c r="AD399" i="1"/>
  <c r="AF399" i="1" s="1"/>
  <c r="AD407" i="1"/>
  <c r="AF407" i="1" s="1"/>
  <c r="AD445" i="1"/>
  <c r="AF445" i="1" s="1"/>
  <c r="AD453" i="1"/>
  <c r="AF453" i="1" s="1"/>
  <c r="AD435" i="1"/>
  <c r="AF435" i="1" s="1"/>
  <c r="AD79" i="1"/>
  <c r="AF79" i="1" s="1"/>
  <c r="AD421" i="1"/>
  <c r="AF421" i="1" s="1"/>
  <c r="AD53" i="1"/>
  <c r="AF53" i="1" s="1"/>
  <c r="AD14" i="1"/>
  <c r="AF14" i="1" s="1"/>
  <c r="AD62" i="1"/>
  <c r="AF62" i="1" s="1"/>
  <c r="AD16" i="1"/>
  <c r="AF16" i="1" s="1"/>
  <c r="AD180" i="1"/>
  <c r="AF180" i="1" s="1"/>
  <c r="AD204" i="1"/>
  <c r="AF204" i="1" s="1"/>
  <c r="AD211" i="1"/>
  <c r="AF211" i="1" s="1"/>
  <c r="AD217" i="1"/>
  <c r="AF217" i="1" s="1"/>
  <c r="AD224" i="1"/>
  <c r="AF224" i="1" s="1"/>
  <c r="AD65" i="1"/>
  <c r="AF65" i="1" s="1"/>
  <c r="AD71" i="1"/>
  <c r="AF71" i="1" s="1"/>
  <c r="AD356" i="1"/>
  <c r="AF356" i="1" s="1"/>
  <c r="AD364" i="1"/>
  <c r="AF364" i="1" s="1"/>
  <c r="AD380" i="1"/>
  <c r="AF380" i="1" s="1"/>
  <c r="AD389" i="1"/>
  <c r="AF389" i="1" s="1"/>
  <c r="AD507" i="1"/>
  <c r="AF507" i="1" s="1"/>
  <c r="AD291" i="1"/>
  <c r="AF291" i="1" s="1"/>
  <c r="AD299" i="1"/>
  <c r="AF299" i="1" s="1"/>
  <c r="AD307" i="1"/>
  <c r="AF307" i="1" s="1"/>
  <c r="AD315" i="1"/>
  <c r="AF315" i="1" s="1"/>
  <c r="AD323" i="1"/>
  <c r="AF323" i="1" s="1"/>
  <c r="AD331" i="1"/>
  <c r="AF331" i="1" s="1"/>
  <c r="AD504" i="1"/>
  <c r="AF504" i="1" s="1"/>
  <c r="AD485" i="1"/>
  <c r="AF485" i="1" s="1"/>
  <c r="AD86" i="1"/>
  <c r="AF86" i="1" s="1"/>
  <c r="AD94" i="1"/>
  <c r="AF94" i="1" s="1"/>
  <c r="AD493" i="1"/>
  <c r="AF493" i="1" s="1"/>
  <c r="AI372" i="1"/>
  <c r="AE515" i="1"/>
  <c r="AE435" i="1"/>
  <c r="AE14" i="1"/>
  <c r="AE188" i="1"/>
  <c r="AE356" i="1"/>
  <c r="AE306" i="1"/>
  <c r="AE101" i="1"/>
  <c r="AE140" i="1"/>
  <c r="AE282" i="1"/>
  <c r="AD63" i="1"/>
  <c r="AF63" i="1" s="1"/>
  <c r="AD205" i="1"/>
  <c r="AF205" i="1" s="1"/>
  <c r="AE419" i="1"/>
  <c r="AE21" i="1"/>
  <c r="AE338" i="1"/>
  <c r="AE143" i="1"/>
  <c r="AE151" i="1"/>
  <c r="AD586" i="1"/>
  <c r="AF586" i="1" s="1"/>
  <c r="AD587" i="1"/>
  <c r="AF587" i="1" s="1"/>
  <c r="AE590" i="1"/>
  <c r="AE596" i="1"/>
  <c r="AD648" i="1"/>
  <c r="AF648" i="1" s="1"/>
  <c r="AE652" i="1"/>
  <c r="AD651" i="1"/>
  <c r="AF651" i="1" s="1"/>
  <c r="AE390" i="1"/>
  <c r="AE398" i="1"/>
  <c r="AE406" i="1"/>
  <c r="AE414" i="1"/>
  <c r="AE444" i="1"/>
  <c r="AE452" i="1"/>
  <c r="AE460" i="1"/>
  <c r="AE434" i="1"/>
  <c r="AE442" i="1"/>
  <c r="AE49" i="1"/>
  <c r="AE13" i="1"/>
  <c r="AE428" i="1"/>
  <c r="AE61" i="1"/>
  <c r="AE499" i="1"/>
  <c r="AE179" i="1"/>
  <c r="AE187" i="1"/>
  <c r="AE195" i="1"/>
  <c r="AE203" i="1"/>
  <c r="AE210" i="1"/>
  <c r="AE216" i="1"/>
  <c r="AE222" i="1"/>
  <c r="AE230" i="1"/>
  <c r="AE491" i="1"/>
  <c r="AE18" i="1"/>
  <c r="AE75" i="1"/>
  <c r="AE339" i="1"/>
  <c r="AE347" i="1"/>
  <c r="AE354" i="1"/>
  <c r="AE362" i="1"/>
  <c r="AE370" i="1"/>
  <c r="AE378" i="1"/>
  <c r="AE386" i="1"/>
  <c r="AE505" i="1"/>
  <c r="AE288" i="1"/>
  <c r="AE296" i="1"/>
  <c r="AE304" i="1"/>
  <c r="AE312" i="1"/>
  <c r="AE320" i="1"/>
  <c r="AE328" i="1"/>
  <c r="AE468" i="1"/>
  <c r="AE482" i="1"/>
  <c r="AE517" i="1"/>
  <c r="AE25" i="1"/>
  <c r="AE91" i="1"/>
  <c r="AE99" i="1"/>
  <c r="AE107" i="1"/>
  <c r="AE115" i="1"/>
  <c r="AE123" i="1"/>
  <c r="AE131" i="1"/>
  <c r="AE138" i="1"/>
  <c r="AE146" i="1"/>
  <c r="AE154" i="1"/>
  <c r="AE162" i="1"/>
  <c r="AE170" i="1"/>
  <c r="AE178" i="1"/>
  <c r="AE233" i="1"/>
  <c r="AE241" i="1"/>
  <c r="AE249" i="1"/>
  <c r="AE257" i="1"/>
  <c r="AE265" i="1"/>
  <c r="AE272" i="1"/>
  <c r="AE280" i="1"/>
  <c r="AD410" i="1"/>
  <c r="AF410" i="1" s="1"/>
  <c r="AD498" i="1"/>
  <c r="AF498" i="1" s="1"/>
  <c r="AD218" i="1"/>
  <c r="AF218" i="1" s="1"/>
  <c r="AD226" i="1"/>
  <c r="AF226" i="1" s="1"/>
  <c r="AD471" i="1"/>
  <c r="AF471" i="1" s="1"/>
  <c r="AD78" i="1"/>
  <c r="AF78" i="1" s="1"/>
  <c r="AD337" i="1"/>
  <c r="AF337" i="1" s="1"/>
  <c r="AD358" i="1"/>
  <c r="AF358" i="1" s="1"/>
  <c r="AD366" i="1"/>
  <c r="AF366" i="1" s="1"/>
  <c r="AD382" i="1"/>
  <c r="AF382" i="1" s="1"/>
  <c r="AD284" i="1"/>
  <c r="AF284" i="1" s="1"/>
  <c r="AD292" i="1"/>
  <c r="AF292" i="1" s="1"/>
  <c r="AD300" i="1"/>
  <c r="AF300" i="1" s="1"/>
  <c r="AD324" i="1"/>
  <c r="AF324" i="1" s="1"/>
  <c r="AD486" i="1"/>
  <c r="AF486" i="1" s="1"/>
  <c r="AD519" i="1"/>
  <c r="AF519" i="1" s="1"/>
  <c r="AD95" i="1"/>
  <c r="AF95" i="1" s="1"/>
  <c r="AD103" i="1"/>
  <c r="AF103" i="1" s="1"/>
  <c r="AD111" i="1"/>
  <c r="AF111" i="1" s="1"/>
  <c r="AD119" i="1"/>
  <c r="AF119" i="1" s="1"/>
  <c r="AD135" i="1"/>
  <c r="AF135" i="1" s="1"/>
  <c r="AD150" i="1"/>
  <c r="AF150" i="1" s="1"/>
  <c r="AD158" i="1"/>
  <c r="AF158" i="1" s="1"/>
  <c r="AD166" i="1"/>
  <c r="AF166" i="1" s="1"/>
  <c r="AD174" i="1"/>
  <c r="AF174" i="1" s="1"/>
  <c r="AD494" i="1"/>
  <c r="AF494" i="1" s="1"/>
  <c r="AD237" i="1"/>
  <c r="AF237" i="1" s="1"/>
  <c r="AD245" i="1"/>
  <c r="AF245" i="1" s="1"/>
  <c r="AD253" i="1"/>
  <c r="AF253" i="1" s="1"/>
  <c r="AD261" i="1"/>
  <c r="AF261" i="1" s="1"/>
  <c r="AD269" i="1"/>
  <c r="AF269" i="1" s="1"/>
  <c r="AE529" i="1"/>
  <c r="AI529" i="1"/>
  <c r="AE549" i="1"/>
  <c r="AE541" i="1"/>
  <c r="AE533" i="1"/>
  <c r="AE547" i="1"/>
  <c r="AE539" i="1"/>
  <c r="AE531" i="1"/>
  <c r="AI535" i="1"/>
  <c r="AD523" i="1"/>
  <c r="AF523" i="1" s="1"/>
  <c r="AD531" i="1"/>
  <c r="AF531" i="1" s="1"/>
  <c r="AD539" i="1"/>
  <c r="AF539" i="1" s="1"/>
  <c r="AE583" i="1"/>
  <c r="AE575" i="1"/>
  <c r="AE567" i="1"/>
  <c r="AE559" i="1"/>
  <c r="AI575" i="1"/>
  <c r="AI559" i="1"/>
  <c r="AI586" i="1"/>
  <c r="AD592" i="1"/>
  <c r="AF592" i="1" s="1"/>
  <c r="AD595" i="1"/>
  <c r="AF595" i="1" s="1"/>
  <c r="AE630" i="1"/>
  <c r="AD634" i="1"/>
  <c r="AF634" i="1" s="1"/>
  <c r="AI645" i="1"/>
  <c r="AD655" i="1"/>
  <c r="AF655" i="1" s="1"/>
  <c r="AE582" i="1"/>
  <c r="AE396" i="1"/>
  <c r="AE12" i="1"/>
  <c r="AE32" i="1"/>
  <c r="AE497" i="1"/>
  <c r="AE286" i="1"/>
  <c r="AE481" i="1"/>
  <c r="AE24" i="1"/>
  <c r="AE176" i="1"/>
  <c r="AE247" i="1"/>
  <c r="AE263" i="1"/>
  <c r="AE278" i="1"/>
  <c r="AD396" i="1"/>
  <c r="AF396" i="1" s="1"/>
  <c r="AD404" i="1"/>
  <c r="AF404" i="1" s="1"/>
  <c r="AD412" i="1"/>
  <c r="AF412" i="1" s="1"/>
  <c r="AD420" i="1"/>
  <c r="AF420" i="1" s="1"/>
  <c r="AD450" i="1"/>
  <c r="AF450" i="1" s="1"/>
  <c r="AD458" i="1"/>
  <c r="AF458" i="1" s="1"/>
  <c r="AD432" i="1"/>
  <c r="AF432" i="1" s="1"/>
  <c r="AD440" i="1"/>
  <c r="AF440" i="1" s="1"/>
  <c r="AD12" i="1"/>
  <c r="AF12" i="1" s="1"/>
  <c r="AD52" i="1"/>
  <c r="AF52" i="1" s="1"/>
  <c r="AD426" i="1"/>
  <c r="AF426" i="1" s="1"/>
  <c r="AD474" i="1"/>
  <c r="AF474" i="1" s="1"/>
  <c r="AD477" i="1"/>
  <c r="AF477" i="1" s="1"/>
  <c r="AD185" i="1"/>
  <c r="AF185" i="1" s="1"/>
  <c r="AD193" i="1"/>
  <c r="AF193" i="1" s="1"/>
  <c r="AD201" i="1"/>
  <c r="AF201" i="1" s="1"/>
  <c r="AD208" i="1"/>
  <c r="AF208" i="1" s="1"/>
  <c r="AE393" i="1"/>
  <c r="AE409" i="1"/>
  <c r="AE455" i="1"/>
  <c r="AE463" i="1"/>
  <c r="AE22" i="1"/>
  <c r="AE50" i="1"/>
  <c r="AE55" i="1"/>
  <c r="AE57" i="1"/>
  <c r="AE431" i="1"/>
  <c r="AE182" i="1"/>
  <c r="AE198" i="1"/>
  <c r="AE213" i="1"/>
  <c r="AE30" i="1"/>
  <c r="AE225" i="1"/>
  <c r="AE470" i="1"/>
  <c r="AE17" i="1"/>
  <c r="AE72" i="1"/>
  <c r="AE342" i="1"/>
  <c r="AE34" i="1"/>
  <c r="AE357" i="1"/>
  <c r="AE365" i="1"/>
  <c r="AE389" i="1"/>
  <c r="AE507" i="1"/>
  <c r="AE291" i="1"/>
  <c r="AE299" i="1"/>
  <c r="AE307" i="1"/>
  <c r="AE315" i="1"/>
  <c r="AE323" i="1"/>
  <c r="AE331" i="1"/>
  <c r="AE504" i="1"/>
  <c r="AE94" i="1"/>
  <c r="AE102" i="1"/>
  <c r="AE118" i="1"/>
  <c r="AE126" i="1"/>
  <c r="AE134" i="1"/>
  <c r="AE141" i="1"/>
  <c r="AE149" i="1"/>
  <c r="AE157" i="1"/>
  <c r="AE165" i="1"/>
  <c r="AE173" i="1"/>
  <c r="AE493" i="1"/>
  <c r="AE236" i="1"/>
  <c r="AE244" i="1"/>
  <c r="AE252" i="1"/>
  <c r="AE260" i="1"/>
  <c r="AE268" i="1"/>
  <c r="AE275" i="1"/>
  <c r="AE283" i="1"/>
  <c r="AI373" i="1"/>
  <c r="AI207" i="1"/>
  <c r="AE397" i="1"/>
  <c r="AE433" i="1"/>
  <c r="AE475" i="1"/>
  <c r="AE28" i="1"/>
  <c r="AE332" i="1"/>
  <c r="AE385" i="1"/>
  <c r="AE319" i="1"/>
  <c r="AE83" i="1"/>
  <c r="AE114" i="1"/>
  <c r="AE169" i="1"/>
  <c r="AE256" i="1"/>
  <c r="AD480" i="1"/>
  <c r="AF480" i="1" s="1"/>
  <c r="AE405" i="1"/>
  <c r="AE441" i="1"/>
  <c r="AE186" i="1"/>
  <c r="AE229" i="1"/>
  <c r="AE346" i="1"/>
  <c r="AE285" i="1"/>
  <c r="AE327" i="1"/>
  <c r="AE98" i="1"/>
  <c r="AE145" i="1"/>
  <c r="AE240" i="1"/>
  <c r="AE279" i="1"/>
  <c r="AD641" i="1"/>
  <c r="AF641" i="1" s="1"/>
  <c r="AI647" i="1"/>
  <c r="AI424" i="1"/>
  <c r="AI229" i="1"/>
  <c r="AI90" i="1"/>
  <c r="AI130" i="1"/>
  <c r="AE298" i="1"/>
  <c r="AE156" i="1"/>
  <c r="AE164" i="1"/>
  <c r="AE492" i="1"/>
  <c r="AE267" i="1"/>
  <c r="AE274" i="1"/>
  <c r="AE403" i="1"/>
  <c r="AE200" i="1"/>
  <c r="AE301" i="1"/>
  <c r="AE309" i="1"/>
  <c r="AE500" i="1"/>
  <c r="AE120" i="1"/>
  <c r="AE167" i="1"/>
  <c r="AE495" i="1"/>
  <c r="AD19" i="1"/>
  <c r="AF19" i="1" s="1"/>
  <c r="AD374" i="1"/>
  <c r="AF374" i="1" s="1"/>
  <c r="AE413" i="1"/>
  <c r="AE48" i="1"/>
  <c r="AE194" i="1"/>
  <c r="AE490" i="1"/>
  <c r="AE353" i="1"/>
  <c r="AE287" i="1"/>
  <c r="AE478" i="1"/>
  <c r="AE153" i="1"/>
  <c r="AI438" i="1"/>
  <c r="AI81" i="1"/>
  <c r="AI19" i="1"/>
  <c r="AI337" i="1"/>
  <c r="AI382" i="1"/>
  <c r="AI466" i="1"/>
  <c r="AI480" i="1"/>
  <c r="AI519" i="1"/>
  <c r="AI87" i="1"/>
  <c r="AI142" i="1"/>
  <c r="AI166" i="1"/>
  <c r="AI276" i="1"/>
  <c r="AI390" i="1"/>
  <c r="AI398" i="1"/>
  <c r="AI434" i="1"/>
  <c r="AI49" i="1"/>
  <c r="AI13" i="1"/>
  <c r="AI61" i="1"/>
  <c r="AI210" i="1"/>
  <c r="AI222" i="1"/>
  <c r="AI230" i="1"/>
  <c r="AI491" i="1"/>
  <c r="AI362" i="1"/>
  <c r="AI370" i="1"/>
  <c r="AI378" i="1"/>
  <c r="AI386" i="1"/>
  <c r="AI320" i="1"/>
  <c r="AI328" i="1"/>
  <c r="AI517" i="1"/>
  <c r="AI107" i="1"/>
  <c r="AI233" i="1"/>
  <c r="AI265" i="1"/>
  <c r="AE401" i="1"/>
  <c r="AE417" i="1"/>
  <c r="AE447" i="1"/>
  <c r="AE190" i="1"/>
  <c r="AE20" i="1"/>
  <c r="AE336" i="1"/>
  <c r="AE86" i="1"/>
  <c r="AE110" i="1"/>
  <c r="AE440" i="1"/>
  <c r="AE426" i="1"/>
  <c r="AE59" i="1"/>
  <c r="AE451" i="1"/>
  <c r="AE427" i="1"/>
  <c r="AE209" i="1"/>
  <c r="AE74" i="1"/>
  <c r="AE369" i="1"/>
  <c r="AE311" i="1"/>
  <c r="AE90" i="1"/>
  <c r="AE130" i="1"/>
  <c r="AE177" i="1"/>
  <c r="AE443" i="1"/>
  <c r="AE424" i="1"/>
  <c r="AE503" i="1"/>
  <c r="AE221" i="1"/>
  <c r="AE33" i="1"/>
  <c r="AE377" i="1"/>
  <c r="AE303" i="1"/>
  <c r="AE513" i="1"/>
  <c r="AE106" i="1"/>
  <c r="AE137" i="1"/>
  <c r="AE232" i="1"/>
  <c r="AE264" i="1"/>
  <c r="AD514" i="1"/>
  <c r="AF514" i="1" s="1"/>
  <c r="AE520" i="1"/>
  <c r="AD524" i="1"/>
  <c r="AF524" i="1" s="1"/>
  <c r="AD540" i="1"/>
  <c r="AF540" i="1" s="1"/>
  <c r="AD589" i="1"/>
  <c r="AF589" i="1" s="1"/>
  <c r="AE459" i="1"/>
  <c r="AE60" i="1"/>
  <c r="AE69" i="1"/>
  <c r="AE361" i="1"/>
  <c r="AE295" i="1"/>
  <c r="AE516" i="1"/>
  <c r="AE122" i="1"/>
  <c r="AE161" i="1"/>
  <c r="AE248" i="1"/>
  <c r="AE528" i="1"/>
  <c r="AE585" i="1"/>
  <c r="AE591" i="1"/>
  <c r="AI595" i="1"/>
  <c r="AE566" i="1"/>
  <c r="AI582" i="1"/>
  <c r="AI558" i="1"/>
  <c r="AE574" i="1"/>
  <c r="AI392" i="1"/>
  <c r="AE558" i="1"/>
  <c r="AI574" i="1"/>
  <c r="AI566" i="1"/>
  <c r="AD496" i="1"/>
  <c r="AF496" i="1" s="1"/>
  <c r="AD509" i="1"/>
  <c r="AF509" i="1" s="1"/>
  <c r="AI400" i="1"/>
  <c r="AI416" i="1"/>
  <c r="AI446" i="1"/>
  <c r="AI454" i="1"/>
  <c r="AI462" i="1"/>
  <c r="AI436" i="1"/>
  <c r="AI80" i="1"/>
  <c r="AI422" i="1"/>
  <c r="AI54" i="1"/>
  <c r="AI429" i="1"/>
  <c r="AI63" i="1"/>
  <c r="AI511" i="1"/>
  <c r="AI181" i="1"/>
  <c r="AI189" i="1"/>
  <c r="AI197" i="1"/>
  <c r="AI205" i="1"/>
  <c r="AI212" i="1"/>
  <c r="AI217" i="1"/>
  <c r="AI224" i="1"/>
  <c r="AI488" i="1"/>
  <c r="AI65" i="1"/>
  <c r="AI71" i="1"/>
  <c r="AI77" i="1"/>
  <c r="AI335" i="1"/>
  <c r="AI341" i="1"/>
  <c r="AI349" i="1"/>
  <c r="AI356" i="1"/>
  <c r="AI364" i="1"/>
  <c r="AI380" i="1"/>
  <c r="AI388" i="1"/>
  <c r="AI501" i="1"/>
  <c r="AI290" i="1"/>
  <c r="AI298" i="1"/>
  <c r="AI306" i="1"/>
  <c r="AI125" i="1"/>
  <c r="AI164" i="1"/>
  <c r="AI193" i="1"/>
  <c r="AI201" i="1"/>
  <c r="AE399" i="1"/>
  <c r="AE79" i="1"/>
  <c r="AE16" i="1"/>
  <c r="AE223" i="1"/>
  <c r="AE348" i="1"/>
  <c r="AE355" i="1"/>
  <c r="AE371" i="1"/>
  <c r="AE305" i="1"/>
  <c r="AE469" i="1"/>
  <c r="AE518" i="1"/>
  <c r="AE108" i="1"/>
  <c r="AE155" i="1"/>
  <c r="AE163" i="1"/>
  <c r="AE281" i="1"/>
  <c r="AD127" i="1"/>
  <c r="AF127" i="1" s="1"/>
  <c r="AD532" i="1"/>
  <c r="AF532" i="1" s="1"/>
  <c r="AE601" i="1"/>
  <c r="AI605" i="1"/>
  <c r="AD612" i="1"/>
  <c r="AF612" i="1" s="1"/>
  <c r="AD615" i="1"/>
  <c r="AF615" i="1" s="1"/>
  <c r="AE622" i="1"/>
  <c r="AE620" i="1"/>
  <c r="AE618" i="1"/>
  <c r="AI622" i="1"/>
  <c r="AD617" i="1"/>
  <c r="AF617" i="1" s="1"/>
  <c r="AD620" i="1"/>
  <c r="AF620" i="1" s="1"/>
  <c r="AD626" i="1"/>
  <c r="AF626" i="1" s="1"/>
  <c r="AE629" i="1"/>
  <c r="AE633" i="1"/>
  <c r="AE636" i="1"/>
  <c r="AE637" i="1"/>
  <c r="AI640" i="1"/>
  <c r="AE643" i="1"/>
  <c r="AE36" i="1"/>
  <c r="AI648" i="1"/>
  <c r="AE649" i="1"/>
  <c r="AI651" i="1"/>
  <c r="AE653" i="1"/>
  <c r="AI654" i="1"/>
  <c r="AE656" i="1"/>
  <c r="AE658" i="1"/>
  <c r="AI659" i="1"/>
  <c r="AD658" i="1"/>
  <c r="AF658" i="1" s="1"/>
  <c r="AE661" i="1"/>
  <c r="AI662" i="1"/>
  <c r="AE663" i="1"/>
  <c r="AD367" i="1"/>
  <c r="AF367" i="1" s="1"/>
  <c r="AD120" i="1"/>
  <c r="AF120" i="1" s="1"/>
  <c r="AD69" i="1"/>
  <c r="AF69" i="1" s="1"/>
  <c r="AD153" i="1"/>
  <c r="AF153" i="1" s="1"/>
  <c r="AD161" i="1"/>
  <c r="AF161" i="1" s="1"/>
  <c r="AD232" i="1"/>
  <c r="AF232" i="1" s="1"/>
  <c r="AD240" i="1"/>
  <c r="AF240" i="1" s="1"/>
  <c r="AD248" i="1"/>
  <c r="AF248" i="1" s="1"/>
  <c r="AD256" i="1"/>
  <c r="AF256" i="1" s="1"/>
  <c r="AD264" i="1"/>
  <c r="AF264" i="1" s="1"/>
  <c r="AD271" i="1"/>
  <c r="AF271" i="1" s="1"/>
  <c r="AD279" i="1"/>
  <c r="AF279" i="1" s="1"/>
  <c r="AE522" i="1"/>
  <c r="AE526" i="1"/>
  <c r="AI526" i="1"/>
  <c r="AE548" i="1"/>
  <c r="AE540" i="1"/>
  <c r="AE532" i="1"/>
  <c r="AE546" i="1"/>
  <c r="AE538" i="1"/>
  <c r="AE552" i="1"/>
  <c r="AE544" i="1"/>
  <c r="AE536" i="1"/>
  <c r="AI550" i="1"/>
  <c r="AI547" i="1"/>
  <c r="AI540" i="1"/>
  <c r="AD526" i="1"/>
  <c r="AF526" i="1" s="1"/>
  <c r="AD534" i="1"/>
  <c r="AF534" i="1" s="1"/>
  <c r="AD543" i="1"/>
  <c r="AF543" i="1" s="1"/>
  <c r="AD138" i="1"/>
  <c r="AF138" i="1" s="1"/>
  <c r="AI498" i="1"/>
  <c r="AD340" i="1"/>
  <c r="AF340" i="1" s="1"/>
  <c r="AD363" i="1"/>
  <c r="AF363" i="1" s="1"/>
  <c r="AD371" i="1"/>
  <c r="AF371" i="1" s="1"/>
  <c r="AD387" i="1"/>
  <c r="AF387" i="1" s="1"/>
  <c r="AD506" i="1"/>
  <c r="AF506" i="1" s="1"/>
  <c r="AD297" i="1"/>
  <c r="AF297" i="1" s="1"/>
  <c r="AD305" i="1"/>
  <c r="AF305" i="1" s="1"/>
  <c r="AD329" i="1"/>
  <c r="AF329" i="1" s="1"/>
  <c r="AD483" i="1"/>
  <c r="AF483" i="1" s="1"/>
  <c r="AD518" i="1"/>
  <c r="AF518" i="1" s="1"/>
  <c r="AD84" i="1"/>
  <c r="AF84" i="1" s="1"/>
  <c r="AD100" i="1"/>
  <c r="AF100" i="1" s="1"/>
  <c r="AD108" i="1"/>
  <c r="AF108" i="1" s="1"/>
  <c r="AD116" i="1"/>
  <c r="AF116" i="1" s="1"/>
  <c r="AD393" i="1"/>
  <c r="AF393" i="1" s="1"/>
  <c r="AD401" i="1"/>
  <c r="AF401" i="1" s="1"/>
  <c r="AD409" i="1"/>
  <c r="AF409" i="1" s="1"/>
  <c r="AD417" i="1"/>
  <c r="AF417" i="1" s="1"/>
  <c r="AD447" i="1"/>
  <c r="AF447" i="1" s="1"/>
  <c r="AD455" i="1"/>
  <c r="AF455" i="1" s="1"/>
  <c r="AD463" i="1"/>
  <c r="AF463" i="1" s="1"/>
  <c r="AD437" i="1"/>
  <c r="AF437" i="1" s="1"/>
  <c r="AD55" i="1"/>
  <c r="AF55" i="1" s="1"/>
  <c r="AD57" i="1"/>
  <c r="AF57" i="1" s="1"/>
  <c r="AD510" i="1"/>
  <c r="AF510" i="1" s="1"/>
  <c r="AD431" i="1"/>
  <c r="AF431" i="1" s="1"/>
  <c r="AD182" i="1"/>
  <c r="AF182" i="1" s="1"/>
  <c r="AD190" i="1"/>
  <c r="AF190" i="1" s="1"/>
  <c r="AD206" i="1"/>
  <c r="AF206" i="1" s="1"/>
  <c r="AD598" i="1"/>
  <c r="AF598" i="1" s="1"/>
  <c r="AE402" i="1"/>
  <c r="AE410" i="1"/>
  <c r="AE456" i="1"/>
  <c r="AE438" i="1"/>
  <c r="AE51" i="1"/>
  <c r="AE15" i="1"/>
  <c r="AE430" i="1"/>
  <c r="AE512" i="1"/>
  <c r="AE183" i="1"/>
  <c r="AE191" i="1"/>
  <c r="AE207" i="1"/>
  <c r="AE218" i="1"/>
  <c r="AE471" i="1"/>
  <c r="AE19" i="1"/>
  <c r="AE343" i="1"/>
  <c r="AE350" i="1"/>
  <c r="AE358" i="1"/>
  <c r="AE366" i="1"/>
  <c r="AE284" i="1"/>
  <c r="AE508" i="1"/>
  <c r="AE292" i="1"/>
  <c r="AE308" i="1"/>
  <c r="AE324" i="1"/>
  <c r="AE480" i="1"/>
  <c r="AE486" i="1"/>
  <c r="AE519" i="1"/>
  <c r="AE95" i="1"/>
  <c r="AE111" i="1"/>
  <c r="AE127" i="1"/>
  <c r="AE142" i="1"/>
  <c r="AE150" i="1"/>
  <c r="AE158" i="1"/>
  <c r="AE593" i="1"/>
  <c r="AI594" i="1"/>
  <c r="AD593" i="1"/>
  <c r="AF593" i="1" s="1"/>
  <c r="AD596" i="1"/>
  <c r="AF596" i="1" s="1"/>
  <c r="AE598" i="1"/>
  <c r="AD383" i="1"/>
  <c r="AF383" i="1" s="1"/>
  <c r="AE600" i="1"/>
  <c r="AI602" i="1"/>
  <c r="AE604" i="1"/>
  <c r="AE609" i="1"/>
  <c r="AI610" i="1"/>
  <c r="AD614" i="1"/>
  <c r="AF614" i="1" s="1"/>
  <c r="AE628" i="1"/>
  <c r="AD579" i="1"/>
  <c r="AF579" i="1" s="1"/>
  <c r="AI442" i="1"/>
  <c r="AI203" i="1"/>
  <c r="AI339" i="1"/>
  <c r="AI91" i="1"/>
  <c r="AI99" i="1"/>
  <c r="AI138" i="1"/>
  <c r="AI162" i="1"/>
  <c r="AI178" i="1"/>
  <c r="AI280" i="1"/>
  <c r="AE437" i="1"/>
  <c r="AE510" i="1"/>
  <c r="AE206" i="1"/>
  <c r="AE373" i="1"/>
  <c r="AE381" i="1"/>
  <c r="AE485" i="1"/>
  <c r="AD145" i="1"/>
  <c r="AF145" i="1" s="1"/>
  <c r="AD607" i="1"/>
  <c r="AF607" i="1" s="1"/>
  <c r="AI405" i="1"/>
  <c r="AI33" i="1"/>
  <c r="AI303" i="1"/>
  <c r="AI516" i="1"/>
  <c r="AI177" i="1"/>
  <c r="AD334" i="1"/>
  <c r="AF334" i="1" s="1"/>
  <c r="AI391" i="1"/>
  <c r="AI399" i="1"/>
  <c r="AI407" i="1"/>
  <c r="AI415" i="1"/>
  <c r="AI445" i="1"/>
  <c r="AI453" i="1"/>
  <c r="AI461" i="1"/>
  <c r="AI435" i="1"/>
  <c r="AI79" i="1"/>
  <c r="AI421" i="1"/>
  <c r="AI53" i="1"/>
  <c r="AI14" i="1"/>
  <c r="AI62" i="1"/>
  <c r="AI16" i="1"/>
  <c r="AE392" i="1"/>
  <c r="AE400" i="1"/>
  <c r="AE408" i="1"/>
  <c r="AE446" i="1"/>
  <c r="AE454" i="1"/>
  <c r="AE462" i="1"/>
  <c r="AE436" i="1"/>
  <c r="AE80" i="1"/>
  <c r="AE422" i="1"/>
  <c r="AE54" i="1"/>
  <c r="AE429" i="1"/>
  <c r="AE63" i="1"/>
  <c r="AE181" i="1"/>
  <c r="AE189" i="1"/>
  <c r="AE197" i="1"/>
  <c r="AE205" i="1"/>
  <c r="AE212" i="1"/>
  <c r="AE217" i="1"/>
  <c r="AE224" i="1"/>
  <c r="AE488" i="1"/>
  <c r="AE65" i="1"/>
  <c r="AE71" i="1"/>
  <c r="AE77" i="1"/>
  <c r="AE335" i="1"/>
  <c r="AE341" i="1"/>
  <c r="AE349" i="1"/>
  <c r="AI463" i="1"/>
  <c r="AI57" i="1"/>
  <c r="AI342" i="1"/>
  <c r="AI389" i="1"/>
  <c r="AI507" i="1"/>
  <c r="AE404" i="1"/>
  <c r="AE412" i="1"/>
  <c r="AE420" i="1"/>
  <c r="AE450" i="1"/>
  <c r="AE458" i="1"/>
  <c r="AE432" i="1"/>
  <c r="AE52" i="1"/>
  <c r="AE474" i="1"/>
  <c r="AE477" i="1"/>
  <c r="AE193" i="1"/>
  <c r="AE201" i="1"/>
  <c r="AE208" i="1"/>
  <c r="AE220" i="1"/>
  <c r="AE228" i="1"/>
  <c r="AE489" i="1"/>
  <c r="AE68" i="1"/>
  <c r="AE345" i="1"/>
  <c r="AD294" i="1"/>
  <c r="AF294" i="1" s="1"/>
  <c r="AD318" i="1"/>
  <c r="AF318" i="1" s="1"/>
  <c r="AD235" i="1"/>
  <c r="AF235" i="1" s="1"/>
  <c r="AD82" i="1"/>
  <c r="AF82" i="1" s="1"/>
  <c r="AD88" i="1"/>
  <c r="AF88" i="1" s="1"/>
  <c r="AD402" i="1"/>
  <c r="AF402" i="1" s="1"/>
  <c r="AD448" i="1"/>
  <c r="AF448" i="1" s="1"/>
  <c r="AD456" i="1"/>
  <c r="AF456" i="1" s="1"/>
  <c r="AD464" i="1"/>
  <c r="AF464" i="1" s="1"/>
  <c r="AD51" i="1"/>
  <c r="AF51" i="1" s="1"/>
  <c r="AD430" i="1"/>
  <c r="AF430" i="1" s="1"/>
  <c r="AD512" i="1"/>
  <c r="AF512" i="1" s="1"/>
  <c r="AD30" i="1"/>
  <c r="AF30" i="1" s="1"/>
  <c r="AD225" i="1"/>
  <c r="AF225" i="1" s="1"/>
  <c r="AD77" i="1"/>
  <c r="AF77" i="1" s="1"/>
  <c r="AD341" i="1"/>
  <c r="AF341" i="1" s="1"/>
  <c r="AD372" i="1"/>
  <c r="AF372" i="1" s="1"/>
  <c r="AD31" i="1"/>
  <c r="AF31" i="1" s="1"/>
  <c r="AI650" i="1"/>
  <c r="AD657" i="1"/>
  <c r="AF657" i="1" s="1"/>
  <c r="AE352" i="1"/>
  <c r="AE360" i="1"/>
  <c r="AE368" i="1"/>
  <c r="AE376" i="1"/>
  <c r="AE384" i="1"/>
  <c r="AE294" i="1"/>
  <c r="AE302" i="1"/>
  <c r="AE310" i="1"/>
  <c r="AE318" i="1"/>
  <c r="AE326" i="1"/>
  <c r="AE467" i="1"/>
  <c r="AE89" i="1"/>
  <c r="AE97" i="1"/>
  <c r="AE105" i="1"/>
  <c r="AE113" i="1"/>
  <c r="AE121" i="1"/>
  <c r="AE129" i="1"/>
  <c r="AE26" i="1"/>
  <c r="AE144" i="1"/>
  <c r="AE152" i="1"/>
  <c r="AE160" i="1"/>
  <c r="AE168" i="1"/>
  <c r="AE231" i="1"/>
  <c r="AE239" i="1"/>
  <c r="AE255" i="1"/>
  <c r="AE270" i="1"/>
  <c r="AE407" i="1"/>
  <c r="AE415" i="1"/>
  <c r="AE461" i="1"/>
  <c r="AE421" i="1"/>
  <c r="AE62" i="1"/>
  <c r="AE196" i="1"/>
  <c r="AE211" i="1"/>
  <c r="AE29" i="1"/>
  <c r="AE64" i="1"/>
  <c r="AE76" i="1"/>
  <c r="AE334" i="1"/>
  <c r="AE379" i="1"/>
  <c r="AE387" i="1"/>
  <c r="AE297" i="1"/>
  <c r="AE313" i="1"/>
  <c r="AE483" i="1"/>
  <c r="AE84" i="1"/>
  <c r="AE92" i="1"/>
  <c r="AE124" i="1"/>
  <c r="AE147" i="1"/>
  <c r="AE273" i="1"/>
  <c r="AE449" i="1"/>
  <c r="AE457" i="1"/>
  <c r="AE465" i="1"/>
  <c r="AE425" i="1"/>
  <c r="AE502" i="1"/>
  <c r="AE476" i="1"/>
  <c r="AE219" i="1"/>
  <c r="AE67" i="1"/>
  <c r="AE73" i="1"/>
  <c r="AE351" i="1"/>
  <c r="AE383" i="1"/>
  <c r="AE496" i="1"/>
  <c r="AE509" i="1"/>
  <c r="AE293" i="1"/>
  <c r="AE317" i="1"/>
  <c r="AE82" i="1"/>
  <c r="AE88" i="1"/>
  <c r="AE96" i="1"/>
  <c r="AE104" i="1"/>
  <c r="AE136" i="1"/>
  <c r="AE238" i="1"/>
  <c r="AE262" i="1"/>
  <c r="AE277" i="1"/>
  <c r="AD398" i="1"/>
  <c r="AF398" i="1" s="1"/>
  <c r="AD406" i="1"/>
  <c r="AF406" i="1" s="1"/>
  <c r="AD414" i="1"/>
  <c r="AF414" i="1" s="1"/>
  <c r="AD49" i="1"/>
  <c r="AF49" i="1" s="1"/>
  <c r="AD428" i="1"/>
  <c r="AF428" i="1" s="1"/>
  <c r="AD61" i="1"/>
  <c r="AF61" i="1" s="1"/>
  <c r="AD203" i="1"/>
  <c r="AF203" i="1" s="1"/>
  <c r="AD210" i="1"/>
  <c r="AF210" i="1" s="1"/>
  <c r="AD505" i="1"/>
  <c r="AF505" i="1" s="1"/>
  <c r="AD515" i="1"/>
  <c r="AF515" i="1" s="1"/>
  <c r="AD136" i="1"/>
  <c r="AF136" i="1" s="1"/>
  <c r="AD255" i="1"/>
  <c r="AF255" i="1" s="1"/>
  <c r="AD263" i="1"/>
  <c r="AF263" i="1" s="1"/>
  <c r="AD416" i="1"/>
  <c r="AF416" i="1" s="1"/>
  <c r="AD446" i="1"/>
  <c r="AF446" i="1" s="1"/>
  <c r="AD189" i="1"/>
  <c r="AF189" i="1" s="1"/>
  <c r="AD197" i="1"/>
  <c r="AF197" i="1" s="1"/>
  <c r="AI592" i="1"/>
  <c r="AD600" i="1"/>
  <c r="AF600" i="1" s="1"/>
  <c r="AE364" i="1"/>
  <c r="AE372" i="1"/>
  <c r="AE380" i="1"/>
  <c r="AE388" i="1"/>
  <c r="AE501" i="1"/>
  <c r="AE290" i="1"/>
  <c r="AE314" i="1"/>
  <c r="AE322" i="1"/>
  <c r="AE330" i="1"/>
  <c r="AE479" i="1"/>
  <c r="AE484" i="1"/>
  <c r="AE85" i="1"/>
  <c r="AE93" i="1"/>
  <c r="AE109" i="1"/>
  <c r="AE117" i="1"/>
  <c r="AE125" i="1"/>
  <c r="AE133" i="1"/>
  <c r="AE148" i="1"/>
  <c r="AE172" i="1"/>
  <c r="AE235" i="1"/>
  <c r="AE243" i="1"/>
  <c r="AE251" i="1"/>
  <c r="AE259" i="1"/>
  <c r="AI393" i="1"/>
  <c r="AI401" i="1"/>
  <c r="AI409" i="1"/>
  <c r="AI447" i="1"/>
  <c r="AI455" i="1"/>
  <c r="AI437" i="1"/>
  <c r="AI22" i="1"/>
  <c r="AI50" i="1"/>
  <c r="AI55" i="1"/>
  <c r="AI510" i="1"/>
  <c r="AI431" i="1"/>
  <c r="AI182" i="1"/>
  <c r="AI190" i="1"/>
  <c r="AI198" i="1"/>
  <c r="AI206" i="1"/>
  <c r="AI213" i="1"/>
  <c r="AI30" i="1"/>
  <c r="AI225" i="1"/>
  <c r="AI470" i="1"/>
  <c r="AI17" i="1"/>
  <c r="AI72" i="1"/>
  <c r="AI20" i="1"/>
  <c r="AI336" i="1"/>
  <c r="AI34" i="1"/>
  <c r="AI357" i="1"/>
  <c r="AI365" i="1"/>
  <c r="AI381" i="1"/>
  <c r="AI291" i="1"/>
  <c r="AI299" i="1"/>
  <c r="AI307" i="1"/>
  <c r="AI315" i="1"/>
  <c r="AI323" i="1"/>
  <c r="AI331" i="1"/>
  <c r="AI504" i="1"/>
  <c r="AI485" i="1"/>
  <c r="AI86" i="1"/>
  <c r="AI94" i="1"/>
  <c r="AI102" i="1"/>
  <c r="AI110" i="1"/>
  <c r="AI118" i="1"/>
  <c r="AI126" i="1"/>
  <c r="AI134" i="1"/>
  <c r="AI141" i="1"/>
  <c r="AI149" i="1"/>
  <c r="AI157" i="1"/>
  <c r="AI165" i="1"/>
  <c r="AI173" i="1"/>
  <c r="AI493" i="1"/>
  <c r="AI236" i="1"/>
  <c r="AI244" i="1"/>
  <c r="AD192" i="1"/>
  <c r="AF192" i="1" s="1"/>
  <c r="AD342" i="1"/>
  <c r="AF342" i="1" s="1"/>
  <c r="AD343" i="1"/>
  <c r="AF343" i="1" s="1"/>
  <c r="AI623" i="1"/>
  <c r="AI624" i="1"/>
  <c r="AI314" i="1"/>
  <c r="AI322" i="1"/>
  <c r="AI330" i="1"/>
  <c r="AI479" i="1"/>
  <c r="AI484" i="1"/>
  <c r="AI85" i="1"/>
  <c r="AI93" i="1"/>
  <c r="AI101" i="1"/>
  <c r="AI109" i="1"/>
  <c r="AI117" i="1"/>
  <c r="AI133" i="1"/>
  <c r="AI140" i="1"/>
  <c r="AI148" i="1"/>
  <c r="AI156" i="1"/>
  <c r="AI172" i="1"/>
  <c r="AI492" i="1"/>
  <c r="AI235" i="1"/>
  <c r="AI243" i="1"/>
  <c r="AI251" i="1"/>
  <c r="AI259" i="1"/>
  <c r="AI267" i="1"/>
  <c r="AI274" i="1"/>
  <c r="AI282" i="1"/>
  <c r="AD202" i="1"/>
  <c r="AF202" i="1" s="1"/>
  <c r="AI252" i="1"/>
  <c r="AI260" i="1"/>
  <c r="AI268" i="1"/>
  <c r="AI275" i="1"/>
  <c r="AI283" i="1"/>
  <c r="AI397" i="1"/>
  <c r="AI413" i="1"/>
  <c r="AI443" i="1"/>
  <c r="AI451" i="1"/>
  <c r="AI459" i="1"/>
  <c r="AI433" i="1"/>
  <c r="AI441" i="1"/>
  <c r="AI48" i="1"/>
  <c r="AI427" i="1"/>
  <c r="AI60" i="1"/>
  <c r="AI475" i="1"/>
  <c r="AI503" i="1"/>
  <c r="AI186" i="1"/>
  <c r="AI194" i="1"/>
  <c r="AI202" i="1"/>
  <c r="AI209" i="1"/>
  <c r="AI28" i="1"/>
  <c r="AI221" i="1"/>
  <c r="AI490" i="1"/>
  <c r="AI69" i="1"/>
  <c r="AI74" i="1"/>
  <c r="AI332" i="1"/>
  <c r="AI346" i="1"/>
  <c r="AI353" i="1"/>
  <c r="AI361" i="1"/>
  <c r="AI369" i="1"/>
  <c r="AI385" i="1"/>
  <c r="AI285" i="1"/>
  <c r="AI287" i="1"/>
  <c r="AI295" i="1"/>
  <c r="AI311" i="1"/>
  <c r="AI319" i="1"/>
  <c r="AI327" i="1"/>
  <c r="AI478" i="1"/>
  <c r="AI513" i="1"/>
  <c r="AI83" i="1"/>
  <c r="AI98" i="1"/>
  <c r="AI106" i="1"/>
  <c r="AI114" i="1"/>
  <c r="AI122" i="1"/>
  <c r="AI137" i="1"/>
  <c r="AI145" i="1"/>
  <c r="AI153" i="1"/>
  <c r="AI161" i="1"/>
  <c r="AI169" i="1"/>
  <c r="AI232" i="1"/>
  <c r="AI240" i="1"/>
  <c r="AI248" i="1"/>
  <c r="AI256" i="1"/>
  <c r="AI264" i="1"/>
  <c r="AI271" i="1"/>
  <c r="AI279" i="1"/>
  <c r="AE395" i="1"/>
  <c r="AE411" i="1"/>
  <c r="AE439" i="1"/>
  <c r="AE23" i="1"/>
  <c r="AE423" i="1"/>
  <c r="AE58" i="1"/>
  <c r="AE192" i="1"/>
  <c r="AE215" i="1"/>
  <c r="AE344" i="1"/>
  <c r="AE359" i="1"/>
  <c r="AE367" i="1"/>
  <c r="AE325" i="1"/>
  <c r="AE514" i="1"/>
  <c r="AE112" i="1"/>
  <c r="AE128" i="1"/>
  <c r="AE159" i="1"/>
  <c r="AE175" i="1"/>
  <c r="AE246" i="1"/>
  <c r="AE254" i="1"/>
  <c r="AE31" i="1"/>
  <c r="AE363" i="1"/>
  <c r="AD56" i="1"/>
  <c r="AF56" i="1" s="1"/>
  <c r="AD15" i="1"/>
  <c r="AF15" i="1" s="1"/>
  <c r="AD214" i="1"/>
  <c r="AF214" i="1" s="1"/>
  <c r="AD221" i="1"/>
  <c r="AF221" i="1" s="1"/>
  <c r="AI394" i="1"/>
  <c r="AI410" i="1"/>
  <c r="AI418" i="1"/>
  <c r="AI448" i="1"/>
  <c r="AI456" i="1"/>
  <c r="AI464" i="1"/>
  <c r="AI51" i="1"/>
  <c r="AI56" i="1"/>
  <c r="AI15" i="1"/>
  <c r="AI430" i="1"/>
  <c r="AI512" i="1"/>
  <c r="AI183" i="1"/>
  <c r="AI191" i="1"/>
  <c r="AI214" i="1"/>
  <c r="AI218" i="1"/>
  <c r="AI226" i="1"/>
  <c r="AI471" i="1"/>
  <c r="AI66" i="1"/>
  <c r="AI78" i="1"/>
  <c r="AI343" i="1"/>
  <c r="AI350" i="1"/>
  <c r="AI366" i="1"/>
  <c r="AI374" i="1"/>
  <c r="AI284" i="1"/>
  <c r="AI508" i="1"/>
  <c r="AI292" i="1"/>
  <c r="AI300" i="1"/>
  <c r="AI308" i="1"/>
  <c r="AI316" i="1"/>
  <c r="AI324" i="1"/>
  <c r="AI486" i="1"/>
  <c r="AI135" i="1"/>
  <c r="AI158" i="1"/>
  <c r="AI253" i="1"/>
  <c r="AI269" i="1"/>
  <c r="AI146" i="1"/>
  <c r="AI170" i="1"/>
  <c r="AD335" i="1"/>
  <c r="AF335" i="1" s="1"/>
  <c r="AD349" i="1"/>
  <c r="AF349" i="1" s="1"/>
  <c r="AD260" i="1"/>
  <c r="AF260" i="1" s="1"/>
  <c r="AI37" i="1"/>
  <c r="AD377" i="1"/>
  <c r="AF377" i="1" s="1"/>
  <c r="AD176" i="1"/>
  <c r="AF176" i="1" s="1"/>
  <c r="AD213" i="1"/>
  <c r="AF213" i="1" s="1"/>
  <c r="AI396" i="1"/>
  <c r="AI412" i="1"/>
  <c r="AI185" i="1"/>
  <c r="AI208" i="1"/>
  <c r="AI368" i="1"/>
  <c r="AI497" i="1"/>
  <c r="AI302" i="1"/>
  <c r="AI310" i="1"/>
  <c r="AI176" i="1"/>
  <c r="AI255" i="1"/>
  <c r="AE70" i="1"/>
  <c r="AE321" i="1"/>
  <c r="AE139" i="1"/>
  <c r="AE171" i="1"/>
  <c r="AE473" i="1"/>
  <c r="AE266" i="1"/>
  <c r="AE464" i="1"/>
  <c r="AE174" i="1"/>
  <c r="AE261" i="1"/>
  <c r="AD368" i="1"/>
  <c r="AF368" i="1" s="1"/>
  <c r="AD183" i="1"/>
  <c r="AF183" i="1" s="1"/>
  <c r="AD574" i="1"/>
  <c r="AF574" i="1" s="1"/>
  <c r="AI543" i="1"/>
  <c r="AD262" i="1"/>
  <c r="AF262" i="1" s="1"/>
  <c r="AD391" i="1"/>
  <c r="AF391" i="1" s="1"/>
  <c r="AD308" i="1"/>
  <c r="AF308" i="1" s="1"/>
  <c r="AI620" i="1"/>
  <c r="AD345" i="1"/>
  <c r="AF345" i="1" s="1"/>
  <c r="AD301" i="1"/>
  <c r="AF301" i="1" s="1"/>
  <c r="AD164" i="1"/>
  <c r="AF164" i="1" s="1"/>
  <c r="AD171" i="1"/>
  <c r="AF171" i="1" s="1"/>
  <c r="AI180" i="1"/>
  <c r="AI188" i="1"/>
  <c r="AI196" i="1"/>
  <c r="AI204" i="1"/>
  <c r="AI211" i="1"/>
  <c r="AI29" i="1"/>
  <c r="AI223" i="1"/>
  <c r="AI487" i="1"/>
  <c r="AI64" i="1"/>
  <c r="AI70" i="1"/>
  <c r="AI76" i="1"/>
  <c r="AI334" i="1"/>
  <c r="AI340" i="1"/>
  <c r="AI348" i="1"/>
  <c r="AI355" i="1"/>
  <c r="AI363" i="1"/>
  <c r="AI371" i="1"/>
  <c r="AI379" i="1"/>
  <c r="AI387" i="1"/>
  <c r="AI506" i="1"/>
  <c r="AI289" i="1"/>
  <c r="AI297" i="1"/>
  <c r="AI305" i="1"/>
  <c r="AI313" i="1"/>
  <c r="AI321" i="1"/>
  <c r="AI329" i="1"/>
  <c r="AI469" i="1"/>
  <c r="AI483" i="1"/>
  <c r="AI518" i="1"/>
  <c r="AI84" i="1"/>
  <c r="AI92" i="1"/>
  <c r="AI100" i="1"/>
  <c r="AI108" i="1"/>
  <c r="AI116" i="1"/>
  <c r="AI124" i="1"/>
  <c r="AI132" i="1"/>
  <c r="AI139" i="1"/>
  <c r="AI147" i="1"/>
  <c r="AI155" i="1"/>
  <c r="AI163" i="1"/>
  <c r="AI171" i="1"/>
  <c r="AI473" i="1"/>
  <c r="AI234" i="1"/>
  <c r="AI242" i="1"/>
  <c r="AI250" i="1"/>
  <c r="AI258" i="1"/>
  <c r="AI266" i="1"/>
  <c r="AI273" i="1"/>
  <c r="AI281" i="1"/>
  <c r="AI395" i="1"/>
  <c r="AI403" i="1"/>
  <c r="AI411" i="1"/>
  <c r="AI419" i="1"/>
  <c r="AI449" i="1"/>
  <c r="AI457" i="1"/>
  <c r="AI465" i="1"/>
  <c r="AI439" i="1"/>
  <c r="AI23" i="1"/>
  <c r="AI423" i="1"/>
  <c r="AI425" i="1"/>
  <c r="AI58" i="1"/>
  <c r="AI502" i="1"/>
  <c r="AI476" i="1"/>
  <c r="AI184" i="1"/>
  <c r="AD429" i="1"/>
  <c r="AF429" i="1" s="1"/>
  <c r="AI39" i="1"/>
  <c r="AE184" i="1"/>
  <c r="AE27" i="1"/>
  <c r="AE375" i="1"/>
  <c r="AD488" i="1"/>
  <c r="AF488" i="1" s="1"/>
  <c r="AD141" i="1"/>
  <c r="AF141" i="1" s="1"/>
  <c r="AI414" i="1"/>
  <c r="AI428" i="1"/>
  <c r="AI216" i="1"/>
  <c r="AI347" i="1"/>
  <c r="AI296" i="1"/>
  <c r="AI482" i="1"/>
  <c r="AI25" i="1"/>
  <c r="AI115" i="1"/>
  <c r="AI123" i="1"/>
  <c r="AI131" i="1"/>
  <c r="AI154" i="1"/>
  <c r="AI241" i="1"/>
  <c r="AI249" i="1"/>
  <c r="AI257" i="1"/>
  <c r="AI272" i="1"/>
  <c r="AE185" i="1"/>
  <c r="AD33" i="1"/>
  <c r="AF33" i="1" s="1"/>
  <c r="AI542" i="1"/>
  <c r="AI35" i="1"/>
  <c r="AD508" i="1"/>
  <c r="AF508" i="1" s="1"/>
  <c r="AD571" i="1"/>
  <c r="AF571" i="1" s="1"/>
  <c r="AD388" i="1"/>
  <c r="AF388" i="1" s="1"/>
  <c r="AD322" i="1"/>
  <c r="AF322" i="1" s="1"/>
  <c r="AD567" i="1"/>
  <c r="AF567" i="1" s="1"/>
  <c r="AD580" i="1"/>
  <c r="AF580" i="1" s="1"/>
  <c r="AD280" i="1"/>
  <c r="AF280" i="1" s="1"/>
  <c r="AI192" i="1"/>
  <c r="AI200" i="1"/>
  <c r="AI27" i="1"/>
  <c r="AI215" i="1"/>
  <c r="AI219" i="1"/>
  <c r="AE391" i="1"/>
  <c r="AE445" i="1"/>
  <c r="AE453" i="1"/>
  <c r="AE53" i="1"/>
  <c r="AE180" i="1"/>
  <c r="AE204" i="1"/>
  <c r="AE487" i="1"/>
  <c r="AE340" i="1"/>
  <c r="AE506" i="1"/>
  <c r="AE329" i="1"/>
  <c r="AE100" i="1"/>
  <c r="AE116" i="1"/>
  <c r="AE132" i="1"/>
  <c r="AE234" i="1"/>
  <c r="AE242" i="1"/>
  <c r="AE250" i="1"/>
  <c r="AE258" i="1"/>
  <c r="AD66" i="1"/>
  <c r="AF66" i="1" s="1"/>
  <c r="AD466" i="1"/>
  <c r="AF466" i="1" s="1"/>
  <c r="AD121" i="1"/>
  <c r="AF121" i="1" s="1"/>
  <c r="AD81" i="1"/>
  <c r="AF81" i="1" s="1"/>
  <c r="AD196" i="1"/>
  <c r="AF196" i="1" s="1"/>
  <c r="AI617" i="1"/>
  <c r="AI631" i="1"/>
  <c r="AI635" i="1"/>
  <c r="AD666" i="1"/>
  <c r="AF666" i="1" s="1"/>
  <c r="AE37" i="1"/>
  <c r="AD470" i="1"/>
  <c r="AF470" i="1" s="1"/>
  <c r="AD497" i="1"/>
  <c r="AF497" i="1" s="1"/>
  <c r="AD142" i="1"/>
  <c r="AF142" i="1" s="1"/>
  <c r="AD249" i="1"/>
  <c r="AF249" i="1" s="1"/>
  <c r="AI629" i="1"/>
  <c r="AD460" i="1"/>
  <c r="AF460" i="1" s="1"/>
  <c r="AD70" i="1"/>
  <c r="AF70" i="1" s="1"/>
  <c r="AD259" i="1"/>
  <c r="AF259" i="1" s="1"/>
  <c r="AD369" i="1"/>
  <c r="AF369" i="1" s="1"/>
  <c r="AI552" i="1"/>
  <c r="AD558" i="1"/>
  <c r="AF558" i="1" s="1"/>
  <c r="AI603" i="1"/>
  <c r="AI611" i="1"/>
  <c r="AI612" i="1"/>
  <c r="AI655" i="1"/>
  <c r="AD667" i="1"/>
  <c r="AF667" i="1" s="1"/>
  <c r="AD227" i="1"/>
  <c r="AF227" i="1" s="1"/>
  <c r="AD469" i="1"/>
  <c r="AF469" i="1" s="1"/>
  <c r="AD124" i="1"/>
  <c r="AF124" i="1" s="1"/>
  <c r="AD415" i="1"/>
  <c r="AF415" i="1" s="1"/>
  <c r="AD110" i="1"/>
  <c r="AF110" i="1" s="1"/>
  <c r="AI551" i="1"/>
  <c r="AI548" i="1"/>
  <c r="AD588" i="1"/>
  <c r="AF588" i="1" s="1"/>
  <c r="AD619" i="1"/>
  <c r="AF619" i="1" s="1"/>
  <c r="AI227" i="1"/>
  <c r="AI472" i="1"/>
  <c r="AI67" i="1"/>
  <c r="AI73" i="1"/>
  <c r="AI21" i="1"/>
  <c r="AI338" i="1"/>
  <c r="AI344" i="1"/>
  <c r="AI351" i="1"/>
  <c r="AI359" i="1"/>
  <c r="AI367" i="1"/>
  <c r="AI375" i="1"/>
  <c r="AI383" i="1"/>
  <c r="AI496" i="1"/>
  <c r="AI509" i="1"/>
  <c r="AI293" i="1"/>
  <c r="AI301" i="1"/>
  <c r="AI309" i="1"/>
  <c r="AI317" i="1"/>
  <c r="AI325" i="1"/>
  <c r="AI500" i="1"/>
  <c r="AI514" i="1"/>
  <c r="AI82" i="1"/>
  <c r="AI88" i="1"/>
  <c r="AI96" i="1"/>
  <c r="AI104" i="1"/>
  <c r="AI112" i="1"/>
  <c r="AI120" i="1"/>
  <c r="AI128" i="1"/>
  <c r="AI136" i="1"/>
  <c r="AI143" i="1"/>
  <c r="AI151" i="1"/>
  <c r="AI159" i="1"/>
  <c r="AI167" i="1"/>
  <c r="AI175" i="1"/>
  <c r="AI495" i="1"/>
  <c r="AI238" i="1"/>
  <c r="AI246" i="1"/>
  <c r="AI254" i="1"/>
  <c r="AI262" i="1"/>
  <c r="AI31" i="1"/>
  <c r="AI277" i="1"/>
  <c r="AD454" i="1"/>
  <c r="AF454" i="1" s="1"/>
  <c r="AD462" i="1"/>
  <c r="AF462" i="1" s="1"/>
  <c r="AD436" i="1"/>
  <c r="AF436" i="1" s="1"/>
  <c r="AD80" i="1"/>
  <c r="AF80" i="1" s="1"/>
  <c r="AD181" i="1"/>
  <c r="AF181" i="1" s="1"/>
  <c r="AD212" i="1"/>
  <c r="AF212" i="1" s="1"/>
  <c r="AD379" i="1"/>
  <c r="AF379" i="1" s="1"/>
  <c r="AD394" i="1"/>
  <c r="AF394" i="1" s="1"/>
  <c r="AD179" i="1"/>
  <c r="AF179" i="1" s="1"/>
  <c r="AD328" i="1"/>
  <c r="AF328" i="1" s="1"/>
  <c r="AD105" i="1"/>
  <c r="AF105" i="1" s="1"/>
  <c r="AD559" i="1"/>
  <c r="AF559" i="1" s="1"/>
  <c r="AD490" i="1"/>
  <c r="AF490" i="1" s="1"/>
  <c r="AD170" i="1"/>
  <c r="AF170" i="1" s="1"/>
  <c r="AD564" i="1"/>
  <c r="AF564" i="1" s="1"/>
  <c r="AD585" i="1"/>
  <c r="AF585" i="1" s="1"/>
  <c r="AD392" i="1"/>
  <c r="AF392" i="1" s="1"/>
  <c r="AD400" i="1"/>
  <c r="AF400" i="1" s="1"/>
  <c r="AD408" i="1"/>
  <c r="AF408" i="1" s="1"/>
  <c r="AD422" i="1"/>
  <c r="AF422" i="1" s="1"/>
  <c r="AD54" i="1"/>
  <c r="AF54" i="1" s="1"/>
  <c r="AD511" i="1"/>
  <c r="AF511" i="1" s="1"/>
  <c r="AD216" i="1"/>
  <c r="AF216" i="1" s="1"/>
  <c r="AD487" i="1"/>
  <c r="AF487" i="1" s="1"/>
  <c r="AD348" i="1"/>
  <c r="AF348" i="1" s="1"/>
  <c r="AI521" i="1"/>
  <c r="AI549" i="1"/>
  <c r="AI541" i="1"/>
  <c r="AI534" i="1"/>
  <c r="AI585" i="1"/>
  <c r="AI588" i="1"/>
  <c r="AI590" i="1"/>
  <c r="AI596" i="1"/>
  <c r="AI598" i="1"/>
  <c r="AI601" i="1"/>
  <c r="AI609" i="1"/>
  <c r="AI618" i="1"/>
  <c r="AI627" i="1"/>
  <c r="AI632" i="1"/>
  <c r="AI638" i="1"/>
  <c r="AI641" i="1"/>
  <c r="AI36" i="1"/>
  <c r="AI653" i="1"/>
  <c r="AI658" i="1"/>
  <c r="AD554" i="1"/>
  <c r="AF554" i="1" s="1"/>
  <c r="AD582" i="1"/>
  <c r="AF582" i="1" s="1"/>
  <c r="AD59" i="1"/>
  <c r="AF59" i="1" s="1"/>
  <c r="AD76" i="1"/>
  <c r="AF76" i="1" s="1"/>
  <c r="AD572" i="1"/>
  <c r="AF572" i="1" s="1"/>
  <c r="AE666" i="1"/>
  <c r="AD194" i="1"/>
  <c r="AF194" i="1" s="1"/>
  <c r="AD664" i="1"/>
  <c r="AF664" i="1" s="1"/>
  <c r="AD195" i="1"/>
  <c r="AF195" i="1" s="1"/>
  <c r="AE664" i="1"/>
  <c r="AD347" i="1"/>
  <c r="AF347" i="1" s="1"/>
  <c r="AD39" i="1"/>
  <c r="AF39" i="1" s="1"/>
  <c r="AD38" i="1"/>
  <c r="AF38" i="1" s="1"/>
  <c r="AD37" i="1"/>
  <c r="AF37" i="1" s="1"/>
  <c r="AE38" i="1"/>
  <c r="AE39" i="1"/>
  <c r="AI38" i="1"/>
  <c r="AI528" i="1"/>
  <c r="AI562" i="1"/>
  <c r="AI667" i="1"/>
  <c r="O8" i="1"/>
  <c r="R8" i="1" s="1"/>
  <c r="AI578" i="1"/>
  <c r="AI554" i="1"/>
  <c r="AI570" i="1"/>
  <c r="AI404" i="1"/>
  <c r="AI420" i="1"/>
  <c r="AI450" i="1"/>
  <c r="AI458" i="1"/>
  <c r="AI432" i="1"/>
  <c r="AI440" i="1"/>
  <c r="AI12" i="1"/>
  <c r="AI52" i="1"/>
  <c r="AI426" i="1"/>
  <c r="AI59" i="1"/>
  <c r="AI474" i="1"/>
  <c r="AI477" i="1"/>
  <c r="AI220" i="1"/>
  <c r="AI228" i="1"/>
  <c r="AI489" i="1"/>
  <c r="AI68" i="1"/>
  <c r="AI32" i="1"/>
  <c r="AI345" i="1"/>
  <c r="AI352" i="1"/>
  <c r="AI360" i="1"/>
  <c r="AI376" i="1"/>
  <c r="AI384" i="1"/>
  <c r="AI286" i="1"/>
  <c r="AI318" i="1"/>
  <c r="AI326" i="1"/>
  <c r="AI467" i="1"/>
  <c r="AI481" i="1"/>
  <c r="AI515" i="1"/>
  <c r="AI24" i="1"/>
  <c r="AI89" i="1"/>
  <c r="AI97" i="1"/>
  <c r="AI105" i="1"/>
  <c r="AI113" i="1"/>
  <c r="AI121" i="1"/>
  <c r="AI129" i="1"/>
  <c r="AI26" i="1"/>
  <c r="AI144" i="1"/>
  <c r="AI152" i="1"/>
  <c r="AI160" i="1"/>
  <c r="AI168" i="1"/>
  <c r="AI231" i="1"/>
  <c r="AI239" i="1"/>
  <c r="AI247" i="1"/>
  <c r="AI263" i="1"/>
  <c r="AI270" i="1"/>
  <c r="AI278" i="1"/>
  <c r="AI527" i="1"/>
  <c r="AI533" i="1"/>
  <c r="AI569" i="1"/>
  <c r="AI553" i="1"/>
  <c r="AI587" i="1"/>
  <c r="AI589" i="1"/>
  <c r="AI606" i="1"/>
  <c r="AI614" i="1"/>
  <c r="AI615" i="1"/>
  <c r="AI616" i="1"/>
  <c r="AI619" i="1"/>
  <c r="AI625" i="1"/>
  <c r="AI630" i="1"/>
  <c r="AI646" i="1"/>
  <c r="AI660" i="1"/>
  <c r="AI666" i="1"/>
  <c r="W5" i="1"/>
  <c r="AD665" i="1"/>
  <c r="AF665" i="1" s="1"/>
  <c r="AI664" i="1"/>
  <c r="AE665" i="1"/>
  <c r="AE667" i="1"/>
</calcChain>
</file>

<file path=xl/sharedStrings.xml><?xml version="1.0" encoding="utf-8"?>
<sst xmlns="http://schemas.openxmlformats.org/spreadsheetml/2006/main" count="11584" uniqueCount="1024">
  <si>
    <t>Dependencia</t>
  </si>
  <si>
    <t>Código UNSPSC (cada código separado por ;)</t>
  </si>
  <si>
    <t>Meta Proyecto de Inversión</t>
  </si>
  <si>
    <t>Subdirección de Gestión Corporativa</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</si>
  <si>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</si>
  <si>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</si>
  <si>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</si>
  <si>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O232020200882199_Otros servicios jurídicos n.c.p.</t>
  </si>
  <si>
    <t>O23202020088715999_Servicio de mantenimiento y reparación de otros equipos n.c.p.</t>
  </si>
  <si>
    <t>5-Implementar 100% de un programa de mantenimiento a las estaciones de bomberos de Bogotá</t>
  </si>
  <si>
    <t>O23201010030208_Otra maquinaria para usos especiales y sus partes y piezas</t>
  </si>
  <si>
    <t>O2320202005040554590_Otros servicios especializados de la construcción</t>
  </si>
  <si>
    <t>O232020200885330_Servicios de limpieza general</t>
  </si>
  <si>
    <t>O232020200885250_Servicios de protección (guardas de
seguridad)</t>
  </si>
  <si>
    <t>4-Adecuar seis (6) estaciones de Bomberos</t>
  </si>
  <si>
    <t>226-Reforzar, Adecuar y Ampliar  6 estaciones de Bomberos</t>
  </si>
  <si>
    <t>516-Gestionar el 100% de un (1) plan de adecuación y sostenibilidad de los sistemas de gestión de la Unidad Administrativa Especial Cuerpo Oficial de Bomberos</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</si>
  <si>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</si>
  <si>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</si>
  <si>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</si>
  <si>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</si>
  <si>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</si>
  <si>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</si>
  <si>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</si>
  <si>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O232020200663393_Otros servicios de comidas contratadas</t>
  </si>
  <si>
    <t>O232020200883590_Otros servicios veterinarios</t>
  </si>
  <si>
    <t>O2320201003083899997_Artículos n.c.p. para protección</t>
  </si>
  <si>
    <t>TOTAL</t>
  </si>
  <si>
    <t>Oficina Jurídica</t>
  </si>
  <si>
    <t>Subdirección de Gestión del Riesgo</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</si>
  <si>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</si>
  <si>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</si>
  <si>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 xml:space="preserve">Oficina de Control Interno </t>
  </si>
  <si>
    <t>Subdirección de Gestión Humana</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</si>
  <si>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</si>
  <si>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</si>
  <si>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Oficina Asesora de Planeación</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</si>
  <si>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</si>
  <si>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</si>
  <si>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</si>
  <si>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O232020200883132_Servicios de soporte en tecnologías de la información (TI)</t>
  </si>
  <si>
    <t>1-Implementar 100 %  del modelo de seguridad y privacidad de la información en la UAECOB alineado a la Política de Gobierno Digital.</t>
  </si>
  <si>
    <t>O232020200668014_Servicios de gestión documental</t>
  </si>
  <si>
    <t>O21202020080282199_Otros servicios jurídicos n.c.p.</t>
  </si>
  <si>
    <t>Dirección-Comunicaciones y Prensa</t>
  </si>
  <si>
    <t>Dirección</t>
  </si>
  <si>
    <t>Oficina de Control Disciplinario Interno</t>
  </si>
  <si>
    <t>Subdirección Operativa</t>
  </si>
  <si>
    <t>6-Implementar 100% de un programa de renovación de equipo menor, herramientas, accesorios y elementos de protección personal en la UAECOB</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</si>
  <si>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</si>
  <si>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</si>
  <si>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</si>
  <si>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</si>
  <si>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</si>
  <si>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</si>
  <si>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</si>
  <si>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</si>
  <si>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</si>
  <si>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</si>
  <si>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</si>
  <si>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</si>
  <si>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</si>
  <si>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</si>
  <si>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</si>
  <si>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</si>
  <si>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</si>
  <si>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UNIDAD ADMINISTRATIVA ESPECIAL CUERPO OFICIAL DE BOMBEROS DE BOGOTÁ D.C.</t>
  </si>
  <si>
    <t>VIGENCIA:</t>
  </si>
  <si>
    <t>Fuente de Recursos</t>
  </si>
  <si>
    <t>plazo ejec Meses</t>
  </si>
  <si>
    <t>Modalidad de Selección</t>
  </si>
  <si>
    <t>Si Secop / No Secop</t>
  </si>
  <si>
    <t>Producto PMR</t>
  </si>
  <si>
    <t>Descripción Producto PMR</t>
  </si>
  <si>
    <t>Producto MGA</t>
  </si>
  <si>
    <t>Tipo de Contratación</t>
  </si>
  <si>
    <t>modalidad de selección</t>
  </si>
  <si>
    <t>POSPRE</t>
  </si>
  <si>
    <t>01 - licitación pública</t>
  </si>
  <si>
    <t>01 - orden de compra</t>
  </si>
  <si>
    <t>O23201010030208 Otra maquinaria para usos especiales y sus partes y piezas</t>
  </si>
  <si>
    <t>METAS PROYECTO FORTALECIMIENTO</t>
  </si>
  <si>
    <t>METAS PROYECTO MISIONAL</t>
  </si>
  <si>
    <t>02 - selec. abrev. menor cuantía</t>
  </si>
  <si>
    <t>02 - contratos interadministrativos</t>
  </si>
  <si>
    <t>O2320201003053543003 Aditivos para gasolina, aceites minerales y combustible en general</t>
  </si>
  <si>
    <t>1-Implementar el 100% de las actividades de seguimiento y control de los requisitos y directrices de las políticas del Modelo integrado de Planeación y Gestión - MIPG</t>
  </si>
  <si>
    <t>1-Implementación 6 estrategias de reducción del riesgo de incendios,  incidentes con materiales peligrosos y rescate en todas sus modalidades en la ciudad de Bogotá</t>
  </si>
  <si>
    <t>03 - selec. abrev. subasta inversa</t>
  </si>
  <si>
    <t>03 - contrato de prestacion de servicios</t>
  </si>
  <si>
    <t>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</si>
  <si>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2-Desarrollar un programa de renovación de equipos, herramientas, accesorios y elementos de protección personal en la UAECOB.</t>
  </si>
  <si>
    <t>04 - contratación mínima cuantía</t>
  </si>
  <si>
    <t>04 - contrato de consultoria</t>
  </si>
  <si>
    <t>O2320202005040554590 Otros servicios especializados de la construcción</t>
  </si>
  <si>
    <t>3-Implementar el 100% de los sistemas y modelos de gestión que defina la UAECOB en el marco del MIPG</t>
  </si>
  <si>
    <t>3-Desarrollar un programa de renovación de vehículos de la Unidad Administrativa Cuerpo Oficial de Bomberos de Bogotá.</t>
  </si>
  <si>
    <t>05 - contrato de obra</t>
  </si>
  <si>
    <t>4-Administrar, soportar y mantener el 100% del servicio de Herramientas de Colaboración y sistemas de información.</t>
  </si>
  <si>
    <t xml:space="preserve">4-Desarrollar 3 estrategias para el fortalecimiento de la logistica en la atención de emergencias. </t>
  </si>
  <si>
    <t>06 - concurso de méritos abierto</t>
  </si>
  <si>
    <t>06 - contrato de compraventa</t>
  </si>
  <si>
    <t>O232020200663393 Otros servicios de comidas contratadas</t>
  </si>
  <si>
    <t>5-Desarrollar el 100% de las acciones asociadas al fortalecimiento de la infraestructura tecnológica y de comunicaciones de la UAECOB</t>
  </si>
  <si>
    <t>5-Realizar 3 Estrategias de Investigación, desarrollo e innovación en gestión del riesgo</t>
  </si>
  <si>
    <t>09 - contratación directa</t>
  </si>
  <si>
    <t>07 - contrato de arrendamiento</t>
  </si>
  <si>
    <t>O232020200668014 Servicios de gestión documental</t>
  </si>
  <si>
    <t>6-Formular e Implementar 1 Plan Estratégico de Tecnologías de la Información y Transformación Digital de la UAECOB.</t>
  </si>
  <si>
    <t>6-Implementar un sistema de monitoreo y seguimiento a incidentes y emergencias para Bogotá, incluyendo cerros orientales</t>
  </si>
  <si>
    <t>10 - contratación directa menor cuantía</t>
  </si>
  <si>
    <t>08 - contrato de suministro</t>
  </si>
  <si>
    <t>7-Actualizar e implementar el 100% del Plan Anual de Seguridad y Privacidad de la Información.</t>
  </si>
  <si>
    <t>7-Adecuar 4 Sedes de la UAECOB</t>
  </si>
  <si>
    <t>17 - acuerdo marco de precios</t>
  </si>
  <si>
    <t>09 - convenio interadministrativo</t>
  </si>
  <si>
    <t>O232020200883132 Servicios de soporte en tecnologías de la información (TI)</t>
  </si>
  <si>
    <t>8-Implementar el 100% del programa de mantenimiento a las sedes de Bomberos de Bogotá</t>
  </si>
  <si>
    <t>8-Construir 1 sede de bomberos de la UAECOB</t>
  </si>
  <si>
    <t>91 - n/a acto administrativo (resolución, decreto, acuerdo, etc.)</t>
  </si>
  <si>
    <t>10 - licitacion publica</t>
  </si>
  <si>
    <t>O232020200883159 Otros servicios de alojamiento y suministro de infraestructura en tecnología de la información (TI)</t>
  </si>
  <si>
    <t>9-Fortalecer el 100% de la gestión administrativa de las áreas de apoyo al cumplimiento de la misionalidad de la UAECOB</t>
  </si>
  <si>
    <t>9-Implementar el 100% del programa de capacitación, formación y entrenamiento al personal uniformado de la Unidad Administrativa Cuerpo Oficial de Bomberos de Bogotá.</t>
  </si>
  <si>
    <t>11 - orden de prestacion de servicios</t>
  </si>
  <si>
    <t>O232020200883590 Otros servicios veterinarios</t>
  </si>
  <si>
    <t>10-Formular e Implementar una estrategia de comunicaciones en lo relacionado con la divulgación de estrategias, programas, proyectos y servicios a los grupos de interés, de la UAECOB</t>
  </si>
  <si>
    <t>10-Realizar 2 documentos de lineamientos técnicos para la construcción de estaciones de bomberos</t>
  </si>
  <si>
    <t>12 - resolucion</t>
  </si>
  <si>
    <t>O232020200883990 Otros servicios profesionales, técnicos y empresariales n.c.p.</t>
  </si>
  <si>
    <t>13 - orden de servicio</t>
  </si>
  <si>
    <t>14 - contrato de interventoria</t>
  </si>
  <si>
    <t>O232020200885250 Servicios de protección (guardas de seguridad)</t>
  </si>
  <si>
    <t>15 - contrato de seguros</t>
  </si>
  <si>
    <t>O232020200885330 Servicios de limpieza general</t>
  </si>
  <si>
    <t>16 - contrato de suministro de servicios</t>
  </si>
  <si>
    <t>17 - contrato de mantenimiento</t>
  </si>
  <si>
    <t>18 - contrato de obra publica</t>
  </si>
  <si>
    <t>19 - contrato de renovacion de licencias</t>
  </si>
  <si>
    <t>20 -contrato de servicios de consultoria</t>
  </si>
  <si>
    <t>21 - contrato de consultoria y obra</t>
  </si>
  <si>
    <t>22 - contrato de adquisicion de bienes</t>
  </si>
  <si>
    <t>23 - contrato de alquiler</t>
  </si>
  <si>
    <t>24 - contrato de servicio</t>
  </si>
  <si>
    <t>25 - contrato de prestacion de servicios profesionales</t>
  </si>
  <si>
    <t>26 - contrato de prestacion de servicios de apoyo a la gestion</t>
  </si>
  <si>
    <t>27 - contrato de prestacion de servicios de mantenimiento</t>
  </si>
  <si>
    <t>28 - contrato de ciencia y tecnologia</t>
  </si>
  <si>
    <t>Fortalecimiento institucional de la UAECOB para un gobierno confiable Bogotá D.C.</t>
  </si>
  <si>
    <t>Modernización de las capacidades del Cuerpo Oficial de Bomberos Bogotá D.C.</t>
  </si>
  <si>
    <t>Dirección comunicaciones y Prensa</t>
  </si>
  <si>
    <t>Dirección Tic</t>
  </si>
  <si>
    <t>Oficina de Control Interno</t>
  </si>
  <si>
    <t>Oficina Juridica</t>
  </si>
  <si>
    <t>Sub. Gestión Humana</t>
  </si>
  <si>
    <t>Sub. Gestión Corporativa</t>
  </si>
  <si>
    <t>Sub. Gestión Riesgos</t>
  </si>
  <si>
    <t>Sub. Logística</t>
  </si>
  <si>
    <t>Sub. Operativa</t>
  </si>
  <si>
    <t>O2320201003023262003 Catálogos, folletos y otras impresiones publicitarias</t>
  </si>
  <si>
    <t>fuente</t>
  </si>
  <si>
    <t>1-100-F001 VA-Recursos distrito</t>
  </si>
  <si>
    <t>1-601-F001 PAS-Otros distrito</t>
  </si>
  <si>
    <t>BPIN (AÑO+COD_PROYECTO)</t>
  </si>
  <si>
    <t>04</t>
  </si>
  <si>
    <t>Servicio de atención a incidentes y emergencias.</t>
  </si>
  <si>
    <t>05</t>
  </si>
  <si>
    <t>Servicio de capacitaciones en gestión del riesgo de incendios  a la ciudadania.</t>
  </si>
  <si>
    <t>11</t>
  </si>
  <si>
    <t>Infraestructura Tecnológica   (Sistemas de Información y Tecnologia)</t>
  </si>
  <si>
    <t>06</t>
  </si>
  <si>
    <t>Servicio de inspecciones técnicas realizadas</t>
  </si>
  <si>
    <t>07</t>
  </si>
  <si>
    <t>Servicio de formación en gestión del riesgo de incendios para el personal UAECOB</t>
  </si>
  <si>
    <t>08</t>
  </si>
  <si>
    <t>Infraestructura física, mantenimiento y dotación (Sedes construidas, mantenidas reforzadas)</t>
  </si>
  <si>
    <t>09</t>
  </si>
  <si>
    <t>Servicio de mantenimiento, dotación (HEA´s y equipo menor) y adquisición de vehiculos   especializados para la atención de emergencias.</t>
  </si>
  <si>
    <t>10</t>
  </si>
  <si>
    <t>Servicio de dotación y equipamento para el personal operativo</t>
  </si>
  <si>
    <t>12</t>
  </si>
  <si>
    <t>Servicio de apoyo   logístico  en eventos operativos y/o emergencias.</t>
  </si>
  <si>
    <t>13</t>
  </si>
  <si>
    <t>Servicios para la planeación y sistemas de gestión y comunicación estratégica</t>
  </si>
  <si>
    <t>Bogotá camina segura</t>
  </si>
  <si>
    <t>Sector_Programa MGA</t>
  </si>
  <si>
    <t>Descripción</t>
  </si>
  <si>
    <t>O230117</t>
  </si>
  <si>
    <t>4503</t>
  </si>
  <si>
    <t>4599</t>
  </si>
  <si>
    <t>Gobierno Territorial_ Gestión del riesgo de desastres y emergencias</t>
  </si>
  <si>
    <t>Gobierno Territorial_ Fortalecimiento a la gestión y dirección de la administración pública territorial</t>
  </si>
  <si>
    <t>Nombre del Proyecto BPIN</t>
  </si>
  <si>
    <t xml:space="preserve">Si Secop </t>
  </si>
  <si>
    <t>No Secop</t>
  </si>
  <si>
    <t>Código de proyecto de inversión, asociado a productos PMR y MGA</t>
  </si>
  <si>
    <t>código PEP</t>
  </si>
  <si>
    <t>8126-Fortalecimiento institucional de la UAECOB para un gobierno confiable Bogotá D.C.</t>
  </si>
  <si>
    <t>8173-Modernización de las capacidades del Cuerpo Oficial de Bomberos Bogotá D.C.</t>
  </si>
  <si>
    <t>Proyecto y nombre</t>
  </si>
  <si>
    <t>8126 1-Implementar el 100% de las actividades de seguimiento y control de los requisitos y directrices de las políticas del Modelo integrado de Planeación y Gestión - MIPG</t>
  </si>
  <si>
    <t>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</si>
  <si>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8126 3-Implementar el 100% de los sistemas y modelos de gestión que defina la UAECOB en el marco del MIPG</t>
  </si>
  <si>
    <t>8126 4-Administrar, soportar y mantener el 100% del servicio de Herramientas de Colaboración y sistemas de información.</t>
  </si>
  <si>
    <t>8126 5-Desarrollar el 100% de las acciones asociadas al fortalecimiento de la infraestructura tecnológica y de comunicaciones de la UAECOB</t>
  </si>
  <si>
    <t>8126 6-Formular e Implementar 1 Plan Estratégico de Tecnologías de la Información y Transformación Digital de la UAECOB.</t>
  </si>
  <si>
    <t>8126 7-Actualizar e implementar el 100% del Plan Anual de Seguridad y Privacidad de la Información.</t>
  </si>
  <si>
    <t>8126 8-Implementar el 100% del programa de mantenimiento a las sedes de Bomberos de Bogotá</t>
  </si>
  <si>
    <t>8126 9-Fortalecer el 100% de la gestión administrativa de las áreas de apoyo al cumplimiento de la misionalidad de la UAECOB</t>
  </si>
  <si>
    <t>8126 10-Formular e Implementar una estrategia de comunicaciones en lo relacionado con la divulgación de estrategias, programas, proyectos y servicios a los grupos de interés, de la UAECOB</t>
  </si>
  <si>
    <t>8173 1-Implementación 6 estrategias de reducción del riesgo de incendios,  incidentes con materiales peligrosos y rescate en todas sus modalidades en la ciudad de Bogotá</t>
  </si>
  <si>
    <t>8173 2-Desarrollar un programa de renovación de equipos, herramientas, accesorios y elementos de protección personal en la UAECOB.</t>
  </si>
  <si>
    <t>8173 3-Desarrollar un programa de renovación de vehículos de la Unidad Administrativa Cuerpo Oficial de Bomberos de Bogotá.</t>
  </si>
  <si>
    <t xml:space="preserve">8173 4-Desarrollar 3 estrategias para el fortalecimiento de la logistica en la atención de emergencias. </t>
  </si>
  <si>
    <t>8173 5-Realizar 3 Estrategias de Investigación, desarrollo e innovación en gestión del riesgo</t>
  </si>
  <si>
    <t>8173 6-Implementar un sistema de monitoreo y seguimiento a incidentes y emergencias para Bogotá, incluyendo cerros orientales</t>
  </si>
  <si>
    <t>8173 7-Adecuar 4 Sedes de la UAECOB</t>
  </si>
  <si>
    <t>8173 8-Construir 1 sede de bomberos de la UAECOB</t>
  </si>
  <si>
    <t>8173 9-Implementar el 100% del programa de capacitación, formación y entrenamiento al personal uniformado de la Unidad Administrativa Cuerpo Oficial de Bomberos de Bogotá.</t>
  </si>
  <si>
    <t>8173 10-Realizar 2 documentos de lineamientos técnicos para la construcción de estaciones de bomberos</t>
  </si>
  <si>
    <t>codigo PEP</t>
  </si>
  <si>
    <t>004</t>
  </si>
  <si>
    <t>002</t>
  </si>
  <si>
    <t>035</t>
  </si>
  <si>
    <t>018</t>
  </si>
  <si>
    <t>014</t>
  </si>
  <si>
    <t>015</t>
  </si>
  <si>
    <t>016</t>
  </si>
  <si>
    <t>007</t>
  </si>
  <si>
    <t>031</t>
  </si>
  <si>
    <t>023</t>
  </si>
  <si>
    <t>019</t>
  </si>
  <si>
    <t>Producto MGA2</t>
  </si>
  <si>
    <t>Descripción Producto MGA</t>
  </si>
  <si>
    <t>Servicio de atención a emergencias y desastres</t>
  </si>
  <si>
    <t>Servicio de educación informal</t>
  </si>
  <si>
    <t>Servicio prevención y control de incendios</t>
  </si>
  <si>
    <t>Estaciones de bomberos adecuadas</t>
  </si>
  <si>
    <t>Estaciones de bomberos construidas</t>
  </si>
  <si>
    <t>Sedes mantenidas</t>
  </si>
  <si>
    <t>Servicios tecnológicos</t>
  </si>
  <si>
    <t>Servicio de asistencia técnica</t>
  </si>
  <si>
    <t>Servicio de Implementación Sistemas de Gestión</t>
  </si>
  <si>
    <t>Documentos de planeación</t>
  </si>
  <si>
    <t>Documentos de lineamientos técnicos</t>
  </si>
  <si>
    <t>descripcion Producto MGA</t>
  </si>
  <si>
    <t>PM/0131/0104/45030040255</t>
  </si>
  <si>
    <t>PM/0131/0105/45030020255</t>
  </si>
  <si>
    <t>PM/0131/0105/45030350255</t>
  </si>
  <si>
    <t>PM/0131/0111/45030180255</t>
  </si>
  <si>
    <t>PM/0131/0106/45030350255</t>
  </si>
  <si>
    <t>PM/0131/0107/45030020255</t>
  </si>
  <si>
    <t>PM/0131/0108/45030140255</t>
  </si>
  <si>
    <t>PM/0131/0108/45030150255</t>
  </si>
  <si>
    <t>PM/0131/0108/45990160207</t>
  </si>
  <si>
    <t>PM/0131/0109/45030040255</t>
  </si>
  <si>
    <t>PM/0131/0110/45030040255</t>
  </si>
  <si>
    <t>PM/0131/0111/45990070207</t>
  </si>
  <si>
    <t>PM/0131/0112/45030040255</t>
  </si>
  <si>
    <t>PM/0131/0113/45990310207</t>
  </si>
  <si>
    <t>PM/0131/0113/45990230207</t>
  </si>
  <si>
    <t>PM/0131/0113/45990190207</t>
  </si>
  <si>
    <t>PM/0131/0108/45030310255</t>
  </si>
  <si>
    <t>concatenarMGA</t>
  </si>
  <si>
    <t>PMR MGA</t>
  </si>
  <si>
    <t>04-Servicio de atención a incidentes y emergencias. 004_Servicio de atención a emergencias y desastres</t>
  </si>
  <si>
    <t>05-Servicio de capacitaciones en gestión del riesgo de incendios  a la ciudadania. 002_Servicio de educación informal</t>
  </si>
  <si>
    <t>05-Servicio de capacitaciones en gestión del riesgo de incendios  a la ciudadania. 035_Servicio prevención y control de incendios</t>
  </si>
  <si>
    <t>11-Infraestructura Tecnológica   (Sistemas de Información y Tecnologia) 018_"Servicio de monitoreo y seguimiento para la gestión del riesgo"</t>
  </si>
  <si>
    <t>06-Servicio de inspecciones técnicas realizadas 035_Servicio prevención y control de incendios</t>
  </si>
  <si>
    <t>07-Servicio de formación en gestión del riesgo de incendios para el personal UAECOB 002_Servicio de educación informal</t>
  </si>
  <si>
    <t>08-Infraestructura física, mantenimiento y dotación (Sedes construidas, mantenidas reforzadas) 014_Estaciones de bomberos adecuadas</t>
  </si>
  <si>
    <t>08-Infraestructura física, mantenimiento y dotación (Sedes construidas, mantenidas reforzadas) 015_Estaciones de bomberos construidas</t>
  </si>
  <si>
    <t>08-Infraestructura física, mantenimiento y dotación (Sedes construidas, mantenidas reforzadas) 016_Sedes mantenidas</t>
  </si>
  <si>
    <t>09-Servicio de mantenimiento, dotación (HEA´s y equipo menor) y adquisición de vehiculos   especializados para la atención de emergencias. 004_Servicio de atención a emergencias y desastres</t>
  </si>
  <si>
    <t>10-Servicio de dotación y equipamento para el personal operativo 004_Servicio de atención a emergencias y desastres</t>
  </si>
  <si>
    <t>11-Infraestructura Tecnológica   (Sistemas de Información y Tecnologia) 007_Servicios tecnológicos</t>
  </si>
  <si>
    <t>12-Servicio de apoyo   logístico  en eventos operativos y/o emergencias. 004_Servicio de atención a emergencias y desastres</t>
  </si>
  <si>
    <t>13-Servicios para la planeación y sistemas de gestión y comunicación estratégica 031_Servicio de asistencia técnica</t>
  </si>
  <si>
    <t>13-Servicios para la planeación y sistemas de gestión y comunicación estratégica 023_Servicio de Implementación Sistemas de Gestión</t>
  </si>
  <si>
    <t>13-Servicios para la planeación y sistemas de gestión y comunicación estratégica 019_Documentos de planeación</t>
  </si>
  <si>
    <t>PEP</t>
  </si>
  <si>
    <t>031_</t>
  </si>
  <si>
    <t>08-Infraestructura física, mantenimiento y dotación (Sedes construidas, mantenidas reforzadas) 031__Documentos de lineamientos técnicos</t>
  </si>
  <si>
    <t>PM MGA conca</t>
  </si>
  <si>
    <t>PMR conca</t>
  </si>
  <si>
    <t>PRESUPUESTO FUNCIONAMIENTO PAA</t>
  </si>
  <si>
    <t>TOTAL PRESUPUESTO PAA</t>
  </si>
  <si>
    <t>-</t>
  </si>
  <si>
    <t>DEPENDENCIA</t>
  </si>
  <si>
    <t>TOTAL META</t>
  </si>
  <si>
    <t>pospre</t>
  </si>
  <si>
    <t>OAP</t>
  </si>
  <si>
    <t>O23011745992024020713031</t>
  </si>
  <si>
    <t>O23011745992024020713023</t>
  </si>
  <si>
    <t>Dirección TIC</t>
  </si>
  <si>
    <t>O23011745992024020711007</t>
  </si>
  <si>
    <t>O232020200883132 Servicios de soporte en tecnologías de la información (TI) (273.960.117) ORACLE 
O232020200883990 Otros servicios profesionales, técnicos y empresariales n.c.p. AUTERIDAD (208.000.000)</t>
  </si>
  <si>
    <t>O232020200883132 Servicios de soporte en tecnologías de la información (TI) (200.000.000) VIDEOBIND
O232020200883159_Otros servicios de alojamiento y suministro de infraestructura en tecnología de la información (TI) (726.338.572) ANTIVIRUS</t>
  </si>
  <si>
    <t>SGC</t>
  </si>
  <si>
    <t>O23011745992024020708016</t>
  </si>
  <si>
    <t>O2320202005040554590 Otros servicios especializados de la construcción (1.182.712.750)
O23202020088715999 Servicio de mantenimiento y reparación de otros equipos n.c.p. LAVADORAS (52.000.000)
O232020200883990 Otros servicios profesionales, técnicos y empresariales n.c.p. TRAMPA (5.000.000)</t>
  </si>
  <si>
    <t xml:space="preserve">Dirección </t>
  </si>
  <si>
    <t>OCDI</t>
  </si>
  <si>
    <t>OCI</t>
  </si>
  <si>
    <t>OJ</t>
  </si>
  <si>
    <t>O23011745992024020713019</t>
  </si>
  <si>
    <t/>
  </si>
  <si>
    <t>SGR</t>
  </si>
  <si>
    <t>O23011745032024025505002</t>
  </si>
  <si>
    <t>O23011745032024025505035</t>
  </si>
  <si>
    <t>O232020200883990 Otros servicios profesionales, técnicos y empresariales n.c.p. POLVORA</t>
  </si>
  <si>
    <t>O23011745032024025506035</t>
  </si>
  <si>
    <t>SO</t>
  </si>
  <si>
    <t>O23011745032024025504004</t>
  </si>
  <si>
    <t>O23011745032024025510004</t>
  </si>
  <si>
    <t>O23201010030208 Otra maquinaria para usos especiales y sus partes y piezas ELEMENTOS - ELECTRICO</t>
  </si>
  <si>
    <t>O23011745032024025509004</t>
  </si>
  <si>
    <t>SL</t>
  </si>
  <si>
    <t>O23011745032024025512004</t>
  </si>
  <si>
    <t>O23011745032024025511018</t>
  </si>
  <si>
    <t>O23011745032024025508014</t>
  </si>
  <si>
    <t>O2320202005040554590 Otros servicios especializados de la construcción INTERV KENNEDY</t>
  </si>
  <si>
    <t>O23011745032024025508015</t>
  </si>
  <si>
    <t>SGH</t>
  </si>
  <si>
    <t>O23011745032024025507002</t>
  </si>
  <si>
    <t>O232020200883990 Otros servicios profesionales, técnicos y empresariales n.c.p. BUCEO -  AUSTERIDAD (1.545.072.622)</t>
  </si>
  <si>
    <t>O23011745032024025508031</t>
  </si>
  <si>
    <t>TOTAL PROYECTO</t>
  </si>
  <si>
    <t>TOTAL PROYECTOS INVERSIÓN</t>
  </si>
  <si>
    <t>131- Funcionamiento</t>
  </si>
  <si>
    <t>No aplica</t>
  </si>
  <si>
    <t>No Aplica</t>
  </si>
  <si>
    <t>NA</t>
  </si>
  <si>
    <t>mas plazo ejec Días (si aplica)</t>
  </si>
  <si>
    <t>N/A</t>
  </si>
  <si>
    <t>N/A-N/A N/A_N/A</t>
  </si>
  <si>
    <t>Programado</t>
  </si>
  <si>
    <t>DISTRIBUCIÓN PPTAL PROYECTADA PAA VR 0</t>
  </si>
  <si>
    <t xml:space="preserve">proyecto </t>
  </si>
  <si>
    <t>Diferencia</t>
  </si>
  <si>
    <t>ARMONIZACION</t>
  </si>
  <si>
    <t>O23202020088714199 Servicio de mantenimiento y reparación de vehículos automotores n.c.p. MTTO VEHICULOS (3.850.000.000)
O23201010030208 Otra maquinaria para usos especiales y sus partes y piezas (600.000.000) FOX - ALINEACIÓN Y BALAN</t>
  </si>
  <si>
    <t>O21202020080787130 Servicios de mantenimiento y reparación de computa</t>
  </si>
  <si>
    <t>O21202020080484290 Otros servicios de telecomunicaciones vía Internet</t>
  </si>
  <si>
    <t>O21202020080383141 Servicios de diseño y desarrollo de aplicaciones en tecnologías de la información (TI)</t>
  </si>
  <si>
    <t>Etiquetas de fila</t>
  </si>
  <si>
    <t>Total general</t>
  </si>
  <si>
    <t>1-100-I087 VA-Sobretasa Bomberil</t>
  </si>
  <si>
    <t>O2120201002082823609    Uniformes de trabajo</t>
  </si>
  <si>
    <t xml:space="preserve"> </t>
  </si>
  <si>
    <t>8173 11-Gestionar el 100% de las necesidades de bienes y servicios a la infraestructura en funcionamiento</t>
  </si>
  <si>
    <t>O2320201003063694012 Recipientes de material plástico-canecas para la basura</t>
  </si>
  <si>
    <t>O2320201002072719002 Estandartes y banderas</t>
  </si>
  <si>
    <t>O2320201003023262002 Carteles y avisos</t>
  </si>
  <si>
    <t>O2320101004010102 Muebles del tipo utilizado en la oficina</t>
  </si>
  <si>
    <t>O2320201003073722102 Utensilios de loza para mesa y la cocina</t>
  </si>
  <si>
    <t>1-200-I079  RB-Sobretasa Bomberil</t>
  </si>
  <si>
    <t>PLAN ANUAL DE ADQUISICIONES 2026</t>
  </si>
  <si>
    <t>NIT: 899.999.061-9</t>
  </si>
  <si>
    <t>Id Interno</t>
  </si>
  <si>
    <t>Objeto de la contratación</t>
  </si>
  <si>
    <t>TIPO DE CONTRATO</t>
  </si>
  <si>
    <t>TH</t>
  </si>
  <si>
    <t>tipo de Contrato (TH talento humano - B/S bienes y/o servicios)</t>
  </si>
  <si>
    <t>Mes estimado de inicio de ejecución</t>
  </si>
  <si>
    <t>Dependencia Solicitante</t>
  </si>
  <si>
    <t>Responsable del Proceso</t>
  </si>
  <si>
    <t>Proyecto y nombre Asociado</t>
  </si>
  <si>
    <t>Gerente del Proyecto Asociado</t>
  </si>
  <si>
    <t>Objeto de contratacion CDP</t>
  </si>
  <si>
    <t>meta objeto</t>
  </si>
  <si>
    <t>meta objeto2</t>
  </si>
  <si>
    <t>ENERO</t>
  </si>
  <si>
    <t>FEBRERO</t>
  </si>
  <si>
    <t>MARZO</t>
  </si>
  <si>
    <t>ABRIL</t>
  </si>
  <si>
    <t>MAYO</t>
  </si>
  <si>
    <t>JUNIO</t>
  </si>
  <si>
    <t>JULIO</t>
  </si>
  <si>
    <t>AGOSTO</t>
  </si>
  <si>
    <t>SEPTIEMBRE</t>
  </si>
  <si>
    <t>OCTUBRE</t>
  </si>
  <si>
    <t>NOVIEMBRE</t>
  </si>
  <si>
    <t>DICIEMBRE</t>
  </si>
  <si>
    <t>O232020200991191 Servicios administrativos relacionados con los trabajadores estatales</t>
  </si>
  <si>
    <t>O232020200883449 Otros servicios de ensayos y análisis técnicos</t>
  </si>
  <si>
    <t>O23202020088714102 Servicio de mantenimiento y reparación de vehículos automóviles</t>
  </si>
  <si>
    <t xml:space="preserve">Infraestructura física misional construida mantenida y dotada </t>
  </si>
  <si>
    <t>Infraestructura Tecnológica misional (Sistemas de Información y Tecnología)</t>
  </si>
  <si>
    <t>Servicio de monitoreo y seguimiento para la gestión del riesgo</t>
  </si>
  <si>
    <t>14-Infraestructura física misional construida mantenida y dotada  014_Estaciones de bomberos adecuadas</t>
  </si>
  <si>
    <t>PM/0131/0114/45030140255</t>
  </si>
  <si>
    <t>15-Infraestructura Tecnológica misional (Sistemas de Información y Tecnología) 004_Servicio de atención a emergencias y desastres</t>
  </si>
  <si>
    <t>PM/0131/0115/45030040255</t>
  </si>
  <si>
    <t>PM/0131/0116/45030180255</t>
  </si>
  <si>
    <t>¿Se requieren vigencias futuras?</t>
  </si>
  <si>
    <t>SI</t>
  </si>
  <si>
    <t>NO</t>
  </si>
  <si>
    <t>¿vigencia futuras?</t>
  </si>
  <si>
    <t>Valor apropiacion vigencia actual</t>
  </si>
  <si>
    <t>Paula Ximena Henao Escobar</t>
  </si>
  <si>
    <t>BS</t>
  </si>
  <si>
    <t>Prestar los servicios profesionales jurídicos especializados para orientar y apoyar los procesos de contratación en sus diferentes etapas adelantados por la Oficina Jurídica, tendientes a garantizar las necesidades propias de la UAECOB</t>
  </si>
  <si>
    <t>Prestar los servicios profesionales jurídicos especializados en la Oficina Jurídica que garantice la verificación de la legalidad, en apoyo a cada una de las actuaciones a cargo de esta Oficina.</t>
  </si>
  <si>
    <t>Prestar servicios profesionales para apoyar en la estructuración de las acciones de mejora, seguimiento  a la gestión contractual de la Entidad y demás procedimientos, en el marco de las funciones de la Oficina Jurídica</t>
  </si>
  <si>
    <t>Prestar servicios profesionales para apoyar en la estructuración de las acciones de mejora, elaboración de informes y soporte de las funciones administrativas y de mejora</t>
  </si>
  <si>
    <t>Prestar los servicios profesionales jurídicos especializados para apoyar el desarrollo de las funciones de la Oficina Jurídica</t>
  </si>
  <si>
    <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</si>
  <si>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Prestar servicios profesionales jurídicos para orientar y apoyar los procesos de contratación gestionados por la Oficina Jurídica, en el marco de las actividades propias de la gestión contractual, con el objetivo de garantizar el cumplimiento de las necesidades de la UAECOB.</t>
  </si>
  <si>
    <t>Prestar los servicios profesionales para apoyar las actividades propias de la gestión contractual a cargo de la Oficina Jurídica, en función de las necesidades identificadas por la entidad y con el propósito de garantizar el cumplimiento de su misionalidad.</t>
  </si>
  <si>
    <t>Prestar los servicios profesionales para realizar el acompañamiento administrativo y financiero en temas de liquidación y cierre de expedientes, como demás actuaciones administrativas requeridas de los procesos contractuales</t>
  </si>
  <si>
    <t>Prestar los servicios profesionales especializados para la representación judicial  de la Entidad y la prevención del daño antijurídico.</t>
  </si>
  <si>
    <t>Prestar los servicios de apoyo para las gestiones administrativas requeridas en la Oficina Jurídica.</t>
  </si>
  <si>
    <t>Prestar los servicios de apoyo para las gestiones documentales y administrativas requerida por la Oficina  Jurídica.</t>
  </si>
  <si>
    <t>Prestar los servicios profesionales para apoyar la gestión de la información y presupuestal y elaborar los informes reglamentarios que la Oficina Jurídica debe presentar a los entes de control, respuestas a la ciudadanía y otros informes que den cuanta de su gestión.</t>
  </si>
  <si>
    <t>Prestar servicios profesionales para realizar la gestión de tramites y actividades que se requieran en los diferentes procesos disciplinarios propios de la etapa de juzgamiento de la Oficina Jurídica en la UAECOB</t>
  </si>
  <si>
    <t>Prestar los servicios profesionales para apoyar la depuración de la cartera de cobro coactivo, así como actividades propias de la defensa judicial de la Entidad y demas actiuaciones relacionadas que requiera la Oficina Jurídica</t>
  </si>
  <si>
    <t>Prestación de servicios profesionales jurídicos para orientar y apoyar el trámite y la gestión de los procesos disciplinarios que se adelanten en la Oficina Jurídica de la Unidad Administrativa Especial Cuerpo Oficial de Bomberos Bogotá</t>
  </si>
  <si>
    <t>Prestar los servicios profesionales jurídicos para apoyar las actuaciones procesales y procedimentales de la Oficina Jurídica</t>
  </si>
  <si>
    <t>Mónica María Pérez Barragán</t>
  </si>
  <si>
    <t>Yenire Yohansy Lozano Ascanio</t>
  </si>
  <si>
    <t>Fatima Veronica Quintero Nuñez</t>
  </si>
  <si>
    <t>Prestar servicios profesionales jurídicos para apoyar la instrucción y demás actuaciones que deban surtirse en los procesos disciplinarios adelantados por la Oficina de Control Disciplinario Interno.</t>
  </si>
  <si>
    <t xml:space="preserve">Prestar servicios profesionales para ejercer las labores de secretaría común y actividades jurídicas que requieren las actuaciones disciplinarias en etapa de instrucción adelantadas por la Oficina de Control Disciplinario Interno.	</t>
  </si>
  <si>
    <t>Prestar los servicios profesionales como abogado en la Oficina de Control Interno para el desarrollo del Plan Anual de Auditorías.</t>
  </si>
  <si>
    <t>Prestar los servicios profesionales como contador público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</si>
  <si>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</si>
  <si>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</si>
  <si>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Contratar la prestación del servicio de monitoreo, control y seguimiento satelital a los vehículos de propiedad de la U.A.E. Cuerpo Oficial de Bomberos de Bogotá - TIC</t>
  </si>
  <si>
    <t>Adquisición, actualización y configuración de la plataforma de comunicaciones de Voz IP compatible con la solución actual con la que cuenta la entidad.</t>
  </si>
  <si>
    <t>Adquisición de un certificado digital servidor seguro SSL para múltiples subdominios y aplicaciones para los sistemas misionales de la UAE cuerpo oficial de bomberos de Bogotá</t>
  </si>
  <si>
    <t>Contratar el alquiler de equipos tecnológicos, periféricos y servicios complementarios para la U.A.E. Cuerpo Oficial de Bomberos de Bogotá. - TIC</t>
  </si>
  <si>
    <t>Contratar el servicio de actualización y soporte de licenciamiento ArcGIS para la U.A.E. Cuerpo Oficial de Bomberos de Bogotá.- TIC</t>
  </si>
  <si>
    <t xml:space="preserve">Contratar la adquisición de tarjetas de comunicación satelital de voz, para la U.A.E. Cuerpo Oficial de Bomberos de Bogotá. </t>
  </si>
  <si>
    <t>Contratar la renovación de garantía y soporte de fabrica de los equipos activos que hacen parte de la infraestructura tecnológica de la U.A.E. Cuerpo Oficial de Bomberos de Bogotá.</t>
  </si>
  <si>
    <t>Contratar el servicio de mantenimiento, soporte técnico y actualización del aplicativo PCT, utilizado por la UAE Cuerpo Oficial de Bomberos de Bogota - TIC</t>
  </si>
  <si>
    <t>Contratar la renovación , servicio de actualización y soporte de licenciamiento Oracle para Base de Datos,  y Web Logic para la U.A.E. Cuerpo Oficial de Bomberos de Bogotá - TIC</t>
  </si>
  <si>
    <t>Modernización y mantenimiento de la solución de control de acceso con reconocimiento facial para la U.A.E. Cuerpo Oficial Bomberos de Bogotá</t>
  </si>
  <si>
    <t>Contratar el servicios de mantenimiento para el sistema de atención de turnos de la U.A.E. Cuerpo Ofical de Bomberos de Bogotá - TIC</t>
  </si>
  <si>
    <t xml:space="preserve">Modernizacion y soporte sala de auditorio sede Principal </t>
  </si>
  <si>
    <t xml:space="preserve">83121700; 83111600; 43221700; 25173100;  81112000; 32101600 </t>
  </si>
  <si>
    <t>43191500
43221500
43222800
81161700
72151600</t>
  </si>
  <si>
    <t>72151607;72103302</t>
  </si>
  <si>
    <t>72151500; 72101500; 731521000; 39121600; 39121000; 72151500; 72101500; 73152100.</t>
  </si>
  <si>
    <t>83121700;83111600;43221700</t>
  </si>
  <si>
    <t>81112200;81112201</t>
  </si>
  <si>
    <t>81112204;81112501</t>
  </si>
  <si>
    <t xml:space="preserve">46171619, 81111805 ,81112208 </t>
  </si>
  <si>
    <t>32131023;39121011;43232300</t>
  </si>
  <si>
    <t>43222600
45111700
45111800
52161500</t>
  </si>
  <si>
    <t>Jose Andres Ponce Caicedo</t>
  </si>
  <si>
    <t>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t>
  </si>
  <si>
    <t>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t>
  </si>
  <si>
    <t>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t>
  </si>
  <si>
    <t>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t>
  </si>
  <si>
    <t>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t>
  </si>
  <si>
    <t>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t>
  </si>
  <si>
    <t>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t>
  </si>
  <si>
    <t>SGH - Prestar servicios profesionales en la Subdirección de Gestión Humana de la UAE Cuerpo Oficial de Bomberos de Bogotá, para apoyar las actividades relacionadas con la administración de personal, en el marco de la normatividad y lineamientos institucionales vigentes.</t>
  </si>
  <si>
    <t>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t>
  </si>
  <si>
    <t>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t>
  </si>
  <si>
    <t>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t>
  </si>
  <si>
    <t>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t>
  </si>
  <si>
    <t>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t>
  </si>
  <si>
    <t>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t>
  </si>
  <si>
    <t>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t>
  </si>
  <si>
    <t>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t>
  </si>
  <si>
    <t>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t>
  </si>
  <si>
    <t>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t>
  </si>
  <si>
    <t>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t>
  </si>
  <si>
    <t>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t>
  </si>
  <si>
    <t>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t>
  </si>
  <si>
    <t>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t>
  </si>
  <si>
    <t>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t>
  </si>
  <si>
    <t>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t>
  </si>
  <si>
    <t>SGH - Arrendamiento de un bien inmueble que garantice contar con las instalaciones adecuadas para la realización de capacitaciones del personal operativo, en cumplimiento de los objetivos de los programas de capacitación, formación y entrenamiento de la academia de la UAE Cuerpo Oficial de Bomberos de Bogotá</t>
  </si>
  <si>
    <t>SGH - Garantizar los recursos para movilización efectiva del personal operativo en la atención de emergencias</t>
  </si>
  <si>
    <t xml:space="preserve">SGH - Garantizar los recursos para viáticos y adquisición de tiquetes, con el fin de permitir el desplazamiento del personal en desarrollo de actividades misionales, operativas o de capacitación  </t>
  </si>
  <si>
    <t>SGH - Prestar los servicios de capacitación, formación y entrenamiento al personal en  diferentes cursos especializados y misionales,  incluyendo el fortalecimiento de competencias de investigación cientifica aplicada a los ámbitos operativos, técnicos y estratégicos  de la UAE del Cuerpo Oficial de Bomberos Bogotá</t>
  </si>
  <si>
    <t>SGH- Adquisición de material bibliográfico de consulta para estudio y capacitación, que servirá como base de la biblioteca para la academia de la UAE Cuerpo Oficial de Bomberos de Bogotá</t>
  </si>
  <si>
    <t>72121100, 24101600, 30131500, 31371300, 30101500, 30101700, 30103600, 95121633, 30103619, 73121600, 73121500, 30101704, 30101504</t>
  </si>
  <si>
    <t>46161707,46191605, 46191609, 27111604, 46191603, 30191501, 46161715,  46201001; 42172201; 42171610; 42171612; 46181504; 46181537; 46201002; 42301502, 27111801, 27112124, 27112807, 27113101, 46161701, 46161714, 46161715, 46182304, 46182306 </t>
  </si>
  <si>
    <t>80131502, 80131505</t>
  </si>
  <si>
    <t>86101600, 86101700, 86101800, 86111600, 86141500,  86121800, 80111500,86131800, 86101711</t>
  </si>
  <si>
    <t>Manuel Eduardo Castillo Guzman</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</si>
  <si>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</si>
  <si>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ADICIÓN Y PRÓRROGA al contrato de prestación de servicios # 540-2025, cuyo objeto es: "Prestación de servicios de apoyo a la gestión para ejecutar actividades administrativas y asistenciales, así como el diligenciamiento y seguimiento de las solicitudes en las herramientas de gestión de los procedimientos a cargo de la subdirección operativa -s.o".</t>
  </si>
  <si>
    <t>ADICIÓN Y PRÓRROGA al contrato de prestación de servicios # 118-2025, cuyo objeto es: "prestación de servicios profesionales para generar información de valor e instrumentos de seguimiento y control a partir de los datos asociados a la ejecución de los procesos, planes y proyectos adelantados en la dependencia. s.o."</t>
  </si>
  <si>
    <t>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t>
  </si>
  <si>
    <t>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t>
  </si>
  <si>
    <t>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t>
  </si>
  <si>
    <t>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t>
  </si>
  <si>
    <t>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t>
  </si>
  <si>
    <t>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t>
  </si>
  <si>
    <t>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t>
  </si>
  <si>
    <t>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t>
  </si>
  <si>
    <t>ADICIÓN Y PRÓRROGA al contrato de prestación de servicios # 313-2025, cuyo objeto es: Prestación de servicios profesionales para apoyar los procesos contractuales de la Subdirección Operativa en todas sus etapas y apoyo técnico en los proyectos y procesos de la dependencia S.O.</t>
  </si>
  <si>
    <t>Pago pasivo exigible Subdirección Operativa</t>
  </si>
  <si>
    <t>Adquisición de equipos, herramientas y accesorios (E.H.A.)  para la atención de emergencias de la UAE Cuerpo Oficial de Bomberos de Bogota, S.O.</t>
  </si>
  <si>
    <t>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t>
  </si>
  <si>
    <t>Omer Mauricio Rivera Ruiz</t>
  </si>
  <si>
    <t>William Tovar Segura</t>
  </si>
  <si>
    <t>Mantenimiento correctivo y preventivo de los equipos menores con suministro, repuestos, accesorios e insumos de propiedad de la UAECOB. – SBLG </t>
  </si>
  <si>
    <t>31261500; 31161500; 31161600; 31162300; 31162800; 31171500; 31171700; 39121600; 27121600;72101509; 26101700: 26101900; 15121500; 72101517; 72151511; 72154105 72154302; 73152108; 73152112</t>
  </si>
  <si>
    <t>Suministro de llantas y  prestación del servicio de instalación, alineación, balanceo y conexos a los vehículos del parque automotor de la U.A.E. Cuerpo Oficial de Bomberos de Bogotá - SBLG</t>
  </si>
  <si>
    <t>Prestar el servicio de mantenimiento preventivo y correctivo, incluyendo el suministro de repuestos, insumos y mano de obra especializada para las motobombas forestales FOX, propiedad de la Unidad Administrativa Especial Cuerpo Oficial de Bomberos de Bogotá D.C. (UAECOB). - SBLG</t>
  </si>
  <si>
    <t>46161600;72101509;73152108;46191600</t>
  </si>
  <si>
    <t>Proveer el suministro de elementos de bioseguridad e insumos médicos básicos y otros para la atención de emergencias. - SBLG</t>
  </si>
  <si>
    <t>42141501;42141502;42141503;42142101;42142103;42142105;42142108;42172010;42172013;42172016;42172201;42281502;42291902</t>
  </si>
  <si>
    <t>Suministro de alimentación e hidratación para el cuerpo operativo en la atención de emergencias, entrenamientos, capacitaciones y actividades de prevención.-SBLG </t>
  </si>
  <si>
    <t>90101800;90101600;50192700;50112000;50202311;50201709;50161509;50192110;93131602; 50161500; 50192100; 50181900; 50101700.</t>
  </si>
  <si>
    <t>Contratar el suministro de alimentación para los caninos del cuerpo oficial y animales rescatados por la U.A.E. del Cuerpo Oficial de Bomberos de Bogotá –  SBLG</t>
  </si>
  <si>
    <t>10121801; 10121802; 10121804</t>
  </si>
  <si>
    <t>Suministrar los repuestos, accesorios e insumos de los equipos de rescate vehicular liviano y pesado marca LUKAS-  SBLG</t>
  </si>
  <si>
    <t>23191200; 23153100; 23271800; 26121600; 27131600; 26101700; 31162800; 31163000; 31163100; 31171500; 31171700; 31191500; 31201600; 40141700; 31121700; 26111700</t>
  </si>
  <si>
    <t>Prestar el servicio de mantenimiento preventivo y correctivo, incluido el suministro de repuestos e insumos y mano de obra especializada para los equipos detectores de atmosfera y respiración autónoma marca Dräger, propiedad de la U.A.E. Cuerpo Oficial de Bomberos de Bogotá - SBLG</t>
  </si>
  <si>
    <t>46182005; 46171613; 72101509.</t>
  </si>
  <si>
    <t>Prestación de servicios médicos veterinarios, con suministro de medicamentos e insumos veterinarios y otros, para los caninos de la U.A.E. Cuerpo Oficial de Bomberos de Bogotá -  SBLG</t>
  </si>
  <si>
    <t>70122002; 70122005; 70122006; 70122007; 70122008; 70122009; 70122010; 10110000; 42120000;70122001.</t>
  </si>
  <si>
    <t>Prestar el servicio de mantenimiento preventivo y correctivo de los Equipos de Rescate Vehicular HOLMATRO propiedad de la UAECOB, incluido el suministro de repuestos, insumos y mano de obra especializada -  SBLG</t>
  </si>
  <si>
    <t>72101509;46191600</t>
  </si>
  <si>
    <t>Prestar el servicio de mantenimiento preventivo y correctivo de los compresores BAUER propiedad de la U.A.E. Cuerpo Oficial de Bomberos de Bogotá, incluido el suministro de repuestos, insumos y mano de obra especializada.  - SBLG</t>
  </si>
  <si>
    <t xml:space="preserve">72101511, 40151604, 40151691, 81101800 </t>
  </si>
  <si>
    <t>46191506;46191601</t>
  </si>
  <si>
    <t>Prestación de servicios profesionales para la gestión, seguimiento y control administrativo, técnico y operativo del proceso de mantenimiento del parque automotor a cargo de la Subdirección Logística - SBLG.</t>
  </si>
  <si>
    <t>Prestar servicio de apoyo a la gestión para asistir a la Subdirección Logística en el seguimiento técnico y administrativo de los mantenimientos requeridos en la Subdirección Logística - SBLG</t>
  </si>
  <si>
    <t>Prestación de servicios profesionales para realizar el seguimiento y monitoreo a los diferentes procesos y procedimientos del equipo menor a cargo de la Subdirección Logística - SBLG</t>
  </si>
  <si>
    <t>78121600;78131800;92111600;
72141500</t>
  </si>
  <si>
    <t>Adquisición de suministros y elementos de identificación institucional para el fortalecimiento de los procesos misionales de la Subdirección de Gestión del Riesgo_SGR</t>
  </si>
  <si>
    <t>60121200;60121000;60121500;
60121600</t>
  </si>
  <si>
    <t>42301500;46191500;46201000</t>
  </si>
  <si>
    <t>Adquisición de insumos y materias primas para la producción de materiales impresos en artes gráficas_ SGR.</t>
  </si>
  <si>
    <t>53103100;53102500</t>
  </si>
  <si>
    <t>Prestar servicios profesionales para apoyar la planeación y gestión de las  estrategias de reducción y/o conocimiento del riesgo  para la Subdirección de Gestión del Riesgo._SGR</t>
  </si>
  <si>
    <t>Prestar servicios profesionales en  los componentes tecnológicos e informáticos relacionados con los aspectos misionales de la Subdirección de Gestión del Riesgo._SGR</t>
  </si>
  <si>
    <t>Prestar servicios de apoyo para el seguimiento y respuesta de requerimientos ciudadanos relacionados con la misionalidad de la Subdirección de Gestión del Riesgo_SGR</t>
  </si>
  <si>
    <t>Prestar servicios profesionales en la gestión misional mediante el  análisis y seguimiento financiero de la Subdirección de Gestión del Riesgo_SGR</t>
  </si>
  <si>
    <t>Prestar servicios profesionales para la gestión misional  mediante la estructuración y seguimiento de procesos contractuales y asuntos jurídicos de la Subdirección de Gestión del Riesgo_SGR</t>
  </si>
  <si>
    <t xml:space="preserve">Prestar servicios profesionales para la gestión misional en sus componentes técnico, administrativo y financiero de la Subdirección de Gestión del Riesgo_SGR. </t>
  </si>
  <si>
    <t>Prestar servicios profesionales  liderando las actividades del proceso de inspecciones técnicas de la subdireccion de gestion del riesgo.._SGR</t>
  </si>
  <si>
    <t>Prestar  servicios profesionales en las actividades relacionadas con la emision de conceptos a cargo de la Subdirección de Gestión del Riesgo._SGR</t>
  </si>
  <si>
    <t>Prestarservicios profesionales en las actividades relacionadas con la emision de conceptos a cargo de la Subdirección de Gestión del Riesgo._SGR</t>
  </si>
  <si>
    <t>Prestar  servicios de apoyo tecnico para realizar las inspecciones relacionadas con la emision de conceptos a cargo de la Subdirección de Gestión del Riesgo._SGR</t>
  </si>
  <si>
    <t xml:space="preserve">  Prestar  servicios de apoyo tecnico para realizar las inspecciones relacionadas con la emision de conceptos a cargo de la Subdirección de Gestión del Riesgo._SGR</t>
  </si>
  <si>
    <t>Prestar servicios profesionales liderando las actividades de Programas y Campañas de Prevención para la Subdirección de Gestión del Riesgo._SGR</t>
  </si>
  <si>
    <t>Prestar servicios profesionales en las actividades de Programas y Campañas de Prevención para la Subdirección de Gestión del Riesgo._SGR</t>
  </si>
  <si>
    <t>Prestar servicios de apoyo en las actividades de Programas y Campañas de Prevención para la Subdirección de Gestión del Riesgo. _SGR</t>
  </si>
  <si>
    <t>Prestar servicios apoyo técnico para el desarrollo de los contenidos graficos, piezas comunicativa y de imagen institucional para la Subdirección de Gestión del riesgo._SGR</t>
  </si>
  <si>
    <t>Prestar servicios profesionales  liderando los procesos de formacion y capacitacion de la subdirección de gestión del riesgo._SGR</t>
  </si>
  <si>
    <t>Prestar servicios profesionales en los procesos de formacion y capacitacion de la subdirección de gestión del riesgo._SGR</t>
  </si>
  <si>
    <t>Prestar servicios profesionales liderando las actividades de identificacion y caracterizacion  de escenarios  de riesgos a cargo de la Subdirección de Gestión del Riesgo._SGR</t>
  </si>
  <si>
    <t>Prestar servicios profesionales en las actividades de identificacion y caracterizacion  de escenarios  de riesgos a cargo de la Subdirección de Gestión del Riesgo._SGR</t>
  </si>
  <si>
    <t>prestar servicios profesionales liderando las actividades de monitoreo del riesgo de la subdirecion  de gestión del riesgo_SGR</t>
  </si>
  <si>
    <t>Prestar servicios profesionales en las actividades de monitoreo del riesgo para la Subdirección de Gestión del Riesgo._SGR</t>
  </si>
  <si>
    <t>Prestar servicios  de apoyo en las actividades de monitoreo del riesgo para la Subdirección de Gestión del Riesgo._SGR</t>
  </si>
  <si>
    <t>Prestar  servicios profesionales  liderando las actividades de proyeccion e innovacion para la Subdirección de Gestión del Riesgo._SGR</t>
  </si>
  <si>
    <t>Prestar  servicios profesionales  en las actividades de proyeccion e innovacion para la Subdirección de Gestión del Riesgo._SGR</t>
  </si>
  <si>
    <t>O232020200888215 Servicios de confección de artículos con materiales textiles</t>
  </si>
  <si>
    <t>O232020200667230 Servicio de almacenamiento para mercancías voluminosas</t>
  </si>
  <si>
    <t>1-100-F039-VA-Crédito</t>
  </si>
  <si>
    <t>16-Servicio de monitoreo y seguimiento para la gestión del riesgo 018_Servicio de monitoreo y seguimiento para la gestión del riesgo</t>
  </si>
  <si>
    <t>PRESUPUESTO ASIGNADO INVERSION PROY 8126</t>
  </si>
  <si>
    <t>PRESUPUESTO ASIGNADO INVERSION PROY 8173</t>
  </si>
  <si>
    <t>TOTAL PRESUPUESTO PAA INVERSION</t>
  </si>
  <si>
    <t>O232020200772252 Servicios de arrendamiento de bienes inmuebles no residenciales (vivienda) a comisión o por contrato</t>
  </si>
  <si>
    <t>PM/0131/0114/45030150255</t>
  </si>
  <si>
    <t>14-Infraestructura física misional construida mantenida y dotada  015_Estaciones de bomberos construidas</t>
  </si>
  <si>
    <t>O232020200991260 Servicios de policía y protección contra incendios</t>
  </si>
  <si>
    <t>O23202010033899920 Artículos varios de publicidad y propaganda</t>
  </si>
  <si>
    <t>O232020200883115 Servicios de consultoría en gestión administrativa</t>
  </si>
  <si>
    <t>O2320202010 Viáticos de los funcionarios en comisión</t>
  </si>
  <si>
    <t>Suma de Valor apropiacion vigencia actual</t>
  </si>
  <si>
    <t>O2320201003063611101 Llantas de caucho para automóviles</t>
  </si>
  <si>
    <t>O23202020088715602 Servicio de mantenimiento y reparación de equipos de fuerza hidráulica y de potencia neumática, bombas, compresores y válvulas</t>
  </si>
  <si>
    <t>1-601-I037 PAS-Crédito</t>
  </si>
  <si>
    <t>Adquisición de elementos y equipos necesarios para fortalecer las capacidades técnicas y operativas de los equipos especializados de la subdirecion de gestion del riesgo_SGR.</t>
  </si>
  <si>
    <t>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t>
  </si>
  <si>
    <t>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t>
  </si>
  <si>
    <t>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t>
  </si>
  <si>
    <t>Prestar los servicios profesionales para realizar las actividades tendientes a soportar el Sistema Integrado de Administración de Personal - SIAP  a cargo del área de Tecnologías de la Información y las Comunicaciones de la U.A.E. Cuerpo Oficial de Bomberos Bogotá</t>
  </si>
  <si>
    <t>Prestar servicios profesionales apoyando los lineamientos tecnológicos necesarios  para la administración y gestión de los servicios desarrollados por el  área de Tecnologías de la Información y las Comunicaciones de la U.A.E. Cuerpo Oficial de Bomberos Bogotá.</t>
  </si>
  <si>
    <t>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t>
  </si>
  <si>
    <t>Prestar servicios profesionales orientados al fortalecimiento, administración y soporte de los sistemas, plataformas, infraestructura tecnológica y servicios informáticos a cargo de la Dirección de Tics de la U.A.E Cuerpo Oficial de Bomberos de Bogotá D.C</t>
  </si>
  <si>
    <t>Prestar los servicios de apoyo a la gestión para desarrollar actividades de soporte técnico nivel (1 y 2) que requiera el área de Tecnologías de la Información y las Comunicaciones de la U.A.E. Cuerpo Oficial de Bomberos Bogotá</t>
  </si>
  <si>
    <t>Prestar servicios profesionales para apoyar el seguimiento, control y gestión de los servicios  tecnológicos asociados a  la herramienta de mesa de ayuda, directorio activo y herramientas de gestión que le sean asignados por la UAE Cuerpo Oficial de Bomberos de Bogotá - TIC.</t>
  </si>
  <si>
    <t>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t>
  </si>
  <si>
    <t>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t>
  </si>
  <si>
    <t>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t>
  </si>
  <si>
    <t>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t>
  </si>
  <si>
    <t>Prestar servicios de apoyo a la gestión en el desarrollo de actividades asistenciales administrativas, asociadas a los procesos y procedimientos  a cargo del área de Tecnologías de la Información y las Comunicaciones de la U.A.E. Cuerpo Oficial de Bomberos Bogotá.</t>
  </si>
  <si>
    <t>Prestar servicios profesionales para apoyar la implementación, seguimiento y fortalecimiento del Sistema de Gestión de Seguridad de la Información (SGSI) y de la política de Gobierno Digital de la UAE Cuerpo Oficial de Bomberos de Bogotá</t>
  </si>
  <si>
    <t>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t>
  </si>
  <si>
    <t>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t>
  </si>
  <si>
    <t>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t>
  </si>
  <si>
    <t>Prestar los servicios profesionales en apoyo a la estructuración e implementación, de las herramientas misionales, creadas como soporte a los procesos y procedimientos de la U.A.E. Cuerpo Oficial de Bomberos de Bogotá.</t>
  </si>
  <si>
    <t>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t>
  </si>
  <si>
    <t>Prestar los servicios profesionales en la implementación, de las herramientas misionales, creadas como soporte a los procesos y procedimientos de la U.A.E. Cuerpo Oficial de Bomberos de Bogotá.</t>
  </si>
  <si>
    <t>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t>
  </si>
  <si>
    <t>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t>
  </si>
  <si>
    <t>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t>
  </si>
  <si>
    <t>Prestar servicios profesionales, en el levantamiento de requerimientos, análisis y mejora de soluciones digitales a cargo de la Dirección de Tecnologías de la Información y las Comunicaciones de la U.A.E Cuerpo Oficial de Bomberos de Bogotá D.C.</t>
  </si>
  <si>
    <t>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t>
  </si>
  <si>
    <t>Contratar  la suscripción de licencias Suite Adobe para la UAE Cuerpo Oficial de Bomberos de Bogotá-TIC</t>
  </si>
  <si>
    <t>Contratar los servicios de canales de datos dedicados para la UAE Cuerpo Oficial de Bomberos de Bogotá-TIC</t>
  </si>
  <si>
    <t>Contratar la adquisición de firma digital (token) para la U.A.E. Cuerpo Oficial de Bomberos de Bogotá - TIC</t>
  </si>
  <si>
    <t>81112501;43232102;43232103;43231512</t>
  </si>
  <si>
    <t>81111811;72151600; 43223300;
39131700</t>
  </si>
  <si>
    <t>43233200; 72151700;  43233200; 81112200; 72151700; 45121600</t>
  </si>
  <si>
    <t>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t>
  </si>
  <si>
    <t>Prestar servicios profesionales jurídicos especializados en la Oficina de Control Disciplinario Interno para orientar, revisar y apoyar los documentos que se elaboren en el desarrollo del proceso disciplinario en etapa de instrucción.</t>
  </si>
  <si>
    <t>Prestar servicios profesionales jurídicos en la Oficina de Control Disciplinario Interno de la entidad para apoyar la gestión, logística y operación de los procesos contractuales y administrativos a cargo de esta dependencia.</t>
  </si>
  <si>
    <t>Prestación de servicios de apoyo técnico a la Oficina de Control Disciplinario Interno de la UAECOB para la gestión y cumplimiento de las funciones administrativas asignadas.</t>
  </si>
  <si>
    <t>Prestación de servicios de apoyo administrativo y de gestión documental a la Oficina de Control Disciplinario Interno de la UAECOB, en el manejo y organización de la documentación propia de los expedientes disciplinarios y las actividades de archivo que se requieran.</t>
  </si>
  <si>
    <t>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t>
  </si>
  <si>
    <t>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t>
  </si>
  <si>
    <t>Prestar el servicio de apoyo técnico y operativo a la gestión de los procesos disciplinarios en la etapa de juzgamiento, mediante la ejecución de tareas administrativas, logísticas y de soporte documental en la Oficina Jurídica</t>
  </si>
  <si>
    <t>Prestar servicios profesionales jurídicos para apoyar las actividades de defensa Judicial y de procesos penales que adelante la UAE Cuerpo Oficial de Bomberos de Bogotá</t>
  </si>
  <si>
    <t>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t>
  </si>
  <si>
    <t>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t>
  </si>
  <si>
    <t>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t>
  </si>
  <si>
    <t>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t>
  </si>
  <si>
    <t>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t>
  </si>
  <si>
    <t>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t>
  </si>
  <si>
    <t>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t>
  </si>
  <si>
    <t>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t>
  </si>
  <si>
    <t>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t>
  </si>
  <si>
    <t>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t>
  </si>
  <si>
    <t>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t>
  </si>
  <si>
    <t>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t>
  </si>
  <si>
    <t>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t>
  </si>
  <si>
    <t>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t>
  </si>
  <si>
    <t>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t>
  </si>
  <si>
    <t>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t>
  </si>
  <si>
    <t>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t>
  </si>
  <si>
    <t>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t>
  </si>
  <si>
    <t>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t>
  </si>
  <si>
    <t>SGH - Prestar servicios de apoyo a la Academia de la UAE Cuerpo Oficial de Bomberos de Bogotá D.C., para el desarrollo logístico y administrativo, contribuyendo al fortalecimiento de la formación, capacitación y gestión institucional.</t>
  </si>
  <si>
    <t>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t>
  </si>
  <si>
    <t>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t>
  </si>
  <si>
    <t>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t>
  </si>
  <si>
    <t>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t>
  </si>
  <si>
    <t>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t>
  </si>
  <si>
    <t>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t>
  </si>
  <si>
    <t xml:space="preserve">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t>
  </si>
  <si>
    <t>SGH - Adecuación de escenarios necesarios para el desarrollo de procesos de formación, capacitación y entrenamiento del personal operativo de la UAE Cuerpo Oficial de Bomberos de Bogotá.</t>
  </si>
  <si>
    <t>SGH - Adquisición de Equipos y Herramientas para los procesos de Capacitación a cargo de la Academia de la UAE Cuerpo Oficial de Bomberos de Bogotá</t>
  </si>
  <si>
    <t>SGH -Contratar la realización de los exámenes Médicos Ocupacionales para el personal de la UAE Cuerpo Oficial de Bomberos de Bogotá</t>
  </si>
  <si>
    <t>85121503;85121603;85121604;85121608;85121610;85121611;85121612;85121702;85122201</t>
  </si>
  <si>
    <t>SGH - Contratar la Prestación de Servicios para desarrollar el Plan de Bienestar de la UAE Cuerpo Oficial de Bomberos para la Vigencia 2026</t>
  </si>
  <si>
    <t>90101600;90111600;90141700;90151700</t>
  </si>
  <si>
    <t>SGH - Adquirir elementos de protección personal para prevenir la aparición de enfermedades ocupacionales en el oido, del personal operativo de la UAE Cuerpo Oficial de Bomberos de Bogotá</t>
  </si>
  <si>
    <t>46181900;46181901</t>
  </si>
  <si>
    <t>Prestar los servicios profesionales para la gestión, financiera de los proyectos y procesos para el fortalecimiento de las estrategías de la Subdirección Logística - SBLG.</t>
  </si>
  <si>
    <t>Prestar servicios de apoyo técnico en asuntos administrativos, financieros, documentales y emisión de informes para el desarrollo de las estrategías de la Subdireccion Logística-SBLG</t>
  </si>
  <si>
    <t>Prestar servicios profesionales en las actividades administrativas y financieras que requieran los procesos para el desarrollo de las estrategías de la Subdirección Logística- SBLG</t>
  </si>
  <si>
    <t>Prestar servicios profesionales para la gestión del Plan Estratégico de Seguridad Vial (PESV), participación en el comité correspondiente y el desarrollo de programas y actividades asignadas para el desarrollo de las estrategías de la Subdirección Logística SBLG.</t>
  </si>
  <si>
    <t>Prestar servicios de apoyo a la gestión en las actividades de soporte operacional para el desarrollo de las estrategías de la Subdirección Logística. SBLG</t>
  </si>
  <si>
    <t>Prestación de servicios profesionales para la gestión, seguimiento y control administrativo, técnico y operativo del equipo menor a cargo de la Subdirección Logística. SBLG.</t>
  </si>
  <si>
    <t>Prestar el servicio de  mantenimiento y recarga de extintores, cilindros y tanques de las maquinas extintoras de la UAECOB.  - SBLG</t>
  </si>
  <si>
    <t>Contratar el servicio de revision técnico mecánica y de emision de gases contaminantes para los vehiculos que forman parte del parque automotor de la Unidad Administrativa Especial Cuerpo Oficial de Bomberos de Bogotá - UAECOB-SBLG</t>
  </si>
  <si>
    <t>Prestación de servicios profesionales para el fortalecimiento de los procesos de comunicaciones y  en articulación con otras dependencias de la entidad y de los procesos y programas a cargo de la Subdirección  Operativa-S.O.</t>
  </si>
  <si>
    <t>Prestación de servicios profesionales para realizar seguimiento y verificación  de las actividades relacionadas con la Subdirección Logística en los procesos, procedimientos y programas a cargo de la Subdirección Operativa-S.O.</t>
  </si>
  <si>
    <t>Prestación de servicios profesionales para apoyar en el análisis de información, reportes, documentos técnicos y demás productos relacionados con la atención de emergencias de la entidad y  de los  programas a cargo de la Subdirección  Operativa-S.O.</t>
  </si>
  <si>
    <t>Prestación de servicios profesionales para ejecutar los aspectos jurídicos en las diferentes modalidades de contratación que requiera la Subdirección operativa para el cumplimiento de su misionalidad y de los programas a cargo-S.O.</t>
  </si>
  <si>
    <t>Adquisición de uniformes para el personal operativo de la UAECOB</t>
  </si>
  <si>
    <t>Prestar el servicio de vigilancia y seguridad privada en la modalidad de vigilancia fija, según especificaciones técnicas, en las instalaciones donde la UAE Especial Cuerpo Oficial de Bomberos requiera-SGC</t>
  </si>
  <si>
    <t>Construcción de la estación de bomberos Caobos Salazar  B13 - de la UAE Cuerpo Oficial de Bomberos de Bogotá – SGC</t>
  </si>
  <si>
    <t>Interventoría técnica, administrativa, financiera, contable, jurídica y ambiental para la elaboración de estudios y diseños técnicos para la construcción de la estación de bomberos Caobos Salazar  B13- de la UAE Cuerpo Oficial de Bomberos de Bogotá – SGC</t>
  </si>
  <si>
    <t>Prestación de servicios profesionales para apoyar a la supervisión con las actividades técnicas del Área de Infraestructura de la Subdirección de Gestión Corporativa-SGC</t>
  </si>
  <si>
    <t>Prestación de servicios profesionales para apoyar las actividades de estructuración de procesos contractuales del Área de Infraestructura de la Subdirección de Gestión Corporativa-SGC</t>
  </si>
  <si>
    <t>Prestar los servicios profesionales en las actividades asociadas del área de infraestructura que contribuyan para la implementación de procesos y procedimientos para la adecuada prestación del servicio-SGC.</t>
  </si>
  <si>
    <t>Prestar los servicios profesionales para el acompañamiento y el seguimiento de los comodatos y demás actividades relacionadas con los procesos y procedimientos de inventarios de la Subdireccion de Gestión Corporativa-SGC</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</si>
  <si>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</si>
  <si>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</si>
  <si>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adelantando las actividades necesarias para la ejecución del programa y los procesos de seguros de la Entidad-SGC</t>
  </si>
  <si>
    <t>Prestación de servicios de apoyo en la gestión de seguros de la Subdirección de Gestión Corporativa. –SGC</t>
  </si>
  <si>
    <t>Prestación de servicios profesionales para apoyar a la Subdirección de Gestión Corporativa aplicando los procesos y procedimientos de seguros e inventarios -SGC</t>
  </si>
  <si>
    <t>Prestación de servicios de apoyo a la gestión de seguros de la Subdirección de Gestión Corporativa. –SGC</t>
  </si>
  <si>
    <t>Prestación de servicios profesionales en la Subdirección de Gestión Corporativa en las actividades relacionadas con MIPG-SGC</t>
  </si>
  <si>
    <t>Prestar servicios profesionales para realizar acompañamiento juridico en la elaboración de los procesos contractuales adelantados por la Subdirección Gestión Corporativa -SGC</t>
  </si>
  <si>
    <t>Prestación de servicios de apoyo a la gestión del proceso de inventarios de la Subdirección de Gestión Corporativa.-SGC</t>
  </si>
  <si>
    <t>Prestar servicios profesionales en la Subdirección de Gestión Corporativa en lo relacionado con los procesos de inventarios, almacén y bajas-SGC</t>
  </si>
  <si>
    <t>Prestar servicios profesionales para desarrollar e implementar sistemas de información, brindar soporte, mantenimiento y generar interoperabilidad con la Subdirección de Gestión Corporativa -SGC</t>
  </si>
  <si>
    <t>Prestación de servicios profesionales para la ejecución de los procesos contables que se desarrollan en el Área Financiera de la UAE Cuerpo Oficial de Bomberos asignados. -SGC</t>
  </si>
  <si>
    <t>Prestación de servicios de apoyo a la gestión documental de la Subdirección de Gestión Corporativa de la Unidad.-SGC.</t>
  </si>
  <si>
    <t>Prestación de servicios de apoyo a la gestión documental de la Subdirección de Gestión Corporativa de la Unidad.-SGC</t>
  </si>
  <si>
    <t>Prestación de servicios profesionales para la implementación, consolidación, seguimiento y reporte de los lineamientos ambientales establecidos en el Plan Institucional de Gestión Ambiental (PIGA) en cada una de las sedes de la UAE Cuerpo Oficial de Bomberos Bogotá-SGC.</t>
  </si>
  <si>
    <t>Prestar los servicios profesionales para la gestión administrativa y operativa de la Subdirección de Gestión Corporativa en el proceso de adquisición de bienes y servicios - SGC</t>
  </si>
  <si>
    <t>Prestar los servicios como conductor de la Subdirección de Gestión Corporativa -SGC</t>
  </si>
  <si>
    <t>Prestar servicios profesionales en la Subdirección de Gestión Corporativa en el marco de las actividades administrativas de la Dependencia.-SGC</t>
  </si>
  <si>
    <t>Prestación de servicios profesionales para adelantar actividades técnicas y trámites administrativos del Área de Infraestructura de la Subdirección de Gestión Corporativa-SGC</t>
  </si>
  <si>
    <t>Prestación de servicios profesionales especializados para articular y revisar los procesos y procedimientos del área de infraestructura, así como en el apoyo a la supervisión de los contratos que le sean asignados-SGC</t>
  </si>
  <si>
    <t>Prestación de Servicios Profesionales para la formulación, seguimiento y ejecución de procesos presupuestales y financieros a cargo del área de infraestructura de la Subdirección de Gestión Corporativa -SGC</t>
  </si>
  <si>
    <t>Prestación de servicios profesionales para atender las necesidades de mantenimiento de las instalaciones y las actividades técnicas y administrativas de competencia del Área de Infraestructura de la Subdirección de Gestión Corporativa-SGC</t>
  </si>
  <si>
    <t>Prestación de Servicios Profesionales en temas financieros, administrativas y misionales para apoyar los proyectos de infraestructura de la Subdirección de Gestión Corporativa.- SGC</t>
  </si>
  <si>
    <t>Prestar servicios profesionales especializados para acompañar jurídicamente los procesos y procedimientos del área de infraestructura de la Subdirección de Gestión Corporativa. SGC</t>
  </si>
  <si>
    <t>Prestación de servicios profesionales para apoyar las actividades técnicas del Área de Infraestructura de la Subdirección de Gestión Corporativa-SGC</t>
  </si>
  <si>
    <t>Prestar servicios profesionales con el fin de atender los trámites ambientales y los demás que requiera el área de Infraestructura de la Subdirección de Gestión Corporativa. SGC</t>
  </si>
  <si>
    <t>Prestar los servicios como conductor del  Area de Infraestructura a fin de atender las actividades propias asociadas al mantenimiento de las sedes de UAECOB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</si>
  <si>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</si>
  <si>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Prestación de servicios profesionales al área Financiera de la Subdirección de Gestión Corporativa--SGC</t>
  </si>
  <si>
    <t>Prestación de servicios de apoyo a la gestión del área Financiera de la Subdirección de Gestión Corporativa.-SGC</t>
  </si>
  <si>
    <t>Prestación de servicios profesionales para el seguimiento, ejecución de los procesos de gestión de pagos que se desarrollan en el área Financiera de la UAE Cuerpo Oficial de Bomberos asignados. -SGC</t>
  </si>
  <si>
    <t>Prestación de servicios profesionales especializados para apoyar las actividades de seguimiento técnico del Área de Infraestructura de la Subdirección de Gestión Corporativa-SGC</t>
  </si>
  <si>
    <t>Prestación de servicios profesionales en la proyección y el seguimiento financiero a los proyectos del área de infraestructura de la Subdirección de Gestión Corporativa -SGC</t>
  </si>
  <si>
    <t>Prestación de servicios profesionales con el fin de gestionar trámites de carácter técnico, administrativo y operativamente en el desarrollo de los proyectos de inversión  de la entidad-SGC</t>
  </si>
  <si>
    <t>Prestación de servicios profesionales especializados para articular y revisar los procesos y procedimientos de la gestión administrativa a cargo de la Subdirección de Gestión Corporativa.- SGC</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</si>
  <si>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</si>
  <si>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</si>
  <si>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t>
  </si>
  <si>
    <t>Prestación de servicios profesionales especializados para apoyar las actividades técnicas y gestión predial del Área de Infraestructura de la Subdirección de Gestión Corporativa-SGC</t>
  </si>
  <si>
    <t>Prestación de servicios de apoyo en las actividades asociadas a los procesos de almacén de la Subdirección de Gestión Corporativa SGC</t>
  </si>
  <si>
    <t>Prestación de servicios profesionales para atender las actividades financieras, a cargo de la Subdirección de Gestión Corporativa-SGC</t>
  </si>
  <si>
    <t>Prestación de servicios de apoyo a la gestión de los procesos contractuales en la plataforma SECOP II a cargo de la Subdirección de Gestión Corporativa-SGC</t>
  </si>
  <si>
    <t>Prestación de servicios profesionales en el marco de las actividades administrativas de la Subdirección de Gestión Corporativa--SGC</t>
  </si>
  <si>
    <t>Prestar los servicios profesionales de la gestión administrativa, así como la adquisición de bienes y servicios de la Subdirección de Gestión Corporativa  SGC</t>
  </si>
  <si>
    <t>Prestar servicios profesionales para realizar acompañamiento en los procesos contractuales adelantados por la Subdirección Gestión Corporativa -SGC</t>
  </si>
  <si>
    <t>Prestar los servicios profesionales jurídicos para apoyar las actividades propias, en procesos prediales que contribuyan al desarrollo de la infraestructura requerida por la entidad para la adecuada prestación del servicio-SGC</t>
  </si>
  <si>
    <t>Prestar los servicios profesionales técnicos para apoyar las actividades propias que contribuyan al desarrollo de la infraestructura requerida por la entidad para la adecuada prestación del servicio-SGC</t>
  </si>
  <si>
    <t>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t>
  </si>
  <si>
    <t>Prestar servicios profesionales como ingeniero mecanico para apoyar las actividades propias que contribuyan al desarrollo de la infraestructura requerida por la entidad para la adecuada prestación del servicio-SGC</t>
  </si>
  <si>
    <t>Prestación de servicios de apoyo en las actividades asociadas a los procesos de gestión de inventarios de la Subdirección de Gestión Corporativa.-SGC</t>
  </si>
  <si>
    <t>Prestación de servicios de apoyo técnico en la gestión documental de la Subdirección de Gestión Corporativa de la Unidad-SGC</t>
  </si>
  <si>
    <t>Prestar los servicios profesionales para el acompañamiento y seguimiento de los planes y proyectos del area de inventarios de la Subdireccion de Gestión Corporativa-SGC</t>
  </si>
  <si>
    <t>Prestar los servicios profesionales en el area de inventarios de la Subdireccion de Gestión Corporativa-SGC</t>
  </si>
  <si>
    <t>Prestación de servicios de apoyo en las actividades asociadas a los procesos administrativo de la Subdirección de Gestión Corporativa- SGC</t>
  </si>
  <si>
    <t>Prestar los servicios profesionales para el acompañamiento y seguimiento de los planes y proyectos del grupo del almacén de la Subdireccion de Gestión Corporativa-SGC</t>
  </si>
  <si>
    <t>Prestación de servicios profesionales en el acompañamiento y asistencia al proceso de gestión documental de la UAE Cuerpo oficial de Bomberos. -SGC</t>
  </si>
  <si>
    <t>Prestación de servicios profesionales especializados para desarrollar las actividades técnicas y administrativas del Área de Infraestructura de la Subdirección de Gestión Corporativa-SGC.</t>
  </si>
  <si>
    <t>Prestación de servicios profesionales especializados para desarrollar las actividades técnicas y administrativas del Área de Infraestructura de la Subdirección de Gestión Corporativa-SGC</t>
  </si>
  <si>
    <t>Prestar servicios profesionales especializados como ingeniero electrónico para apoyar las actividades propias que contribuyan al desarrollo de la infraestructura requerida por la entidad para la adecuada prestación del servicio-SGC</t>
  </si>
  <si>
    <t>Contratar la prestación del servicio de aseo y cafetería incluido insumos para la Unidad Administrativa Especial Cuerpo Oficial de Bomberos Bogotá -SGC</t>
  </si>
  <si>
    <t>Suministro  de muebles, enseres y demàs elementos requeridos para la Unidad Administrativa Especial Cuerpo Oficial de Bomberos Bogotá -SGC</t>
  </si>
  <si>
    <t>Mantenimiento preventivo y/o correctivo, suministros y repuestos de los electrodomésticos de las instalaciones a cargo de la UAE Cuerpo Oficial de Bomberos Bogotá-SGC</t>
  </si>
  <si>
    <t>Mantenimiento preventivo y correctivo, que incluye el suministro de insumos y repuestos de las plantas eléctricas ubicadas en los diferentes edificios de la Unidad Administrativa Especial Cuerpo Oficial de Bomberos Bogotá -SGC</t>
  </si>
  <si>
    <t>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t>
  </si>
  <si>
    <t>Mantenimiento preventivo y correctivo de la red contraincendios  y sistemas de detención de alarmas contra incendios de las estaciones de bomberos de la  Unidad Administrativa Especial Cuerpo Oficial de Bomberos Bogotá -SGC</t>
  </si>
  <si>
    <t>Suministro de materiales, equipos y herramientas para el mejoramiento integral de las instalaciones para la Unidad Administrativa Especial Cuerpo Oficial de Bomberos Bogotá -SGC</t>
  </si>
  <si>
    <t>Realizar el mantenimiento predictivo, preventivo, correctivo y mejoras a las instalaciones de las dependencias de la Unidad Administrativa Especial Cuerpo Oficial de Bomberos Bogotá -SGC</t>
  </si>
  <si>
    <t>Mantenimiento preventivo y correctivo, que incluye el suministro de insumos y repuestos de las lavadoras y secadoras industriales ubicadas en las estaciones de bomberos de la UAE Cuerpo Oficial de Bomberos de Bogotá-SGC</t>
  </si>
  <si>
    <t xml:space="preserve">Proceso para amparar el Pago de Pasivos exigibles </t>
  </si>
  <si>
    <t>Realizar el mantenimiento preventivo, correctivo de puertas automatizadas para las salas de máquinas de las estaciones de la UAE Cuerpo Oficial de Bomberos-SGC</t>
  </si>
  <si>
    <t>Construcción de la estación  Ferias  B-7  UAE Cuerpo Oficial de Bomberos de Bogotá – SGC</t>
  </si>
  <si>
    <t>Interventoría técnica, administrativa, financiera, contable, jurídica y ambiental para la construcción de la estación de bomberos Ferias B7 UAE Cuerpo Oficial de Bomberos de Bogotá – SGC</t>
  </si>
  <si>
    <t>Contratar el servicio de saneamiento ambiental, corte de césped, jardinería, poda y tala de árboles para las sedes (predios y/o estaciones) de la Unidad Administrativa Especial Cuerpo Oficial de Bomberos de Bogotá – SGC</t>
  </si>
  <si>
    <t>Prestar el servicio de recolección y disposición final de los residuos sanitarios y aguas no tratadas de las instalaciones de la Unidad Administrativa Especial Cuerpo Oficial de Bomberos de Bogotá – SGC</t>
  </si>
  <si>
    <t>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t>
  </si>
  <si>
    <t>Adición No. 1 y prórroga No. 2 al contrato 196 de 2025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</si>
  <si>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</si>
  <si>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Suministro  de implementos  de  papelería y oficina para las dependencias  para la Unidad Administrativa Especial Cuerpo Oficial de Bomberos Bogotá -SGC</t>
  </si>
  <si>
    <t>Suministro de insumos para las impresoras de las dependencias  para la Unidad Administrativa Especial Cuerpo Oficial de Bomberos Bogotá -SGC</t>
  </si>
  <si>
    <t>Suministro de insumos para lavandería-SGC</t>
  </si>
  <si>
    <t>Arrendamiento de instalaciones estación Ferias-SGC</t>
  </si>
  <si>
    <t>Adición y prórroga No. 1 al contrato 491 de 2025 que tiene como objeto “Mantenimiento ascensor nueva Estación de Bomberos de Fontibón-SGC</t>
  </si>
  <si>
    <t>Mantenimiento correctivo y preventivo con suministro de repuestos para el ascensor estación de bomberos Fontibón B6 -SGC</t>
  </si>
  <si>
    <t>Adición y prórroga No. 1 al contrato 586 de 2025 que tiene como objeto “Mantenimiento correctivo y preventivo con suministro de repuestos para los ascensores edificio comando-SGC</t>
  </si>
  <si>
    <t>Mantenimiento correctivo y preventivo con suministro de repuestos para los ascensores edificio comando-SGC</t>
  </si>
  <si>
    <t>Adición y prórroga No. 1 al contrato 638 de 2025 que tiene como objeto “Mantenimiento correctivo y preventivo con suministro de repuestos ascensor estación de bomberos Bellavista B-9 - SGC</t>
  </si>
  <si>
    <t>Mantenimiento correctivo y preventivo con suministro de repuestos ascensor estación de bomberos Bellavista B-9 - SGC</t>
  </si>
  <si>
    <t>Prestación del servicio para inspección y certificación correspondientes a los sistemas de transporte vertical (ascensores) a cargo de la Unidad Administrativa Especial Cuerpo Oficial de Bomberos Bogotá D.C – SGC</t>
  </si>
  <si>
    <t>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</si>
  <si>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Adquirir máquinas de grabado láser para el plaqueteo y/o marcación de los bienes devolutivos de la UAECOB, con el fin de garantizar el correcto control del inventario mediante rótulos duraderos y resistentes-SGC</t>
  </si>
  <si>
    <t>92121500;</t>
  </si>
  <si>
    <t>72121400; 72151700; 72151700; 81101500</t>
  </si>
  <si>
    <t>81101500; 80101600; 72121400; 95121700</t>
  </si>
  <si>
    <t>80111600;</t>
  </si>
  <si>
    <t>44121700;
44121800;
44121900;
44122000;</t>
  </si>
  <si>
    <t>76101501;
47131829;</t>
  </si>
  <si>
    <t>72151001;
72101503;
72101504;
 72101506; 
72153208;
 72154019;</t>
  </si>
  <si>
    <t>56101500; 
56101700; 
56101900; 
56111500; 
48101800;
48101915;
24112601;
49121509;</t>
  </si>
  <si>
    <t>73152108;</t>
  </si>
  <si>
    <t>72151800;
72151500;
73152100;</t>
  </si>
  <si>
    <t>72154100;
 73152100;</t>
  </si>
  <si>
    <t>72101500; 
92101600; 
95121700;</t>
  </si>
  <si>
    <t>72102900; 
72121400; 
72151700;
72154000;</t>
  </si>
  <si>
    <t>80101600; 
81101500; 
72101500; 
72121400</t>
  </si>
  <si>
    <t>47111500; 
47111700;</t>
  </si>
  <si>
    <t>47111500;
73151800;
73152100;</t>
  </si>
  <si>
    <t>72121400;
72151700;
72154109;
95121700;</t>
  </si>
  <si>
    <t>70111500;
72102100 ;
72102104;
76101503;
72154055;
70111703;
70111706;
70111503;
72153204;</t>
  </si>
  <si>
    <t>81141807;
40151517;
76121701;
83101506;</t>
  </si>
  <si>
    <t>91111602;
72154302;
47101568;
49241712;</t>
  </si>
  <si>
    <t>78102206;</t>
  </si>
  <si>
    <t>14111500;
14111800;
44121700; 
44121800; 
44122000; 
44122100;
44121600;
60101900;
27112300;
60105700;</t>
  </si>
  <si>
    <t>14111500; 
24112400; 
44111500; 
44121800; 
31201500; 
27112300; 
44121700; 
44121600</t>
  </si>
  <si>
    <t>80131502;</t>
  </si>
  <si>
    <t>72101506;
72154010;</t>
  </si>
  <si>
    <t>81141503;
81141804;</t>
  </si>
  <si>
    <t>84131501;
84131503;
84131504;
84131512;
84131513;
84131515; 
84131601,
84131603;
84131607;
84131515;</t>
  </si>
  <si>
    <t>23153602;</t>
  </si>
  <si>
    <t>Prestación de servicios profesionales jurídicos en virtud de las funciones asignadas a la Dirección General de la UAECOB, para apoyar los procesos contractuales y actividades administrativas requeridas.</t>
  </si>
  <si>
    <t>Prestar servicios profesionales a la Dirección General en actividades de articulación interinstitucional entre las diferentes dependencias, entidades del sector, y demás que estén relacionadas con la misionalidad de la UAECOB.</t>
  </si>
  <si>
    <t>Prestar servicios profesionales especializados en el desarrollo de las actividades y de los diferentes procesos que tiene a su cargo y bajo su seguimiento la Dirección General de la UAE Cuerpo Oficial de Bomberos de Bogotá.</t>
  </si>
  <si>
    <t>Prestar servicios profesionales jurídicos en el desarrollo de las actividades y de los diferentes procesos de la Dirección General de la UAE Cuerpo Oficial de Bomberos de Bogotá</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</si>
  <si>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</si>
  <si>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profesionales jurídicos en la Dirección General de la UAECOB en la revisión, gestión y seguimiento de temas a cargo de la dirección, contratación y estratégicos de la misionalidad de la Entidad</t>
  </si>
  <si>
    <t>Prestar servicios de apoyo a la gestión en la UAECOB, en asuntos administrativos y asistenciales requeridos, especificamente en el seguimiento de la información.</t>
  </si>
  <si>
    <t>Prestar servicios profesionales en el desarrollo de los diferentes procesos que tiene a su cargo la Dirección General de la UAE Cuerpo Oficial de Bomberos de Bogotá.</t>
  </si>
  <si>
    <t>Prestar servicios como conductor a la UAECOB, para facilitar el transporte de recursos humanos y demás que le sean indicados en la Dirección General en concordancia al marco de sus funciones</t>
  </si>
  <si>
    <t>Prestar servicios profesionales jurídicos en el desarrollo de las actividades estrategicas de la Dirección General de la UAE Cuerpo Oficial de Bomberos de Bogotá</t>
  </si>
  <si>
    <t>Prestar servicios profesionales jurídicos en la Dirección General de la UAECOB en la revisión, gestión y seguimiento de temas de infraestructura, POT, plan maestro de equipamiento y procesos contractuales y estratégicos de la misionalidad de la Entidad</t>
  </si>
  <si>
    <t>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t>
  </si>
  <si>
    <t>Prestar servicios profesionales especializados en la Dirección General de la UAECOB en la organización y liderazgo de los asuntos relacionados con cooperación técnica internacional y articulación interinstitucional de conformidad a la misionalidad de la entidad.</t>
  </si>
  <si>
    <t>Prestación de servicios profesionales para gestionar las actividades de articulación interinstitucional, protocolo y demás que le sean indicados en la Dirección General en concordancia al marco de sus funciones</t>
  </si>
  <si>
    <t>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t>
  </si>
  <si>
    <t>Prestar servicios profesionales especializados en la Dirección General de la UAECOB en la organización y liderazgo de los asuntos relacionados con comunicaciones de conformidad a la misionalidad de la entidad.</t>
  </si>
  <si>
    <t>Prestación de servicios profesionales en la Dirección en comunicaciones y prensa, para apoyar la difusión de la información al público interno y externo de la UAECOB.</t>
  </si>
  <si>
    <t>Prestar servicios de apoyo para la gestión en asuntos de comunicaciones y prensa en la Dirección General, y demás acciones encaminadas al cumplimiento de las estrategias comunicacionales de la UAECOB</t>
  </si>
  <si>
    <t>Prestación de servicios profesionales en asuntos de comunicaciones y prensa para apoyar la divulgación y socialización de la información relacionada con la misionalidad de la UAECOB de manera interna y externa</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</si>
  <si>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</si>
  <si>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Prestar servicios profesionales en la Dirección General para  el manejo de redes sociales de la entidad y apoyo periodistico requerido en el marco de la estrategia de comunicaciones y prensa de la UEACOB.</t>
  </si>
  <si>
    <t>Prestar servicios profesionales en la Dirección General para el manejo de redes sociales, divulgación, socialización de información y apoyo periodístico, requerido en el marco de la estrategia de comunicaciones y prensa de la UAECOB.</t>
  </si>
  <si>
    <t>Prestación de servicios profesionales para apoyar a la Dirección en la elaboración, diseño y diagramación de piezas requeridas para los planes, programas, proyectos y procedimientos</t>
  </si>
  <si>
    <t>Prestar apoyo técnico en la Dirección, en asuntos de comunicaciones y prensa, para la producción, diseño y edición de material audiovisual de la UAECOB.</t>
  </si>
  <si>
    <t>Prestar servicios profesionales especializados a la Dirección General de la UAECOB en la construcción ,acompañamiento, seguimiento y fortalecimiento de las estrategias de comunicación que adelante la entidad dentro del Distrito Capital</t>
  </si>
  <si>
    <t>Prestación de servicios profesionales en asuntos de comunicaciones y prensa para apoyar las labores de reportería, periodismo y de divulgación de información y campañas, de acuerdo con la misionalidad de la UAECOB</t>
  </si>
  <si>
    <t>Prestación de servicios profesionales en asuntos de comunicaciones para realizar el cubrimiento periodístico, fotográfico y audiovisual de las actividades operativas y misionales de la UAECOB, así como la elaboración de contenidos informativos para su difusión.</t>
  </si>
  <si>
    <t>Prestar servicios a la Dirección General en la conducción, traslado y movilización de personal, equipos y materiales, garantizando el cumplimiento de las operaciones logísticas y misionales del Cuerpo Oficial de Bomberos de Bogotá</t>
  </si>
  <si>
    <t>Prestación de servicios como operador logístico, relacionados con la organización, administración y ejecución de las diferentes temáticas que fortalezcan la misionalidad de la entidad a través de la protección de la vida, el medio ambiente y el patrimonio</t>
  </si>
  <si>
    <t>80141900; 90111500; 90111600; 80141600; 80161502</t>
  </si>
  <si>
    <t>Prestación de servicios profesionales apoyando el control legal de los procesos y acciones, especialmente la gestión contractual para el desarrollo de las estrategías de la Subdirección Logística - SBLG</t>
  </si>
  <si>
    <t>Prestación de servicios profesionales para apoyar en la elaboración, tramite e impulso de los procesos de contratación en sus diferentes etapas para el desarrollo de las estrategías de la Subdirección Logística - SBLG.</t>
  </si>
  <si>
    <t>Prestación de servicios profesionales, para apoyar la estructuración y elaboración de los asuntos contractuales en sus diferentes etapas en la adquisicion de bienes y servicios para el desarrollo de las estrategías de la Subdirección Logística.- SBLG</t>
  </si>
  <si>
    <t>Prestar servicios profesionales para apoyar el seguimiento y garantizar la adecuada ejecución presupuestal y financiera de los diferentes planes, programas, proyectos administrativos y financieros a cargo de la Subdirección Logística- SBLG</t>
  </si>
  <si>
    <t>Prestar servicios profesionales para realizar el seguimiento, revisión y validación de los asuntos presupuestales, financieros y administrativos necesarios para la gestión de pagos de los contratos a cargo de la subdirección logística. - SBLG</t>
  </si>
  <si>
    <t>Prestación de servicios profesionales en la gestión, seguimiento y control administrativo, financiero, presupuestal y contractual del proceso de mantenimiento del parque automotor a cargo de la Subdirección Logística - SBLG.</t>
  </si>
  <si>
    <t>Prestación de servicios profesionales para la gestión, seguimiento y control  técnico y operativo del proceso de mantenimiento del parque automotor a cargo de la Subdirección Logística - SBLG.</t>
  </si>
  <si>
    <t>Prestar servicios de apoyo técnico en la gestión documental, administrando y diligenciando las bases de datos, y demás documentos para el desarrollo de las estrategias de la Subdirección logística. -SBLG</t>
  </si>
  <si>
    <t>Prestar servicios profesionales en las diferentes estrategias adelantadas por la subdirección Logistica en los procesos de planeación, logísticos, administrativos y financieros que se deriven de las competencias propias del area - SBLG</t>
  </si>
  <si>
    <t>Prestar servicios de apoyo a la gestión en actividades administrativas y documentales para el desarrollo de las estrategías de la Subdirección Logística - SBLG</t>
  </si>
  <si>
    <t>Prestar servicios profesionales de caracter tecnologico apoyando la estructuración, elaboración, manejo y optimización de las herramientas tecnológicas a cargo de la Subdirección Logística – SBLG.</t>
  </si>
  <si>
    <t>Prestar servicios como conductor para apoyar en la gestiónes tecnicas y operativas para la Subdirección Logistica- SBLG.</t>
  </si>
  <si>
    <t>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t>
  </si>
  <si>
    <t>Prestar servicios profesionales para apoyar en las actividades administrativas y tecnicas de los elementos e inventario a cargo Subdirección Logistica  – SBLG.</t>
  </si>
  <si>
    <t>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t>
  </si>
  <si>
    <t>Prestar servicios de apoyo a la gestión para el seguimiento y control de los suministros y consumibles  necesarios para la oportuna disponibilidad en la atención de emergencias -SBLG</t>
  </si>
  <si>
    <t>Prestar servicios profesionales para el seguimiento y control en la cadena de suministros e insumos para la atención de emergencias garantizando la entrega oportuna de los bienes y servicios de la Subdirección Logística. SBLG</t>
  </si>
  <si>
    <t>Prestar servicios profesionales para el seguimiento administrativo, financiero y de control en la cadena de suministros e insumos en la atención de emergencias garantizando la entrega de los bienes y servicios de la Subdirección Logística. SBLG</t>
  </si>
  <si>
    <t>Prestar servicio de apoyo a la gestión para asistir a la Subdirección Logística en el seguimiento técnico y administrativo de los mantenimientos minimos requeridos en la Subdirección Logística - SBLG</t>
  </si>
  <si>
    <t>Prestar servicios de apoyo a la gestión en actividades administrativas y documentales en el procedimiento de equipo menor desarrollo de las estrategías de la Subdirección Logística - SBLG - SBLG</t>
  </si>
  <si>
    <t>Prestación de servicios profesionales para realizar el seguimiento, verificación y asignación de las solicitudes recepcionadas atraves de las herramientas tecnológicas  asociadas a la Subdirección Logística - SBLG</t>
  </si>
  <si>
    <t>Prestar servicios profesionales apoyando las estrategias de comunicación, capacitación y gestión administrativa que promueva el uso y apropiación de los programas desarrollados en cada una de las estrategías de la Subdirección Logística - SBLG</t>
  </si>
  <si>
    <t>Prestar servicios de apoyo a la gestión como conductor para atender los requerimientos que se presenten en la Oficina Asesora de Planeación, así como los incidentes que puedan surgir en la Unidad Administrativa Especial Cuerpo Oficial de Bomberos de Bogotá.</t>
  </si>
  <si>
    <t>Prestar servicios de apoyo a la gestión administrativa, orientados al control, organización y seguimiento de la documentación institucional, en cumplimiento de las políticas de planeación y de los lineamientos establecidos en el Modelo Integrado de Planeación y Gestión - MIPG.</t>
  </si>
  <si>
    <t>Prestar servicios profesionales para la gestión, formulación, actualización y seguimiento de los proyectos de inversión asignados, en el marco de la política de Gestión Presupuestal y Eficiencia del Gasto Público del Modelo Integrado de Planeación y Gestión - MIPG.</t>
  </si>
  <si>
    <t>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t>
  </si>
  <si>
    <t>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t>
  </si>
  <si>
    <t>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t>
  </si>
  <si>
    <t>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t>
  </si>
  <si>
    <t>Prestar servicios de apoyo a la gestión administrativa para la ejecución de actividades asistenciales, logísticas y de gestión documental, requeridas para la implementación del Sistema de Gestión de la Calidad en el marco del Modelo Integrado de Planeación y Gestión - MIPG.</t>
  </si>
  <si>
    <t>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t>
  </si>
  <si>
    <t>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t>
  </si>
  <si>
    <t>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t>
  </si>
  <si>
    <t>Prestar servicios profesionales a la Oficina Asesora de Planeación en los temas estratégicos y transversales relacionados con el Mejoramiento Continuo y la Gestión de la Calidad, en el marco del Modelo Integrado de Planeación y Gestión (MIPG).</t>
  </si>
  <si>
    <t>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t>
  </si>
  <si>
    <t>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t>
  </si>
  <si>
    <t>Prestar servicios profesionales para el desarrollo de actividades orientadas a la implementación de las políticas establecidas en el marco del Modelo Integrado de Planeación y Gestión - MIPG, liderado por la Oficina Asesora de Planeación.</t>
  </si>
  <si>
    <t>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t>
  </si>
  <si>
    <t>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t>
  </si>
  <si>
    <t>Prestar servicios profesionales para brindar apoyo jurídico en la gestión contractual y administrativa de la Oficina Asesora de Planeación, de acuerdo con los lineamientos internos y en el marco del Modelo Integrado de Planeación y Gestión - MIPG.</t>
  </si>
  <si>
    <t>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t>
  </si>
  <si>
    <t>Prestación de servicios de apoyo al proceso de comunicaciones en emergencias del centro de coordinación y comunicaciones (c.c.c.), para el desarrollo de los programas a cargo de la Subdirección Operativa-S.O.</t>
  </si>
  <si>
    <t>Prestación de servicios para realizar la gestión administrativa requerida en la estación de bomberos asignada, para el desarrollo de los programas a cargo de la Subdirección Operativa-S.O.</t>
  </si>
  <si>
    <t>Prestación de servicios para la gestión administrativa y documental realizando los reportes requeridos para el desarrollo de los programas a cargo de la Subdirección Operativa-S.O.</t>
  </si>
  <si>
    <t>Prestación de servicios profesionales para atender las actividades de bienestar de los caninos y los animales rescatados o recuperados que  atiende el grupo BRAE, para el desarrollo de los programas a cargo de la Subdirección Operativa-S.O.</t>
  </si>
  <si>
    <t>Prestación de servicios de apoyo para desarrollar y mantener las condiciones básicas de bienestar de los caninos y  animales rescatados o recuperados que atiende el grupo BRAE, para la gestión de los programas a cargo de la Subdirección Operativa-S.O.</t>
  </si>
  <si>
    <t>Prestación de servicios profesionales para apoyar el fortalecimiento de la dependencia y la articulación con entidades externas, para el desarrollo de los programas a cargo de la Subdirección Operativa-S. O.</t>
  </si>
  <si>
    <t>Prestación de servicios profesionales para brindar el apoyo administrativo de las gestiones  de la Subdirección, así como proyectar las respuestas a las solicitudes de carácter interno o externo para  el desarrollo de los programas a cargo de la Subdirección Operativa-S.O.</t>
  </si>
  <si>
    <t>Prestación de servicios profesionales para apoyar las gestiones de carácter contractual en sus diferentes etapas y las gestiones administrativas a cargo, para el desarrollo de los programas de la Subdirección operativa-S.O.</t>
  </si>
  <si>
    <t>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t>
  </si>
  <si>
    <t>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t>
  </si>
  <si>
    <t>Prestación de servicios profesionales para apoyar jurídicamente los proyectos, procesos y procedimientos, para e desarrollo de los programas de la subdirección operativa-S.O</t>
  </si>
  <si>
    <t>Prestar servicios profesionales  para apoyar el fortalecimiento, articulación, seguimiento y gestión de los proyectos de inversión,  planes e indicadores de gestión, para el desarrollo de los programas de la Subdirección Operativa-S.O.</t>
  </si>
  <si>
    <t>Prestación de servicios profesionales para realizar el seguimiento, verificación, control y  diligenciamiento de los requerimientos propios, en los sistemas de información de la Entidad, para el desarrollo de los programas de la Subdirección Operativa-S.O.</t>
  </si>
  <si>
    <t>Prestación de servicios profesionales para liderar y gestionar los temas operativos, incluyendo  el trabajo articulado con tecnología para implementar el sistema de información   de emergencias,  para el desarrollo de los programas  de la Subdirección Operativa-S.O.</t>
  </si>
  <si>
    <t>Prestación de servicios profesionales para la elaboración, diagramación de piezas gráficas con estilos de textos e informes requeridos frente a los procesos y procedimientos, para el desarrollo de los programas de la Subdirección Operativa-S.O.</t>
  </si>
  <si>
    <t>Prestación de servicios de apoyo para ejecutar las actividades administrativas, trámite, seguimiento y verificación de solicitudes recibidas en el canal de comunicación de gestión operativa para el desarrollo de los programas de la Subdirección Operativa-S.O.</t>
  </si>
  <si>
    <t>Prestación de servicios profesionales para ejecutar las actividades relacionadas con el sistema de gestión de calidad, el sistema ambiental y el sistema de control interno, para el desarrollo los programas de la Subdireccion Operativa-S.O.</t>
  </si>
  <si>
    <t>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t>
  </si>
  <si>
    <t>Prestación de servicios profesionales para la elaboración de informes o documentos técnicos, infografías, reportes y consolidación de indicadores relacionados con los procesos, y procedimientos, para el desarrollo de los programas de la Subdirección Operativa-S.O.</t>
  </si>
  <si>
    <t>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t>
  </si>
  <si>
    <t>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t>
  </si>
  <si>
    <t>Prestación de servicios de apoyo a la gestión para ejecutar actividades administrativas y asistenciales para el diligenciamiento y seguimiento de las solicitudes en las herramientas de gestión de los procedimientos, para el desarrollo de los programas de la Subdirección Operativa-S.O.</t>
  </si>
  <si>
    <t>Prestación de servicios profesionales liderando la elaboración de informes estadísticos a partir de los datos asociados a los incidentes atendidos en el marco de la misionalidad de la UAECOB, para el acompañamiento de los programas de la Subdirección Operativa.</t>
  </si>
  <si>
    <t>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t>
  </si>
  <si>
    <t>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t>
  </si>
  <si>
    <t>Prestación de servicios profesionales jurídicos para  realizar el seguimiento y control de las actividades de gestión propias de los procesos y procedimientos, para el acompañamiento de los programas de la Subdirección Operativa-S.O.</t>
  </si>
  <si>
    <t>Prestación de servicios profesionales jurídicos para  realizar el seguimiento y control de las actividades de gestión propias de los procesos y procedimientos, para el acompañamiento de los programas de la subdirección operativa y de las respuestas a Entes de control-S.O.</t>
  </si>
  <si>
    <t>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de la Subdireccion Operativa-S.O.</t>
  </si>
  <si>
    <t xml:space="preserve">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de la Subdirección Operativa-S.O.</t>
  </si>
  <si>
    <t>Prestación de servicios profesionales para realizar la consolidación, seguimiento financiero, control y reporte de los planes y proyectos de inversión e indicadores, para el apoyo de los programas de la Subdirección Operativa-S.O.</t>
  </si>
  <si>
    <t>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t>
  </si>
  <si>
    <t>Prestación de servicios de apoyo a la gestión en las actividades documentales, administrativas y manejo de las herramientas de gestión, para el acompañamiento de los programas de la Subdirección Operativa S.O.</t>
  </si>
  <si>
    <t>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t>
  </si>
  <si>
    <t>Prestar servicios profesionales en comunicación y prensa para apoyar la producción y difusión de contenidos periodísticos y audiovisuales de la UAECOB</t>
  </si>
  <si>
    <t>Prestación de servicios profesionales en la Dirección para el acompañamiento en las labores de gestión administrativa, en asuntos propios de comunicaciones y prensa de la UAECOB</t>
  </si>
  <si>
    <t>Prestar los servicios profesionales jurídicos especializados en la Oficina de Control Disciplinario Interno de la entidad estableciendo pautas de liderazgo en las actuaciones procesales que se deban tramitar en esa dependencia en etapa de instrucción</t>
  </si>
  <si>
    <t>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t>
  </si>
  <si>
    <t>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t>
  </si>
  <si>
    <t>Contratar la adquisición de dispositivos para el fortalecimiento y modernización de la infraestructura tecnológica de la U.A.E. Cuerpo Oficial de Bomberos de Bogotá.</t>
  </si>
  <si>
    <t>43211500, 43211503, 43211507, 43211509, 43211619</t>
  </si>
  <si>
    <t>Adición y prorróga al contrato No. 245 de 2025 cuyo objeto es  "Contratar el servicio de mantenimiento preventivo y correctivo de los radios portátiles y móviles marca Motorola propiedad de la U.A.E. Cuerpo Oficial de Bomberos de Bogotá – TIC"</t>
  </si>
  <si>
    <t>Adición y prorróga al contrato No. 493 de 2025 cuyo objeto es "Contratar la adquisicion, modernizacion y mantenimiento preventivo y correctivo de UPS,  aires acondicionados con suministro de repuestos, para todas las sedes de la U.A.E. Cuerpo Oficial de Bomberos de Bogotá - TIC."</t>
  </si>
  <si>
    <t>Prestar servicios profesionales a la Oficina Asesora de Planeación en los asuntos concernientes que se le asignen para la implementación del Modelo Integrado de Planeación y Gestión MIPG.</t>
  </si>
  <si>
    <t>Adición y prorróga al contrato No. 785 de 2024 cuyo objeto es "	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t>
  </si>
  <si>
    <t>Prestar servicios profesionales para apoyar al Jefe de la Oficina de Planeación en asuntos estratégicos de la gestión administrativa</t>
  </si>
  <si>
    <t>Prestación de servicios profesionales en asuntos de comunicaciones y prensa para revisar los procesos de comunicación de entidad con el fin de evaluar su eficacia interna y externa y detectar ineficiencias en los canales de comunicación</t>
  </si>
  <si>
    <t>Prestación de servicios profesionales en asuntos de comunicaciones y prensa para detectar las necesidades de la Entidad y facilitar la inserción de nuevas estrategias de comunicación</t>
  </si>
  <si>
    <t>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t>
  </si>
  <si>
    <t>Prestar servicios de apoyo técnico en las herramientas tecnologicas para el desarrollo de las estrategias de la Subdirección  Logística-SBLG</t>
  </si>
  <si>
    <t>Prestar servicios de apoyo a la gestión en las actividades de soporte operacional de la UAECOB Subdirección Logística. SBLG</t>
  </si>
  <si>
    <t>Prestar servicios de apoyo a la gestión en actividades administrativas y documentales que se desarrollen en la Subdirección Logística – SBLG".</t>
  </si>
  <si>
    <t>Prestación de servicios de apoyo a la gestión para realizar actividades documentales, administrativas relacionadas para el desarrollo de las estrategias de la Subdirección Logística. SBLG</t>
  </si>
  <si>
    <t>Prestar servicios de apoyo a la gestión en el manejo de las herramientas tecnológicas en diligenciamiento, seguimiento y control de las herramientas de gestión asociadas a la mesa logística de la Subdirección Logística. – SBLG</t>
  </si>
  <si>
    <t>Prestación de servicios profesionales para apoyar en la elaboracion, seguimiento e impulso de la actuaciones procesales en cada una de las etapas para la adquisición de bienes y servicios en el desarrollo de las estrategias de la Subdirección Logística. SBLG.</t>
  </si>
  <si>
    <t>Prestar servicios profesionales para el seguimiento y gestión de las actividades establecidas en los planes de acción y estratégicos; así como, de los procesos de planeación y administrativos propios de Subdirección Logística - SBLG"</t>
  </si>
  <si>
    <t>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t>
  </si>
  <si>
    <t>Prestación de servicios profesionales para apoyar en el análisis de información, reportes, y seguimientos relacionados con la atención de emergencias de la entidad y de los programas a cargo de la Subdirección Operativa-S.O.</t>
  </si>
  <si>
    <t>O232020200885961 Servicios de organización y asistencia de convenciones</t>
  </si>
  <si>
    <t>O232020200991121 Servicios de la administración pública relacionados con la educación</t>
  </si>
  <si>
    <t>O2320201002092929012 Partes y accesorios para artículos de protección personal</t>
  </si>
  <si>
    <t>O232020200992913 Servicios de educación para la formación y el trabajo</t>
  </si>
  <si>
    <t>O23201010030202 Máquinas herramientas y sus partes, piezas y accesorios</t>
  </si>
  <si>
    <t>O2320201003023229906 Libros publicados en fascículos, folletos, hojas sueltas e impresos similares</t>
  </si>
  <si>
    <t>O232020200887151 Servicios de mantenimiento y reparación de electrodomésticos</t>
  </si>
  <si>
    <t>O2320202005040654612 Servicios de instalación de alarmas contra incendios</t>
  </si>
  <si>
    <t>O23201010030401 Motores, generadores y transformadores eléctricos y sus partes y piezas</t>
  </si>
  <si>
    <t>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t>
  </si>
  <si>
    <t>Prestar servicios profesionales de carácter jurídico para apoyar y fortalecer de manera integral las actividades propias de la Oficina Jurídica</t>
  </si>
  <si>
    <t>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t>
  </si>
  <si>
    <t>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t>
  </si>
  <si>
    <t>Adición y prórroga No. 1 al contrato 698 de 2025 que tiene como objeto “Prestar el servicio y mantenimiento de equipos de higienización, desodorización y aromatización para la UAECOB-SGC"</t>
  </si>
  <si>
    <t>Prestación de servicios profesionales para apoyar las actividades jurídicas de la Subdirección de Gestión Corporativa-SGC</t>
  </si>
  <si>
    <t>Prestación de servicios profesionales, en temas jurídicos de la gestión administrativa a cargo de la Subdirección de Gestión Corporativa.- SGC</t>
  </si>
  <si>
    <t>Adición No. 1 al contrato 698 de 2025 que tiene como objeto “Mantenimiento preventivo y/o correctivo, suministros y repuestos de los equipos gasodomésticos y solares y adecuaciones de las redes de gas natural para las Estaciones de la Unidad Administrativa Especial Cuerpo Oficial de Bomberos Bogotá -SGC</t>
  </si>
  <si>
    <t>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t>
  </si>
  <si>
    <t xml:space="preserve"> Adición No. 1 al contrato 578 de 2025 que tiene como objeto “  Contratar los seguros obligatorios "SOAT" para el parque automotor de propiedad de la Unidad Administrativa Especial Cuerpo Oficial de Bomberos Bogotá D.C y de aquellos por los cuales fuere legalmente responsable-SGC</t>
  </si>
  <si>
    <t>Adición y prórroga No. 2 al contrato 597 de 2025  que tiene como objeto " Contratar la prestación del servicio de aseo y cafetería incluido insumos para la UAE Cuerpo Oficial de Bomberos -SGC</t>
  </si>
  <si>
    <t>Interventoría técnica, administrativa, financiera, contable, jurídica y ambiental  para la realización del mantenimiento predictivo, preventivo, correctivo y mejoras a las instalaciones de las dependencias de la Unidad Administrativa Especial Cuerpo Oficial de Bomberos Bogotá -SGC</t>
  </si>
  <si>
    <t>Prestación de servicios profesionales de carácter jurídico para apoyar la gestión administrativa y la adquisición de bienes y servicios para el desarrollo de las estrategias de la Subdirección Logística. -SBLG</t>
  </si>
  <si>
    <t>Prestación de servicios profesionales para apoyar la gestión financiera y presupuestal de los proyectos, planes y estrategias a cargo de la Subdirección Logística - SBLG</t>
  </si>
  <si>
    <t>Prestar servicios de apoyo a la gestión en el manejo de las herramientas tecnológicas en la recepción diligenciamiento y trámite asociadas a la mesa logística. – SBLG</t>
  </si>
  <si>
    <t>Prestar servicios de apoyo como conductor a las acciones misionales de la Subdirección de Gestión del Riesgo.</t>
  </si>
  <si>
    <t>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t>
  </si>
  <si>
    <t>Subdirector@ de Gestión Corporativa</t>
  </si>
  <si>
    <t>Subdirector@ de Gestión del Riesgo</t>
  </si>
  <si>
    <t>Adición No. 01 al contrato 524 de 2025 que tiene como objeto "Mantenimiento preventivo y correctivo, que incluye el suministro de insumos y repuestos de las lavadoras y secadoras industriales ubicadas en las estaciones de bomberos de la UAE Cuerpo Oficial de Bomberos de Bogotá-SGC</t>
  </si>
  <si>
    <t xml:space="preserve"> 04 - contratación mínima cuantía </t>
  </si>
  <si>
    <t>47111502;
47111503;
73151802;
73152100;</t>
  </si>
  <si>
    <t>Mantenimiento preventivo y/o correctivo, y suministros de repuestos de los equipos gasodomésticos y solares y adecuaciones de las redes de gas natural para las Estaciones de la Unidad Administrativa Especial Cuerpo Oficial de Bomberos Bogotá -SGC</t>
  </si>
  <si>
    <t>Mantenimiento preventivo y/o correctivo, y suministro de repuestos de los equipos de gimnasio de las diferentes instalaciones a cargo de la Unidad Administrativa Especial Cuerpo Oficial de Bomberos Bogotá -SGC</t>
  </si>
  <si>
    <t>Suministro de banderas y accesorios para las sedes UAECOB-SGC</t>
  </si>
  <si>
    <t>Adecuación de la estación Nueva Estación de la UAE Cuerpo Oficial de Bomberos de Bogotá – SGC</t>
  </si>
  <si>
    <t>Interventoría técnica, administrativa, financiera, contable, jurídica y ambiental para la Adecuación de la Nueva Estación de bomberos de la UAE Cuerpo Oficial de Bomberos de Bogotá – SGC</t>
  </si>
  <si>
    <t>Adecuación de la estación de Bomberos Chapinero B1- de la UAE Cuerpo Oficial de Bomberos de Bogotá – SGC</t>
  </si>
  <si>
    <t>Interventoría técnica, administrativa, financiera, contable, jurídica y ambiental para la Adecuación de la estación de Bomberos Chapinero B1- de la UAE Cuerpo Oficial de Bomberos de Bogotá – SGC</t>
  </si>
  <si>
    <t>72151000;
72101500;
72153200;
 72154000;</t>
  </si>
  <si>
    <t>Carlos Andres Vargas Puerto</t>
  </si>
  <si>
    <t>Prestar servicios profesionales para el registro, actualización y reporte de los procesos y decisiones disciplinarias expedidas por la Oficina de Control Disciplinario Interno de la UAECOB en el aplicativo Sistema de Información Disciplinario (SID) .</t>
  </si>
  <si>
    <t>Adición y prórroga al Contrato 175 de 2025 con objeto "Prestar servicios profesionales especializados en el desarrollo de las actividades y de los diferentes procesos que tiene a su cargo y bajo su seguimiento la Dirección General de la UAE Cuerpo Oficial de Bomberos de Bogotá"</t>
  </si>
  <si>
    <t>Adición y prórroga al Contrato 460 de 2025 con objeto "Prestar servicios profesionales especializados en el desarrollo de las actividades estrategicas de la Dirección General de la UAE Cuerpo Oficial de Bomberos de Bogotá"</t>
  </si>
  <si>
    <t>Adición y prórroga al Contrato 211 de 2025 con objeto "Prestación de servicios profesionales en la Dirección en comunicaciones y prensa, para apoyar la difusión de la información al público interno y externo de la UAECOB"</t>
  </si>
  <si>
    <t>Adición y prórroga al Contrato 202 de 2025 con objeto "Prestar servicios de apoyo para la gestión en asuntos de comunicaciones y prensa en la Dirección General, y demás acciones encaminadas al cumplimiento de las estrategias comunicacionales de la UAECOB"</t>
  </si>
  <si>
    <t>Adición y prórroga al Contrato 285 de 2025 con objeto "Prestar apoyo técnico en la Dirección, en asuntos de comunicaciones y prensa, para la producción, diseño y edición de material audiovisual de la UAECOB"</t>
  </si>
  <si>
    <t>Adición y prórroga al Contrato 278 de 2025 con objeto "Prestación de servicios como conductor en los diferentes recorridos de carácter operativo que se requieran en la Dirección General"</t>
  </si>
  <si>
    <t>Adición y prórroga al Contrato 356 de 2025 con objeto "Prestación de servicios profesionales en asuntos de comunicaciones y prensa para apoyar la creación y divulgación audiovisual relacionada con la misionalidad de la UAECOB"</t>
  </si>
  <si>
    <t>Prestación de servicios de apoyo a la gestión en asuntos de comunicaciones y prensa para apoyar las labores de reportería, periodismo y de divulgación de información de acuerdo con la misionalidad de la UAECOB.</t>
  </si>
  <si>
    <t>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</si>
  <si>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 xml:space="preserve">JUNIO </t>
  </si>
  <si>
    <t>Prestar los servicios profesionales  en la Oficina de Control Interno para el desarrollo del Plan Anual de Auditorías.</t>
  </si>
  <si>
    <t>enero</t>
  </si>
  <si>
    <t>Prestar servicios de apoyo a la gestión en el desarrollo de las actividades y trámites administrativos y operativos relacionados con los procesos que se encuentran a cargo de la Subdirección Operativa de la UAECOB-SO.</t>
  </si>
  <si>
    <t>Prestar los servicios profesionales a la Subdirección Operativa de la UAECOB desde el componente jurídico, en los asuntos a cargo de la dependencia para el adecuado alcance de las metas e indicadores asignados a esta, brindando plena aplicación a la normatividad vigente-S.O.</t>
  </si>
  <si>
    <t>Adquisición de vehiculos operativos para la atención de emergencias para la UAE Cuerpo Oficial de Bomberos de Bogotá, S.O.</t>
  </si>
  <si>
    <t>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t>
  </si>
  <si>
    <t>SGH - INCENTIVOS</t>
  </si>
  <si>
    <t>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t>
  </si>
  <si>
    <t xml:space="preserve"> Prestación de servicios de apoyo a la gestión en la Subdirección de Gestión Corporativa, en las actividades asociadas a los procesos y procedimientos del almacén de la Entidad.- SGC</t>
  </si>
  <si>
    <t xml:space="preserve">SGH -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 </t>
  </si>
  <si>
    <t>SGH - 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t>
  </si>
  <si>
    <t>SGH – Prestar servicios de apoyo a la gestión en la Subdirección de Gestión Humana,  para la organización, actualización, clasificación y sistematización de los expedientes de incapacidades, así como la consolidación de la información en los sistemas y bases de datos institucionales y demás actividades propias del área de nómina que le sean asignadas, de conformidad con los lineamientos y procedimientos definidos por la entidad.</t>
  </si>
  <si>
    <t>Uaecob</t>
  </si>
  <si>
    <t>Prestación de servicios de apoyo para el desarrollo de las actividades y trámites administrativos y operativos relacionados con los procesos que se encuentran a cargo de la Subdirección Operativa-SO.</t>
  </si>
  <si>
    <t>Adición y Prórroga al contrato de prestación de servicios # 446-2025, cuyo objeto es: "Prestar servicios de apoyo a la gestión en las actividades de monitoreo, seguimiento y reporte de información del Centro de Coordinación y Comunicaciones de la Subdirección Operativa".</t>
  </si>
  <si>
    <t>Prestar servicios profesionales para apoyar jurídicamente el seguimiento y la revisión de derechos de petición y demás requerimientos, así como en la revisión de documentación referida a procesos de contratación a cargo de la Subdirección Operativa S.O.</t>
  </si>
  <si>
    <t>Adición y prórroga al contrato No. 411 de 2025 cuyo objeto es: "Contratar la prestación del servicio de monitoreo, control y seguimiento satelital a los vehículos de propiedad de la U.A.E. Cuerpo Oficial de Bomberos de Bogotá - TIC"</t>
  </si>
  <si>
    <t>Adición y prórroga al contrato No. 490 de 2025 cuyo objeto es: "contratar el alquiler de equipos tecnológicos, periféricos y servicios complementarios para la U.A.E Cuerpo Oficial de bomberos de Bogota- TIC"</t>
  </si>
  <si>
    <t>Congelamiento recursos 5% proyecto 8126</t>
  </si>
  <si>
    <t>Congelamiento recursos 5% proyecto 8173</t>
  </si>
  <si>
    <t>Prestar servicio de apoyo a la gestión administrativa y operativa de los mantenimientos requeridos a los equipos menores y/o parque automotor de la Subdirección Logística - SBLG</t>
  </si>
  <si>
    <t>Adquisición de materiales y elementos especializados para el desarrollo de actividades de reduccion del riesgo adelantados por la Subdirección de Gestión del Riesgo_SGR</t>
  </si>
  <si>
    <t>NO APLICA</t>
  </si>
  <si>
    <t>Adición No. 1 al contrato 629 de 2025 que tiene como objeto “Prestar el servicio de vigilancia y seguridad privada en la modalidad de vigilancia fija, según especificaciones técnicas, en las instalaciones donde la UAE Especial Cuerpo Oficial de Bomberos requiera-SGC</t>
  </si>
  <si>
    <t xml:space="preserve">SGH - Prestar servicios profesionales en la Subdirección de Gestión Humana, enfocados en el análisis de datos , estadística, gestión financiera  y apoyo a temas de proyección presupuestal en el marco de la estrategia de fortalecimiento institucional. </t>
  </si>
  <si>
    <t>SGH - Prestar servicios de apoyo a la gestión en la Subdirección de Gestión Humana de la UAE Cuerpo Oficial de Bomberos, atendiendo los requerimientos del área de nómina y apoyando las actividades que le sean asignadas, de conformidad con las necesidades institucionales y los lineamientos establecidos, con el objetivo de fortalecer las capacidades institucionales.</t>
  </si>
  <si>
    <t>SGH - Prestar servicios profesionales en la Subdirección de Gestión Humana, enfocados al ajuste y actualización de los manuales de funciones, y demas documentos administrativos  y operativos de acuerdo a la planta propuesta, en el marco de la estrategia de fortalecimiento y rediseño institucional.</t>
  </si>
  <si>
    <t>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t>
  </si>
  <si>
    <t>Prestar el servicio y mantenimiento de equipos de higienización, desodorización y aromatización para la Unidad Administrativa Especial Cuerpo Oficial de Bomberos Bogotá-SGC</t>
  </si>
  <si>
    <t>Suministrar combustible para el parque automotor y los equipos especializados de la U.A.E. Cuerpo Oficial de Bomberos Bogotá, dentro y fuera del perímetro del Distrito Capital – SBLG.</t>
  </si>
  <si>
    <t>80141900
90111500
90111600
80141600
80161502</t>
  </si>
  <si>
    <t>Adición No. 2 y prórroga No. 3 al contrato 196 de 2025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</si>
  <si>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No a</t>
  </si>
  <si>
    <t>Adición y prórroga No. 1 al contrato que tiene como objeto " Contratar la prestación del servicio de aseo y cafetería incluido insumos para la UAE Cuerpo Oficial de Bomberos -SGC</t>
  </si>
  <si>
    <t>(Todas)</t>
  </si>
  <si>
    <t>Adición al contrato 622-2025 cuyo objeto es: ¨Prestación del servicio de mantenimiento preventivo y correctivo de los equipos de respiración autónoma interspiro propiedad de la UAECOB, incluido el suministro de repuestos, insumos mano de obra especializada –SBLG</t>
  </si>
  <si>
    <t>Versión No. 7 - PLAN DISTRITAL DE DESARROLLO "BOGOTÁ CAMINA SEGURA"</t>
  </si>
  <si>
    <t>SGH - Utilización lista de elegibles CNSC para provisión de vacantes</t>
  </si>
  <si>
    <t>SGH - Adición y prórroga al contrato 717-2025 cuyo objeto es" Prestar sus servicios profesionales en la Subdirección de Gestión Humana de la UAE Cuerpo Oficial de Bomberos de Bogotá, apoyando la administración del Sistema de Gestión de Seguridad y Salud en el Trabajo (SG-SST), específicamente en la línea de Medicina Preventiva, en el marco de los procesos de fortalecimiento de capacitación y capacidades de la institución".</t>
  </si>
  <si>
    <t>SGH -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</si>
  <si>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Adición y prórrroga al contrato 604-2025, cuyo objeto es: "Adquisición de elementos de protección personal (E.P.P.) para la atención de emergencias de la UAE cuerpo oficial de bomberos de Bogotá" lote v. trajes de fontanero"</t>
  </si>
  <si>
    <t>Prestación de servicios profesionales para atender las actividades de seguimiento, verificación y control de los procesos y procedimientos, para el desarrollo de los programas a cargo de la Subdirección Operativa-S.O.</t>
  </si>
  <si>
    <t>(Varios elementos)</t>
  </si>
  <si>
    <t>Adición y prórroga al contrato 692 de 2025 cuyo objeto es: "Brindar apoyo en temas propios de gestión documental de expedientes físicos y de soporte administrativo que se requieran en las actividades desplegadas por la Oficina Jurídica".</t>
  </si>
  <si>
    <t>Adición y prórroga al contrato 702 de 2025 cuyo objeto es: "Prestar los servicios profesionales jurídicos especializados para apoyar el desarrollo de las funciones de la Oficina Jurídica"</t>
  </si>
  <si>
    <t>Adición y prórroga al contrato 702 de 2025 cuyo objeto es: "Prestar el servicio de apoyo técnico y operativo a la gestión de los procesos disciplinarios en la etapa de juzgamiento, mediante la ejecución de tareas administrativas, logísticas y de soporte documental en la Oficina Jurídica"</t>
  </si>
  <si>
    <t>Adición y prórroga al Contrato No. 363-2025 cuyo objeto es: Contratar los servicios de canales de datos dedicados para la UAE Cuerpo Oficial de Bomberos de Bogotá – TIC</t>
  </si>
  <si>
    <t>Contratar la adquisición, renovación, implementación y soporte técnico de soluciones integrales de infraestructura tecnológica, seguridad perimetral, gestión de servicios TI y continuidad del negocio (Cloud &amp; Backup) para la Unidad Administrativa Especial Cuerpo Oficial de Bomberos de Bogotá</t>
  </si>
  <si>
    <t>43222500; 43231500; 43231501; 43231513; 43232309; 43232907; 43232915; 43233200; 43233203; 43233204; 43233205; 43233400; 43233403; 43233405; 43233415; 43233416; 81111802; 81111808; 81111811; 81111812; 81112201; 81112203; 81112222</t>
  </si>
  <si>
    <t>Pago pasivo contrato 815 de 2024 cuyo objeto es: "Contratar el servicio de soporte y mantenimiento del sistema de control de acceso para los visitantes y los funcionarios de la U.A.E. Cuerpo Oficial Bomberos de Bogotá", Otro Si No. 01 de 2025.</t>
  </si>
  <si>
    <t>Adición y prórroga del contrato No. 690 de 2025 cuyo objeto es "Contratar la modernización integral tecnológica, soporte y mantenimiento preventivo y correctivo con repuestos, para los sistemas de video vigilancia de la U.A.E. Cuerpo Oficial de Bomberos de Bogotá - TIC."</t>
  </si>
  <si>
    <t>0</t>
  </si>
  <si>
    <t>80111600</t>
  </si>
  <si>
    <t>Fecha de elaboracion: 26/02/2026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</si>
</sst>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_-* #,##0_-;\-* #,##0_-;_-* &quot;-&quot;??_-;_-@_-"/>
    <numFmt numFmtId="165" formatCode="_-&quot;$&quot;\ * #,##0_-;\-&quot;$&quot;\ * #,##0_-;_-&quot;$&quot;\ * &quot;-&quot;??_-;_-@_-"/>
    <numFmt numFmtId="166" formatCode="_-[$$-240A]\ * #,##0_-;\-[$$-240A]\ * #,##0_-;_-[$$-240A]\ * &quot;-&quot;??_-;_-@_-"/>
  </numFmts>
  <fonts count="25" x14ac:knownFonts="1">
    <font>
      <sz val="11"/>
      <color theme="1"/>
      <name val="Calibri"/>
      <family val="2"/>
      <scheme val="minor"/>
    </font>
    <font>
      <sz val="10"/>
      <name val="Arial"/>
      <family val="2"/>
    </font>
    <font>
      <sz val="11"/>
      <name val="Tahoma"/>
      <family val="2"/>
    </font>
    <font>
      <b/>
      <sz val="11"/>
      <name val="Tahoma"/>
      <family val="2"/>
    </font>
    <font>
      <sz val="11"/>
      <color theme="1"/>
      <name val="Calibri"/>
      <family val="2"/>
      <scheme val="minor"/>
    </font>
    <font>
      <b/>
      <sz val="11"/>
      <color theme="1"/>
      <name val="Calibri"/>
      <family val="2"/>
      <scheme val="minor"/>
    </font>
    <font>
      <b/>
      <i/>
      <sz val="11"/>
      <color theme="1"/>
      <name val="Calibri"/>
      <family val="2"/>
      <scheme val="minor"/>
    </font>
    <font>
      <sz val="12"/>
      <color theme="1"/>
      <name val="Tahoma"/>
      <family val="2"/>
    </font>
    <font>
      <sz val="11"/>
      <color theme="1"/>
      <name val="Open Sans"/>
      <family val="2"/>
    </font>
    <font>
      <b/>
      <sz val="12"/>
      <color theme="1"/>
      <name val="Tahoma"/>
      <family val="2"/>
    </font>
    <font>
      <b/>
      <sz val="11"/>
      <color theme="1"/>
      <name val="Open Sans"/>
      <family val="2"/>
    </font>
    <font>
      <sz val="11"/>
      <color theme="1"/>
      <name val="Tahoma"/>
      <family val="2"/>
    </font>
    <font>
      <sz val="11"/>
      <color rgb="FFFF0000"/>
      <name val="Tahoma"/>
      <family val="2"/>
    </font>
    <font>
      <b/>
      <sz val="11"/>
      <color rgb="FFFF0000"/>
      <name val="Tahoma"/>
      <family val="2"/>
    </font>
    <font>
      <b/>
      <sz val="12"/>
      <name val="Tahoma"/>
      <family val="2"/>
    </font>
    <font>
      <sz val="8"/>
      <name val="Calibri"/>
      <family val="2"/>
      <scheme val="minor"/>
    </font>
    <font>
      <b/>
      <sz val="12"/>
      <color theme="5" tint="-0.499984740745262"/>
      <name val="Tahoma"/>
      <family val="2"/>
    </font>
    <font>
      <sz val="12"/>
      <name val="Tahoma"/>
      <family val="2"/>
    </font>
    <font>
      <sz val="12"/>
      <color theme="1"/>
      <name val="Calibri"/>
      <family val="2"/>
      <scheme val="minor"/>
    </font>
    <font>
      <sz val="12"/>
      <color rgb="FFFF0000"/>
      <name val="Tahoma"/>
      <family val="2"/>
    </font>
    <font>
      <sz val="11"/>
      <color rgb="FFC00000"/>
      <name val="Tahoma"/>
      <family val="2"/>
    </font>
    <font>
      <b/>
      <sz val="11"/>
      <color theme="1"/>
      <name val="Tahoma"/>
      <family val="2"/>
    </font>
    <font>
      <b/>
      <sz val="11"/>
      <color theme="5" tint="-0.499984740745262"/>
      <name val="Tahoma"/>
      <family val="2"/>
    </font>
    <font>
      <u/>
      <sz val="11"/>
      <color theme="10"/>
      <name val="Calibri"/>
      <family val="2"/>
      <scheme val="minor"/>
    </font>
    <font>
      <b/>
      <sz val="14"/>
      <color theme="5" tint="-0.499984740745262"/>
      <name val="Tahoma"/>
      <family val="2"/>
    </font>
  </fonts>
  <fills count="8">
    <fill>
      <patternFill patternType="none"/>
    </fill>
    <fill>
      <patternFill patternType="gray125"/>
    </fill>
    <fill>
      <patternFill patternType="solid">
        <fgColor theme="7" tint="0.59999389629810485"/>
        <bgColor indexed="64"/>
      </patternFill>
    </fill>
    <fill>
      <patternFill patternType="solid">
        <fgColor rgb="FFCCECFF"/>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5"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theme="4" tint="0.39997558519241921"/>
      </top>
      <bottom/>
      <diagonal/>
    </border>
  </borders>
  <cellStyleXfs count="8">
    <xf numFmtId="0" fontId="0" fillId="0" borderId="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1" fillId="0" borderId="0"/>
    <xf numFmtId="0" fontId="1" fillId="0" borderId="0"/>
    <xf numFmtId="0" fontId="23" fillId="0" borderId="0" applyNumberFormat="0" applyFill="0" applyBorder="0" applyAlignment="0" applyProtection="0"/>
  </cellStyleXfs>
  <cellXfs count="239">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4" fontId="4" fillId="0" borderId="1" xfId="2" applyNumberFormat="1" applyFont="1" applyBorder="1"/>
    <xf numFmtId="43" fontId="4" fillId="0" borderId="0" xfId="2" applyFont="1"/>
    <xf numFmtId="43" fontId="4" fillId="0" borderId="1" xfId="2" applyFont="1" applyBorder="1"/>
    <xf numFmtId="43" fontId="5" fillId="0" borderId="1" xfId="2" applyFont="1" applyBorder="1"/>
    <xf numFmtId="164" fontId="5" fillId="0" borderId="1" xfId="2" applyNumberFormat="1" applyFont="1" applyBorder="1"/>
    <xf numFmtId="0" fontId="5" fillId="0" borderId="1" xfId="0" applyFont="1" applyBorder="1" applyAlignment="1">
      <alignment horizontal="center"/>
    </xf>
    <xf numFmtId="0" fontId="0" fillId="0" borderId="0" xfId="0" applyAlignment="1">
      <alignment horizontal="center"/>
    </xf>
    <xf numFmtId="1" fontId="5" fillId="0" borderId="1" xfId="2" applyNumberFormat="1" applyFont="1" applyBorder="1" applyAlignment="1">
      <alignment horizontal="center"/>
    </xf>
    <xf numFmtId="43" fontId="5" fillId="0" borderId="0" xfId="2" applyFont="1"/>
    <xf numFmtId="43" fontId="5" fillId="0" borderId="1" xfId="2" applyFont="1" applyBorder="1" applyAlignment="1">
      <alignment horizontal="center"/>
    </xf>
    <xf numFmtId="43" fontId="6" fillId="0" borderId="0" xfId="2" applyFont="1" applyAlignment="1"/>
    <xf numFmtId="0" fontId="7" fillId="0" borderId="0" xfId="0" applyFont="1"/>
    <xf numFmtId="0" fontId="7" fillId="0" borderId="0" xfId="0" applyFont="1" applyAlignment="1">
      <alignment horizontal="center"/>
    </xf>
    <xf numFmtId="0" fontId="7" fillId="0" borderId="0" xfId="0" applyFont="1" applyAlignment="1">
      <alignment horizontal="left"/>
    </xf>
    <xf numFmtId="0" fontId="9" fillId="0" borderId="0" xfId="0" applyFont="1"/>
    <xf numFmtId="0" fontId="0" fillId="0" borderId="0" xfId="0" applyAlignment="1">
      <alignment vertical="center"/>
    </xf>
    <xf numFmtId="0" fontId="8" fillId="0" borderId="0" xfId="0" applyFont="1" applyAlignment="1">
      <alignment horizontal="center" vertical="center"/>
    </xf>
    <xf numFmtId="0" fontId="10" fillId="0" borderId="0" xfId="0" applyFont="1" applyAlignment="1">
      <alignment horizontal="center" vertical="center"/>
    </xf>
    <xf numFmtId="0" fontId="8" fillId="0" borderId="0" xfId="0" applyFont="1" applyAlignment="1">
      <alignment vertical="center"/>
    </xf>
    <xf numFmtId="0" fontId="2" fillId="0" borderId="1" xfId="2" applyNumberFormat="1" applyFont="1" applyFill="1" applyBorder="1" applyAlignment="1" applyProtection="1">
      <alignment horizontal="center" vertical="center" wrapText="1"/>
      <protection locked="0"/>
    </xf>
    <xf numFmtId="0" fontId="10" fillId="0" borderId="1" xfId="0" applyFont="1" applyBorder="1" applyAlignment="1">
      <alignment horizontal="center" vertical="center"/>
    </xf>
    <xf numFmtId="0" fontId="8" fillId="0" borderId="1" xfId="0" applyFont="1" applyBorder="1" applyAlignment="1">
      <alignment vertical="center" wrapText="1"/>
    </xf>
    <xf numFmtId="0" fontId="8" fillId="0" borderId="1" xfId="0" applyFont="1" applyBorder="1" applyAlignment="1">
      <alignment horizontal="center" vertical="center"/>
    </xf>
    <xf numFmtId="0" fontId="8" fillId="0" borderId="1" xfId="0" applyFont="1" applyBorder="1" applyAlignment="1">
      <alignment vertical="center"/>
    </xf>
    <xf numFmtId="164" fontId="8" fillId="0" borderId="0" xfId="2" applyNumberFormat="1" applyFont="1" applyAlignment="1">
      <alignment vertical="center"/>
    </xf>
    <xf numFmtId="164" fontId="10" fillId="0" borderId="1" xfId="2" applyNumberFormat="1" applyFont="1" applyBorder="1" applyAlignment="1">
      <alignment horizontal="center" vertical="center"/>
    </xf>
    <xf numFmtId="164" fontId="8" fillId="0" borderId="1" xfId="2" applyNumberFormat="1" applyFont="1" applyBorder="1" applyAlignment="1">
      <alignment vertical="center"/>
    </xf>
    <xf numFmtId="164" fontId="10" fillId="0" borderId="1" xfId="2" applyNumberFormat="1" applyFont="1" applyBorder="1" applyAlignment="1">
      <alignment vertical="center"/>
    </xf>
    <xf numFmtId="164" fontId="10" fillId="0" borderId="0" xfId="2" applyNumberFormat="1" applyFont="1" applyAlignment="1">
      <alignment horizontal="center" vertical="center"/>
    </xf>
    <xf numFmtId="0" fontId="10" fillId="0" borderId="1" xfId="0" applyFont="1" applyBorder="1" applyAlignment="1">
      <alignment horizontal="center" vertical="center" wrapText="1"/>
    </xf>
    <xf numFmtId="43" fontId="11" fillId="0" borderId="0" xfId="2" applyFont="1" applyAlignment="1" applyProtection="1">
      <alignment vertical="center"/>
      <protection locked="0"/>
    </xf>
    <xf numFmtId="0" fontId="11" fillId="0" borderId="0" xfId="0" applyFont="1" applyAlignment="1" applyProtection="1">
      <alignment vertical="center"/>
      <protection locked="0"/>
    </xf>
    <xf numFmtId="164" fontId="11" fillId="0" borderId="0" xfId="2" applyNumberFormat="1" applyFont="1" applyAlignment="1" applyProtection="1">
      <alignment vertical="center"/>
      <protection locked="0"/>
    </xf>
    <xf numFmtId="0" fontId="11" fillId="0" borderId="0" xfId="0" applyFont="1" applyAlignment="1">
      <alignment vertical="center"/>
    </xf>
    <xf numFmtId="0" fontId="10" fillId="0" borderId="0" xfId="0" applyFont="1"/>
    <xf numFmtId="0" fontId="8" fillId="0" borderId="0" xfId="0" applyFont="1"/>
    <xf numFmtId="43" fontId="8" fillId="0" borderId="0" xfId="2" applyFont="1"/>
    <xf numFmtId="43" fontId="8" fillId="0" borderId="0" xfId="0" applyNumberFormat="1" applyFont="1"/>
    <xf numFmtId="0" fontId="8" fillId="0" borderId="1" xfId="0" applyFont="1" applyBorder="1"/>
    <xf numFmtId="43" fontId="8" fillId="0" borderId="1" xfId="2" applyFont="1" applyBorder="1"/>
    <xf numFmtId="43" fontId="10" fillId="0" borderId="0" xfId="2" applyFont="1"/>
    <xf numFmtId="43" fontId="8" fillId="0" borderId="1" xfId="0" applyNumberFormat="1" applyFont="1" applyBorder="1"/>
    <xf numFmtId="43" fontId="10" fillId="0" borderId="1" xfId="2" applyFont="1" applyBorder="1"/>
    <xf numFmtId="43" fontId="10" fillId="0" borderId="1" xfId="2" applyFont="1" applyBorder="1" applyAlignment="1">
      <alignment horizontal="center" vertical="center"/>
    </xf>
    <xf numFmtId="164" fontId="8" fillId="3" borderId="1" xfId="2" applyNumberFormat="1" applyFont="1" applyFill="1" applyBorder="1" applyAlignment="1">
      <alignment vertical="center"/>
    </xf>
    <xf numFmtId="0" fontId="8" fillId="3" borderId="1" xfId="0" applyFont="1" applyFill="1" applyBorder="1" applyAlignment="1">
      <alignment vertical="center" wrapText="1"/>
    </xf>
    <xf numFmtId="0" fontId="8" fillId="3" borderId="1" xfId="0" applyFont="1" applyFill="1" applyBorder="1" applyAlignment="1">
      <alignment horizontal="center" vertical="center"/>
    </xf>
    <xf numFmtId="0" fontId="5" fillId="0" borderId="0" xfId="0" applyFont="1" applyAlignment="1">
      <alignment horizontal="center" vertical="center"/>
    </xf>
    <xf numFmtId="43" fontId="8" fillId="0" borderId="1" xfId="2" applyFont="1" applyFill="1" applyBorder="1"/>
    <xf numFmtId="1" fontId="2" fillId="0" borderId="1" xfId="4" applyNumberFormat="1" applyFont="1" applyFill="1" applyBorder="1" applyAlignment="1" applyProtection="1">
      <alignment horizontal="center" vertical="center" wrapText="1"/>
      <protection locked="0"/>
    </xf>
    <xf numFmtId="43" fontId="11" fillId="0" borderId="0" xfId="2" applyFont="1" applyFill="1" applyAlignment="1" applyProtection="1">
      <alignment vertical="center"/>
      <protection locked="0"/>
    </xf>
    <xf numFmtId="164" fontId="11" fillId="0" borderId="0" xfId="2" applyNumberFormat="1" applyFont="1" applyFill="1" applyAlignment="1" applyProtection="1">
      <alignment vertical="center"/>
      <protection locked="0"/>
    </xf>
    <xf numFmtId="0" fontId="12" fillId="0" borderId="0" xfId="0" applyFont="1" applyAlignment="1" applyProtection="1">
      <alignment vertical="center"/>
      <protection locked="0"/>
    </xf>
    <xf numFmtId="0" fontId="0" fillId="0" borderId="0" xfId="0" pivotButton="1"/>
    <xf numFmtId="164" fontId="0" fillId="0" borderId="0" xfId="0" applyNumberFormat="1"/>
    <xf numFmtId="37" fontId="14" fillId="0" borderId="0" xfId="0" applyNumberFormat="1" applyFont="1" applyAlignment="1" applyProtection="1">
      <alignment horizontal="center" vertical="center"/>
      <protection locked="0"/>
    </xf>
    <xf numFmtId="0" fontId="16" fillId="0" borderId="0" xfId="0" applyFont="1" applyAlignment="1" applyProtection="1">
      <alignment horizontal="right" vertical="center"/>
      <protection locked="0"/>
    </xf>
    <xf numFmtId="0" fontId="16" fillId="0" borderId="0" xfId="0" applyFont="1" applyAlignment="1" applyProtection="1">
      <alignment horizontal="center" vertical="center"/>
      <protection locked="0"/>
    </xf>
    <xf numFmtId="0" fontId="17" fillId="0" borderId="0" xfId="0" applyFont="1" applyAlignment="1">
      <alignment vertical="center" wrapText="1"/>
    </xf>
    <xf numFmtId="164" fontId="16" fillId="0" borderId="0" xfId="0" applyNumberFormat="1" applyFont="1" applyAlignment="1">
      <alignment horizontal="center" vertical="center"/>
    </xf>
    <xf numFmtId="37" fontId="14" fillId="0" borderId="0" xfId="0" applyNumberFormat="1" applyFont="1" applyAlignment="1">
      <alignment vertical="center" wrapText="1"/>
    </xf>
    <xf numFmtId="0" fontId="17" fillId="0" borderId="0" xfId="0" applyFont="1" applyAlignment="1" applyProtection="1">
      <alignment vertical="center" wrapText="1"/>
      <protection locked="0"/>
    </xf>
    <xf numFmtId="0" fontId="16" fillId="0" borderId="0" xfId="0" applyFont="1" applyAlignment="1">
      <alignment horizontal="right" vertical="center"/>
    </xf>
    <xf numFmtId="164" fontId="18" fillId="2" borderId="0" xfId="2" applyNumberFormat="1" applyFont="1" applyFill="1" applyAlignment="1" applyProtection="1">
      <alignment horizontal="center" vertical="center" wrapText="1"/>
    </xf>
    <xf numFmtId="164" fontId="14" fillId="0" borderId="0" xfId="2" applyNumberFormat="1" applyFont="1" applyFill="1" applyAlignment="1" applyProtection="1">
      <alignment horizontal="center" vertical="center" wrapText="1"/>
    </xf>
    <xf numFmtId="164" fontId="18" fillId="0" borderId="0" xfId="2" applyNumberFormat="1" applyFont="1" applyFill="1" applyAlignment="1" applyProtection="1">
      <alignment horizontal="center" vertical="center" wrapText="1"/>
      <protection locked="0"/>
    </xf>
    <xf numFmtId="37" fontId="14" fillId="0" borderId="0" xfId="0" applyNumberFormat="1" applyFont="1" applyAlignment="1" applyProtection="1">
      <alignment horizontal="center" vertical="center" wrapText="1"/>
      <protection locked="0"/>
    </xf>
    <xf numFmtId="37" fontId="14" fillId="0" borderId="0" xfId="0" applyNumberFormat="1" applyFont="1" applyAlignment="1">
      <alignment horizontal="center" vertical="center" wrapText="1"/>
    </xf>
    <xf numFmtId="0" fontId="17" fillId="0" borderId="0" xfId="0" applyFont="1" applyAlignment="1" applyProtection="1">
      <alignment horizontal="center" vertical="center" wrapText="1"/>
      <protection locked="0"/>
    </xf>
    <xf numFmtId="37" fontId="14" fillId="0" borderId="0" xfId="0" applyNumberFormat="1" applyFont="1" applyAlignment="1" applyProtection="1">
      <alignment vertical="center" wrapText="1"/>
      <protection locked="0"/>
    </xf>
    <xf numFmtId="0" fontId="19" fillId="0" borderId="0" xfId="0" applyFont="1" applyAlignment="1" applyProtection="1">
      <alignment vertical="center" wrapText="1"/>
      <protection locked="0"/>
    </xf>
    <xf numFmtId="0" fontId="18" fillId="0" borderId="0" xfId="0" applyFont="1"/>
    <xf numFmtId="43" fontId="18" fillId="0" borderId="0" xfId="2" applyFont="1"/>
    <xf numFmtId="43" fontId="19" fillId="0" borderId="0" xfId="0" applyNumberFormat="1" applyFont="1" applyAlignment="1" applyProtection="1">
      <alignment vertical="center" wrapText="1"/>
      <protection locked="0"/>
    </xf>
    <xf numFmtId="43" fontId="17" fillId="0" borderId="0" xfId="2" applyFont="1" applyAlignment="1" applyProtection="1">
      <alignment vertical="center" wrapText="1"/>
      <protection locked="0"/>
    </xf>
    <xf numFmtId="43" fontId="17" fillId="0" borderId="0" xfId="2" applyFont="1" applyFill="1" applyAlignment="1" applyProtection="1">
      <alignment vertical="center" wrapText="1"/>
      <protection locked="0"/>
    </xf>
    <xf numFmtId="43" fontId="18" fillId="0" borderId="0" xfId="2" applyFont="1" applyFill="1"/>
    <xf numFmtId="37" fontId="14" fillId="0" borderId="0" xfId="0" applyNumberFormat="1" applyFont="1" applyAlignment="1" applyProtection="1">
      <alignment vertical="center"/>
      <protection locked="0"/>
    </xf>
    <xf numFmtId="164" fontId="14" fillId="0" borderId="0" xfId="2" applyNumberFormat="1" applyFont="1" applyFill="1" applyBorder="1" applyAlignment="1" applyProtection="1">
      <alignment horizontal="center" vertical="center" wrapText="1"/>
      <protection locked="0"/>
    </xf>
    <xf numFmtId="164" fontId="7" fillId="0" borderId="0" xfId="2" applyNumberFormat="1" applyFont="1" applyFill="1" applyBorder="1" applyAlignment="1" applyProtection="1">
      <alignment horizontal="center" vertical="center" wrapText="1"/>
    </xf>
    <xf numFmtId="0" fontId="7" fillId="0" borderId="0" xfId="0" applyFont="1" applyAlignment="1" applyProtection="1">
      <alignment vertical="center" wrapText="1"/>
      <protection locked="0"/>
    </xf>
    <xf numFmtId="165" fontId="7" fillId="0" borderId="0" xfId="4" applyNumberFormat="1" applyFont="1" applyFill="1" applyBorder="1" applyAlignment="1" applyProtection="1">
      <alignment horizontal="center" vertical="center" wrapText="1"/>
      <protection locked="0"/>
    </xf>
    <xf numFmtId="165" fontId="7" fillId="0" borderId="0" xfId="4" applyNumberFormat="1" applyFont="1" applyFill="1" applyBorder="1" applyAlignment="1" applyProtection="1">
      <alignment horizontal="center" vertical="center" wrapText="1"/>
    </xf>
    <xf numFmtId="165" fontId="17" fillId="0" borderId="0" xfId="0" applyNumberFormat="1" applyFont="1" applyAlignment="1" applyProtection="1">
      <alignment vertical="center" wrapText="1"/>
      <protection locked="0"/>
    </xf>
    <xf numFmtId="166" fontId="2" fillId="0" borderId="1" xfId="2" applyNumberFormat="1" applyFont="1" applyFill="1" applyBorder="1" applyAlignment="1" applyProtection="1">
      <alignment horizontal="center" vertical="center" wrapText="1"/>
      <protection locked="0"/>
    </xf>
    <xf numFmtId="49" fontId="7" fillId="0" borderId="0" xfId="0" applyNumberFormat="1" applyFont="1"/>
    <xf numFmtId="0" fontId="17" fillId="0" borderId="1" xfId="5" applyFont="1" applyBorder="1" applyAlignment="1" applyProtection="1">
      <alignment horizontal="center" vertical="center" wrapText="1"/>
      <protection locked="0"/>
    </xf>
    <xf numFmtId="1" fontId="14" fillId="0" borderId="1" xfId="0" applyNumberFormat="1" applyFont="1" applyBorder="1" applyAlignment="1" applyProtection="1">
      <alignment horizontal="center" vertical="center" wrapText="1"/>
      <protection locked="0"/>
    </xf>
    <xf numFmtId="0" fontId="14" fillId="0" borderId="1" xfId="0" applyFont="1" applyBorder="1" applyAlignment="1">
      <alignment horizontal="center" vertical="center" wrapText="1"/>
    </xf>
    <xf numFmtId="0" fontId="14" fillId="0" borderId="0" xfId="0" applyFont="1" applyAlignment="1">
      <alignment horizontal="center" vertical="center" wrapText="1"/>
    </xf>
    <xf numFmtId="0" fontId="14" fillId="0" borderId="1" xfId="5" applyFont="1" applyBorder="1" applyAlignment="1">
      <alignment horizontal="center" vertical="center" wrapText="1"/>
    </xf>
    <xf numFmtId="164" fontId="17" fillId="0" borderId="0" xfId="0" applyNumberFormat="1" applyFont="1" applyAlignment="1" applyProtection="1">
      <alignment horizontal="center" vertical="center" wrapText="1"/>
      <protection locked="0"/>
    </xf>
    <xf numFmtId="164" fontId="17" fillId="0" borderId="0" xfId="2" applyNumberFormat="1" applyFont="1" applyAlignment="1" applyProtection="1">
      <alignment vertical="center" wrapText="1"/>
      <protection locked="0"/>
    </xf>
    <xf numFmtId="164" fontId="0" fillId="2" borderId="0" xfId="2" applyNumberFormat="1" applyFont="1" applyFill="1" applyAlignment="1" applyProtection="1">
      <alignment horizontal="center" vertical="center" wrapText="1"/>
    </xf>
    <xf numFmtId="164" fontId="0" fillId="2" borderId="0" xfId="2" applyNumberFormat="1" applyFont="1" applyFill="1" applyAlignment="1" applyProtection="1">
      <alignment horizontal="center" vertical="center" wrapText="1"/>
      <protection locked="0"/>
    </xf>
    <xf numFmtId="0" fontId="11" fillId="0" borderId="1" xfId="2" applyNumberFormat="1" applyFont="1" applyFill="1" applyBorder="1" applyAlignment="1" applyProtection="1">
      <alignment horizontal="center" vertical="center" wrapText="1"/>
      <protection locked="0"/>
    </xf>
    <xf numFmtId="1" fontId="11" fillId="0" borderId="1" xfId="1" applyNumberFormat="1" applyFont="1" applyFill="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43" fontId="7" fillId="0" borderId="0" xfId="2" applyFont="1" applyAlignment="1" applyProtection="1">
      <alignment vertical="center" wrapText="1"/>
      <protection locked="0"/>
    </xf>
    <xf numFmtId="0" fontId="3" fillId="0" borderId="0" xfId="0" applyFont="1" applyAlignment="1" applyProtection="1">
      <alignment vertical="center" wrapText="1"/>
      <protection locked="0"/>
    </xf>
    <xf numFmtId="0" fontId="3" fillId="4" borderId="1" xfId="2" applyNumberFormat="1" applyFont="1" applyFill="1" applyBorder="1" applyAlignment="1" applyProtection="1">
      <alignment horizontal="center" vertical="center" wrapText="1"/>
      <protection locked="0"/>
    </xf>
    <xf numFmtId="1" fontId="21" fillId="4" borderId="1" xfId="0" applyNumberFormat="1" applyFont="1" applyFill="1" applyBorder="1" applyAlignment="1" applyProtection="1">
      <alignment horizontal="center" vertical="center" wrapText="1"/>
      <protection locked="0"/>
    </xf>
    <xf numFmtId="1" fontId="3" fillId="4" borderId="1" xfId="0" applyNumberFormat="1" applyFont="1" applyFill="1" applyBorder="1" applyAlignment="1" applyProtection="1">
      <alignment horizontal="center" vertical="center" wrapText="1"/>
      <protection locked="0"/>
    </xf>
    <xf numFmtId="14" fontId="3" fillId="4" borderId="1" xfId="0" applyNumberFormat="1" applyFont="1" applyFill="1" applyBorder="1" applyAlignment="1" applyProtection="1">
      <alignment horizontal="center" vertical="center" wrapText="1"/>
      <protection locked="0"/>
    </xf>
    <xf numFmtId="164" fontId="3" fillId="4" borderId="1" xfId="0" applyNumberFormat="1" applyFont="1" applyFill="1" applyBorder="1" applyAlignment="1" applyProtection="1">
      <alignment horizontal="center" vertical="center" wrapText="1"/>
      <protection locked="0"/>
    </xf>
    <xf numFmtId="164" fontId="3" fillId="4" borderId="1" xfId="2" applyNumberFormat="1" applyFont="1" applyFill="1" applyBorder="1" applyAlignment="1" applyProtection="1">
      <alignment horizontal="center" vertical="center" wrapText="1"/>
      <protection locked="0"/>
    </xf>
    <xf numFmtId="0" fontId="3" fillId="4" borderId="1" xfId="5"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14" fontId="3" fillId="4" borderId="1" xfId="4" applyNumberFormat="1" applyFont="1" applyFill="1" applyBorder="1" applyAlignment="1" applyProtection="1">
      <alignment horizontal="center" vertical="center" wrapText="1"/>
      <protection locked="0"/>
    </xf>
    <xf numFmtId="0" fontId="3" fillId="4" borderId="1" xfId="0" applyFont="1" applyFill="1" applyBorder="1" applyAlignment="1">
      <alignment horizontal="center" vertical="center" wrapText="1"/>
    </xf>
    <xf numFmtId="0" fontId="13" fillId="4" borderId="1" xfId="0" applyFont="1" applyFill="1" applyBorder="1" applyAlignment="1" applyProtection="1">
      <alignment horizontal="center" vertical="center" wrapText="1"/>
      <protection locked="0"/>
    </xf>
    <xf numFmtId="0" fontId="3" fillId="4" borderId="5" xfId="0" applyFont="1" applyFill="1" applyBorder="1" applyAlignment="1" applyProtection="1">
      <alignment horizontal="center" vertical="center" wrapText="1"/>
      <protection locked="0"/>
    </xf>
    <xf numFmtId="0" fontId="7" fillId="0" borderId="0" xfId="0" applyFont="1" applyAlignment="1">
      <alignment vertical="center" wrapText="1"/>
    </xf>
    <xf numFmtId="14" fontId="21" fillId="4" borderId="1" xfId="0" applyNumberFormat="1" applyFont="1" applyFill="1" applyBorder="1" applyAlignment="1" applyProtection="1">
      <alignment horizontal="center" vertical="center" wrapText="1"/>
      <protection locked="0"/>
    </xf>
    <xf numFmtId="164" fontId="11" fillId="0" borderId="1" xfId="2" applyNumberFormat="1" applyFont="1" applyFill="1" applyBorder="1" applyAlignment="1" applyProtection="1">
      <alignment horizontal="center" vertical="center" wrapText="1"/>
      <protection locked="0"/>
    </xf>
    <xf numFmtId="43" fontId="7" fillId="0" borderId="0" xfId="2" applyFont="1" applyFill="1" applyAlignment="1" applyProtection="1">
      <alignment vertical="center" wrapText="1"/>
      <protection locked="0"/>
    </xf>
    <xf numFmtId="0" fontId="21" fillId="4" borderId="1" xfId="2" applyNumberFormat="1" applyFont="1" applyFill="1" applyBorder="1" applyAlignment="1" applyProtection="1">
      <alignment horizontal="center" vertical="center" wrapText="1"/>
      <protection locked="0"/>
    </xf>
    <xf numFmtId="0" fontId="11" fillId="0" borderId="3" xfId="2" applyNumberFormat="1" applyFont="1" applyFill="1" applyBorder="1" applyAlignment="1" applyProtection="1">
      <alignment horizontal="center" vertical="center" wrapText="1"/>
      <protection locked="0"/>
    </xf>
    <xf numFmtId="16" fontId="7" fillId="0" borderId="0" xfId="0" applyNumberFormat="1" applyFont="1"/>
    <xf numFmtId="0" fontId="16" fillId="0" borderId="0" xfId="0" applyFont="1" applyAlignment="1">
      <alignment horizontal="left" vertical="center"/>
    </xf>
    <xf numFmtId="164" fontId="0" fillId="0" borderId="0" xfId="2" applyNumberFormat="1" applyFont="1"/>
    <xf numFmtId="164" fontId="0" fillId="0" borderId="0" xfId="0" pivotButton="1" applyNumberFormat="1"/>
    <xf numFmtId="166" fontId="11" fillId="0" borderId="1" xfId="2" applyNumberFormat="1" applyFont="1" applyFill="1" applyBorder="1" applyAlignment="1" applyProtection="1">
      <alignment horizontal="center" vertical="center" wrapText="1"/>
      <protection locked="0"/>
    </xf>
    <xf numFmtId="164" fontId="2" fillId="0" borderId="1" xfId="2" applyNumberFormat="1" applyFont="1" applyFill="1" applyBorder="1" applyAlignment="1" applyProtection="1">
      <alignment horizontal="center" vertical="center" wrapText="1"/>
      <protection locked="0"/>
    </xf>
    <xf numFmtId="1" fontId="11" fillId="0" borderId="1" xfId="4" applyNumberFormat="1" applyFont="1" applyFill="1" applyBorder="1" applyAlignment="1" applyProtection="1">
      <alignment horizontal="center" vertical="center" wrapText="1"/>
      <protection locked="0"/>
    </xf>
    <xf numFmtId="43" fontId="11" fillId="0" borderId="1" xfId="2" applyFont="1" applyFill="1" applyBorder="1" applyAlignment="1" applyProtection="1">
      <alignment horizontal="center" vertical="center" wrapText="1"/>
      <protection locked="0"/>
    </xf>
    <xf numFmtId="0" fontId="2" fillId="0" borderId="3" xfId="2" applyNumberFormat="1" applyFont="1" applyFill="1" applyBorder="1" applyAlignment="1" applyProtection="1">
      <alignment horizontal="center" vertical="center" wrapText="1"/>
      <protection locked="0"/>
    </xf>
    <xf numFmtId="43" fontId="11" fillId="0" borderId="3" xfId="2" applyFont="1" applyFill="1" applyBorder="1" applyAlignment="1" applyProtection="1">
      <alignment horizontal="center" vertical="center" wrapText="1"/>
      <protection locked="0"/>
    </xf>
    <xf numFmtId="164" fontId="2" fillId="0" borderId="3" xfId="2" applyNumberFormat="1" applyFont="1" applyFill="1" applyBorder="1" applyAlignment="1" applyProtection="1">
      <alignment horizontal="center" vertical="center" wrapText="1"/>
      <protection locked="0"/>
    </xf>
    <xf numFmtId="166" fontId="2" fillId="0" borderId="3" xfId="2" applyNumberFormat="1" applyFont="1" applyFill="1" applyBorder="1" applyAlignment="1" applyProtection="1">
      <alignment horizontal="center" vertical="center" wrapText="1"/>
      <protection locked="0"/>
    </xf>
    <xf numFmtId="1" fontId="2" fillId="0" borderId="3" xfId="4" applyNumberFormat="1" applyFont="1" applyFill="1" applyBorder="1" applyAlignment="1" applyProtection="1">
      <alignment horizontal="center" vertical="center" wrapText="1"/>
      <protection locked="0"/>
    </xf>
    <xf numFmtId="164" fontId="11" fillId="0" borderId="3" xfId="2" applyNumberFormat="1" applyFont="1" applyFill="1" applyBorder="1" applyAlignment="1" applyProtection="1">
      <alignment horizontal="center" vertical="center" wrapText="1"/>
      <protection locked="0"/>
    </xf>
    <xf numFmtId="1" fontId="2" fillId="0" borderId="1" xfId="2" applyNumberFormat="1" applyFont="1" applyFill="1" applyBorder="1" applyAlignment="1" applyProtection="1">
      <alignment horizontal="center" vertical="center" wrapText="1"/>
      <protection locked="0"/>
    </xf>
    <xf numFmtId="1" fontId="2" fillId="0" borderId="3" xfId="2" applyNumberFormat="1" applyFont="1" applyFill="1" applyBorder="1" applyAlignment="1" applyProtection="1">
      <alignment horizontal="center" vertical="center" wrapText="1"/>
      <protection locked="0"/>
    </xf>
    <xf numFmtId="1" fontId="11" fillId="0" borderId="0" xfId="2" applyNumberFormat="1" applyFont="1" applyAlignment="1" applyProtection="1">
      <alignment vertical="center"/>
      <protection locked="0"/>
    </xf>
    <xf numFmtId="1" fontId="17" fillId="0" borderId="0" xfId="0" applyNumberFormat="1" applyFont="1" applyAlignment="1" applyProtection="1">
      <alignment horizontal="center" vertical="center" wrapText="1"/>
      <protection locked="0"/>
    </xf>
    <xf numFmtId="1" fontId="17" fillId="0" borderId="0" xfId="2" applyNumberFormat="1" applyFont="1" applyAlignment="1" applyProtection="1">
      <alignment vertical="center" wrapText="1"/>
      <protection locked="0"/>
    </xf>
    <xf numFmtId="1" fontId="11" fillId="0" borderId="0" xfId="2" applyNumberFormat="1" applyFont="1" applyFill="1" applyAlignment="1" applyProtection="1">
      <alignment vertical="center"/>
      <protection locked="0"/>
    </xf>
    <xf numFmtId="0" fontId="2" fillId="0" borderId="9" xfId="2" applyNumberFormat="1" applyFont="1" applyFill="1" applyBorder="1" applyAlignment="1" applyProtection="1">
      <alignment horizontal="center" vertical="center" wrapText="1"/>
      <protection locked="0"/>
    </xf>
    <xf numFmtId="164" fontId="5" fillId="5" borderId="10" xfId="0" applyNumberFormat="1" applyFont="1" applyFill="1" applyBorder="1"/>
    <xf numFmtId="164" fontId="17" fillId="0" borderId="0" xfId="0" applyNumberFormat="1" applyFont="1" applyAlignment="1" applyProtection="1">
      <alignment vertical="center" wrapText="1"/>
      <protection locked="0"/>
    </xf>
    <xf numFmtId="0" fontId="2" fillId="0" borderId="0" xfId="0" applyFont="1" applyAlignment="1" applyProtection="1">
      <alignment vertical="center" wrapText="1"/>
      <protection locked="0"/>
    </xf>
    <xf numFmtId="0" fontId="11" fillId="0" borderId="1" xfId="2" applyNumberFormat="1" applyFont="1" applyFill="1" applyBorder="1" applyAlignment="1" applyProtection="1">
      <alignment horizontal="center" wrapText="1"/>
      <protection locked="0"/>
    </xf>
    <xf numFmtId="0" fontId="24" fillId="0" borderId="0" xfId="0" applyFont="1" applyAlignment="1" applyProtection="1">
      <alignment horizontal="right" vertical="center"/>
      <protection locked="0"/>
    </xf>
    <xf numFmtId="0" fontId="24" fillId="0" borderId="0" xfId="0" applyFont="1" applyAlignment="1" applyProtection="1">
      <alignment horizontal="center" vertical="center"/>
      <protection locked="0"/>
    </xf>
    <xf numFmtId="0" fontId="2" fillId="0" borderId="7" xfId="2" applyNumberFormat="1" applyFont="1" applyFill="1" applyBorder="1" applyAlignment="1" applyProtection="1">
      <alignment horizontal="center" vertical="center" wrapText="1"/>
      <protection locked="0"/>
    </xf>
    <xf numFmtId="164" fontId="2" fillId="0" borderId="7" xfId="2" applyNumberFormat="1" applyFont="1" applyFill="1" applyBorder="1" applyAlignment="1" applyProtection="1">
      <alignment horizontal="center" vertical="center" wrapText="1"/>
      <protection locked="0"/>
    </xf>
    <xf numFmtId="0" fontId="11" fillId="0" borderId="1" xfId="7" applyFont="1" applyFill="1" applyBorder="1" applyAlignment="1" applyProtection="1">
      <alignment horizontal="center" vertical="center" wrapText="1"/>
      <protection locked="0"/>
    </xf>
    <xf numFmtId="0" fontId="2" fillId="0" borderId="1" xfId="7" applyFont="1" applyFill="1" applyBorder="1" applyAlignment="1" applyProtection="1">
      <alignment horizontal="center" vertical="center" wrapText="1"/>
      <protection locked="0"/>
    </xf>
    <xf numFmtId="1" fontId="11" fillId="0" borderId="1" xfId="2" applyNumberFormat="1" applyFont="1" applyFill="1" applyBorder="1" applyAlignment="1" applyProtection="1">
      <alignment horizontal="center" vertical="center" wrapText="1"/>
      <protection locked="0"/>
    </xf>
    <xf numFmtId="43" fontId="0" fillId="0" borderId="0" xfId="2" applyFont="1"/>
    <xf numFmtId="0" fontId="11" fillId="0" borderId="9" xfId="2" applyNumberFormat="1" applyFont="1" applyFill="1" applyBorder="1" applyAlignment="1" applyProtection="1">
      <alignment horizontal="center" vertical="center" wrapText="1"/>
      <protection locked="0"/>
    </xf>
    <xf numFmtId="1" fontId="11" fillId="0" borderId="3" xfId="2" applyNumberFormat="1" applyFont="1" applyFill="1" applyBorder="1" applyAlignment="1" applyProtection="1">
      <alignment horizontal="center" vertical="center" wrapText="1"/>
      <protection locked="0"/>
    </xf>
    <xf numFmtId="166" fontId="11" fillId="0" borderId="3" xfId="2" applyNumberFormat="1" applyFont="1" applyFill="1" applyBorder="1" applyAlignment="1" applyProtection="1">
      <alignment horizontal="center" vertical="center" wrapText="1"/>
      <protection locked="0"/>
    </xf>
    <xf numFmtId="1" fontId="11" fillId="0" borderId="3" xfId="4" applyNumberFormat="1"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1" fontId="2" fillId="0" borderId="1" xfId="0" applyNumberFormat="1" applyFont="1" applyBorder="1" applyAlignment="1" applyProtection="1">
      <alignment horizontal="center" vertical="center" wrapText="1"/>
      <protection locked="0"/>
    </xf>
    <xf numFmtId="0" fontId="2" fillId="0" borderId="1" xfId="5" applyFont="1" applyBorder="1" applyAlignment="1" applyProtection="1">
      <alignment horizontal="center" vertical="center" wrapText="1"/>
      <protection locked="0"/>
    </xf>
    <xf numFmtId="0" fontId="2" fillId="0" borderId="1" xfId="5" applyFont="1" applyBorder="1" applyAlignment="1">
      <alignment horizontal="center" vertical="center" wrapText="1"/>
    </xf>
    <xf numFmtId="0" fontId="12" fillId="0" borderId="1" xfId="5" applyFont="1" applyBorder="1" applyAlignment="1" applyProtection="1">
      <alignment horizontal="center" vertical="center" wrapText="1"/>
      <protection locked="0"/>
    </xf>
    <xf numFmtId="0" fontId="2" fillId="0" borderId="1" xfId="0" applyFont="1" applyBorder="1" applyAlignment="1">
      <alignment vertical="center" wrapText="1"/>
    </xf>
    <xf numFmtId="0" fontId="11" fillId="0" borderId="1" xfId="5"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center" wrapText="1"/>
      <protection locked="0"/>
    </xf>
    <xf numFmtId="0" fontId="11" fillId="0" borderId="1" xfId="5" applyFont="1" applyBorder="1" applyAlignment="1">
      <alignment horizontal="center" vertical="center" wrapText="1"/>
    </xf>
    <xf numFmtId="0" fontId="11" fillId="0" borderId="1" xfId="0" applyFont="1" applyBorder="1" applyAlignment="1">
      <alignment vertical="center" wrapText="1"/>
    </xf>
    <xf numFmtId="0" fontId="2" fillId="0" borderId="6" xfId="5"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3" xfId="5" applyFont="1" applyBorder="1" applyAlignment="1" applyProtection="1">
      <alignment horizontal="center" vertical="center" wrapText="1"/>
      <protection locked="0"/>
    </xf>
    <xf numFmtId="0" fontId="2" fillId="0" borderId="3" xfId="5" applyFont="1" applyBorder="1" applyAlignment="1" applyProtection="1">
      <alignment horizontal="center" vertical="center" wrapText="1"/>
      <protection locked="0"/>
    </xf>
    <xf numFmtId="0" fontId="11" fillId="0" borderId="3" xfId="5" applyFont="1" applyBorder="1" applyAlignment="1">
      <alignment horizontal="center" vertical="center" wrapText="1"/>
    </xf>
    <xf numFmtId="0" fontId="12" fillId="0" borderId="3" xfId="5" applyFont="1" applyBorder="1" applyAlignment="1" applyProtection="1">
      <alignment horizontal="center" vertical="center" wrapText="1"/>
      <protection locked="0"/>
    </xf>
    <xf numFmtId="0" fontId="11" fillId="0" borderId="8" xfId="5"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3" xfId="5" applyFont="1" applyBorder="1" applyAlignment="1">
      <alignment horizontal="center" vertical="center" wrapText="1"/>
    </xf>
    <xf numFmtId="0" fontId="11" fillId="0" borderId="6" xfId="5" applyFont="1" applyBorder="1" applyAlignment="1" applyProtection="1">
      <alignment horizontal="center" vertical="center" wrapText="1"/>
      <protection locked="0"/>
    </xf>
    <xf numFmtId="0" fontId="2" fillId="0" borderId="8" xfId="5" applyFont="1" applyBorder="1" applyAlignment="1" applyProtection="1">
      <alignment horizontal="center" vertical="center" wrapText="1"/>
      <protection locked="0"/>
    </xf>
    <xf numFmtId="0" fontId="11" fillId="0" borderId="3" xfId="0" applyFont="1" applyBorder="1" applyAlignment="1" applyProtection="1">
      <alignment vertical="center" wrapText="1"/>
      <protection locked="0"/>
    </xf>
    <xf numFmtId="0" fontId="11" fillId="0" borderId="1" xfId="0" applyFont="1" applyBorder="1" applyAlignment="1" applyProtection="1">
      <alignment vertical="center" wrapText="1"/>
      <protection locked="0"/>
    </xf>
    <xf numFmtId="0" fontId="11" fillId="0" borderId="3" xfId="0" applyFont="1" applyBorder="1" applyAlignment="1" applyProtection="1">
      <alignment vertical="center"/>
      <protection locked="0"/>
    </xf>
    <xf numFmtId="0" fontId="2" fillId="7" borderId="1" xfId="2" applyNumberFormat="1" applyFont="1" applyFill="1" applyBorder="1" applyAlignment="1" applyProtection="1">
      <alignment horizontal="center" vertical="center" wrapText="1"/>
      <protection locked="0"/>
    </xf>
    <xf numFmtId="0" fontId="11" fillId="7" borderId="1" xfId="2" applyNumberFormat="1" applyFont="1" applyFill="1" applyBorder="1" applyAlignment="1" applyProtection="1">
      <alignment horizontal="center" vertical="center" wrapText="1"/>
      <protection locked="0"/>
    </xf>
    <xf numFmtId="0" fontId="2" fillId="7" borderId="1" xfId="0" applyFont="1" applyFill="1" applyBorder="1" applyAlignment="1" applyProtection="1">
      <alignment horizontal="center" vertical="center" wrapText="1"/>
      <protection locked="0"/>
    </xf>
    <xf numFmtId="0" fontId="11" fillId="7" borderId="1" xfId="0" applyFont="1" applyFill="1" applyBorder="1" applyAlignment="1" applyProtection="1">
      <alignment horizontal="center" vertical="center" wrapText="1"/>
      <protection locked="0"/>
    </xf>
    <xf numFmtId="1" fontId="2" fillId="7" borderId="1" xfId="0" applyNumberFormat="1" applyFont="1" applyFill="1" applyBorder="1" applyAlignment="1" applyProtection="1">
      <alignment horizontal="center" vertical="center" wrapText="1"/>
      <protection locked="0"/>
    </xf>
    <xf numFmtId="164" fontId="2" fillId="7" borderId="1" xfId="2" applyNumberFormat="1" applyFont="1" applyFill="1" applyBorder="1" applyAlignment="1" applyProtection="1">
      <alignment horizontal="center" vertical="center" wrapText="1"/>
      <protection locked="0"/>
    </xf>
    <xf numFmtId="166" fontId="2" fillId="7" borderId="1" xfId="2" applyNumberFormat="1" applyFont="1" applyFill="1" applyBorder="1" applyAlignment="1" applyProtection="1">
      <alignment horizontal="center" vertical="center" wrapText="1"/>
      <protection locked="0"/>
    </xf>
    <xf numFmtId="0" fontId="2" fillId="7" borderId="1" xfId="5" applyFont="1" applyFill="1" applyBorder="1" applyAlignment="1" applyProtection="1">
      <alignment horizontal="center" vertical="center" wrapText="1"/>
      <protection locked="0"/>
    </xf>
    <xf numFmtId="0" fontId="11" fillId="7" borderId="1" xfId="7" applyFont="1" applyFill="1" applyBorder="1" applyAlignment="1" applyProtection="1">
      <alignment horizontal="center" vertical="center" wrapText="1"/>
      <protection locked="0"/>
    </xf>
    <xf numFmtId="1" fontId="2" fillId="7" borderId="1" xfId="4" applyNumberFormat="1" applyFont="1" applyFill="1" applyBorder="1" applyAlignment="1" applyProtection="1">
      <alignment horizontal="center" vertical="center" wrapText="1"/>
      <protection locked="0"/>
    </xf>
    <xf numFmtId="0" fontId="2" fillId="7" borderId="1" xfId="5" applyFont="1" applyFill="1" applyBorder="1" applyAlignment="1">
      <alignment horizontal="center" vertical="center" wrapText="1"/>
    </xf>
    <xf numFmtId="0" fontId="11" fillId="7" borderId="1" xfId="5" applyFont="1" applyFill="1" applyBorder="1" applyAlignment="1" applyProtection="1">
      <alignment horizontal="center" vertical="center" wrapText="1"/>
      <protection locked="0"/>
    </xf>
    <xf numFmtId="164" fontId="11" fillId="7" borderId="1" xfId="2" applyNumberFormat="1" applyFont="1" applyFill="1" applyBorder="1" applyAlignment="1" applyProtection="1">
      <alignment horizontal="center" vertical="center" wrapText="1"/>
      <protection locked="0"/>
    </xf>
    <xf numFmtId="0" fontId="2" fillId="7" borderId="1" xfId="0" applyFont="1" applyFill="1" applyBorder="1" applyAlignment="1">
      <alignment vertical="center" wrapText="1"/>
    </xf>
    <xf numFmtId="1" fontId="11" fillId="7" borderId="1" xfId="0" applyNumberFormat="1" applyFont="1" applyFill="1" applyBorder="1" applyAlignment="1" applyProtection="1">
      <alignment horizontal="center" vertical="center" wrapText="1"/>
      <protection locked="0"/>
    </xf>
    <xf numFmtId="166" fontId="11" fillId="7" borderId="1" xfId="2" applyNumberFormat="1" applyFont="1" applyFill="1" applyBorder="1" applyAlignment="1" applyProtection="1">
      <alignment horizontal="center" vertical="center" wrapText="1"/>
      <protection locked="0"/>
    </xf>
    <xf numFmtId="1" fontId="11" fillId="7" borderId="1" xfId="4" applyNumberFormat="1" applyFont="1" applyFill="1" applyBorder="1" applyAlignment="1" applyProtection="1">
      <alignment horizontal="center" vertical="center" wrapText="1"/>
      <protection locked="0"/>
    </xf>
    <xf numFmtId="43" fontId="11" fillId="7" borderId="1" xfId="2" applyFont="1" applyFill="1" applyBorder="1" applyAlignment="1" applyProtection="1">
      <alignment horizontal="center" vertical="center" wrapText="1"/>
      <protection locked="0"/>
    </xf>
    <xf numFmtId="1" fontId="2" fillId="7" borderId="1" xfId="2" applyNumberFormat="1" applyFont="1" applyFill="1" applyBorder="1" applyAlignment="1" applyProtection="1">
      <alignment horizontal="center" vertical="center" wrapText="1"/>
      <protection locked="0"/>
    </xf>
    <xf numFmtId="0" fontId="11" fillId="7" borderId="1" xfId="5" applyFont="1" applyFill="1" applyBorder="1" applyAlignment="1">
      <alignment horizontal="center" vertical="center" wrapText="1"/>
    </xf>
    <xf numFmtId="1" fontId="2" fillId="0" borderId="3" xfId="0" applyNumberFormat="1" applyFont="1" applyBorder="1" applyAlignment="1" applyProtection="1">
      <alignment horizontal="center" vertical="center" wrapText="1"/>
      <protection locked="0"/>
    </xf>
    <xf numFmtId="0" fontId="11" fillId="0" borderId="3" xfId="7" applyFont="1" applyFill="1" applyBorder="1" applyAlignment="1" applyProtection="1">
      <alignment horizontal="center" vertical="center" wrapText="1"/>
      <protection locked="0"/>
    </xf>
    <xf numFmtId="0" fontId="2" fillId="6" borderId="1" xfId="5" applyFont="1" applyFill="1" applyBorder="1" applyAlignment="1" applyProtection="1">
      <alignment horizontal="center" vertical="center" wrapText="1"/>
      <protection locked="0"/>
    </xf>
    <xf numFmtId="0" fontId="12" fillId="6" borderId="1" xfId="5" applyFont="1" applyFill="1" applyBorder="1" applyAlignment="1" applyProtection="1">
      <alignment horizontal="center" vertical="center" wrapText="1"/>
      <protection locked="0"/>
    </xf>
    <xf numFmtId="0" fontId="11" fillId="7" borderId="1" xfId="0" applyFont="1" applyFill="1" applyBorder="1" applyAlignment="1" applyProtection="1">
      <alignment vertical="center" wrapText="1"/>
      <protection locked="0"/>
    </xf>
    <xf numFmtId="0" fontId="2" fillId="0" borderId="3" xfId="0" applyFont="1" applyBorder="1" applyAlignment="1">
      <alignment vertical="center" wrapText="1"/>
    </xf>
    <xf numFmtId="37" fontId="14" fillId="0" borderId="0" xfId="0" applyNumberFormat="1" applyFont="1" applyAlignment="1" applyProtection="1">
      <alignment horizontal="center" vertical="center"/>
      <protection locked="0"/>
    </xf>
    <xf numFmtId="0" fontId="17" fillId="0" borderId="0" xfId="0" applyFont="1" applyAlignment="1" applyProtection="1">
      <alignment horizontal="center" vertical="center" wrapText="1"/>
      <protection locked="0"/>
    </xf>
    <xf numFmtId="0" fontId="22" fillId="0" borderId="0" xfId="0" applyFont="1" applyAlignment="1" applyProtection="1">
      <alignment horizontal="right" vertical="center"/>
      <protection locked="0"/>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0" fillId="0" borderId="1" xfId="0" applyBorder="1" applyAlignment="1">
      <alignment horizontal="center"/>
    </xf>
    <xf numFmtId="0" fontId="5" fillId="0" borderId="1"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43" fontId="6" fillId="0" borderId="0" xfId="2" applyFont="1" applyBorder="1" applyAlignment="1">
      <alignment horizontal="center"/>
    </xf>
    <xf numFmtId="0" fontId="0" fillId="0" borderId="1" xfId="0" applyBorder="1" applyAlignment="1">
      <alignment horizontal="left"/>
    </xf>
    <xf numFmtId="0" fontId="5" fillId="0" borderId="2" xfId="0" applyFont="1" applyBorder="1" applyAlignment="1">
      <alignment horizontal="center"/>
    </xf>
    <xf numFmtId="43" fontId="6" fillId="0" borderId="0" xfId="2" applyFont="1" applyAlignment="1">
      <alignment horizontal="center"/>
    </xf>
    <xf numFmtId="43" fontId="5" fillId="0" borderId="1" xfId="2" applyFont="1" applyBorder="1" applyAlignment="1">
      <alignment horizontal="center"/>
    </xf>
    <xf numFmtId="0" fontId="2" fillId="7" borderId="1" xfId="7" applyFont="1" applyFill="1" applyBorder="1" applyAlignment="1" applyProtection="1">
      <alignment horizontal="center" vertical="center" wrapText="1"/>
      <protection locked="0"/>
    </xf>
    <xf numFmtId="164" fontId="2" fillId="7" borderId="7" xfId="2" applyNumberFormat="1" applyFont="1" applyFill="1" applyBorder="1" applyAlignment="1" applyProtection="1">
      <alignment horizontal="center" vertical="center" wrapText="1"/>
      <protection locked="0"/>
    </xf>
    <xf numFmtId="0" fontId="20" fillId="0" borderId="3" xfId="0" applyFont="1" applyBorder="1" applyAlignment="1" applyProtection="1">
      <alignment horizontal="center" vertical="center" wrapText="1"/>
      <protection locked="0"/>
    </xf>
    <xf numFmtId="0" fontId="2" fillId="6" borderId="1" xfId="5" applyNumberFormat="1" applyFont="1" applyFill="1" applyBorder="1" applyAlignment="1" applyProtection="1">
      <alignment horizontal="center" vertical="center" wrapText="1"/>
      <protection locked="0"/>
    </xf>
    <xf numFmtId="0" fontId="2" fillId="7" borderId="1" xfId="5" applyNumberFormat="1" applyFont="1" applyFill="1" applyBorder="1" applyAlignment="1">
      <alignment horizontal="center" vertical="center" wrapText="1"/>
    </xf>
    <xf numFmtId="0" fontId="11" fillId="7" borderId="1" xfId="0" applyNumberFormat="1" applyFont="1" applyFill="1" applyBorder="1" applyAlignment="1" applyProtection="1">
      <alignment vertical="center" wrapText="1"/>
      <protection locked="0"/>
    </xf>
  </cellXfs>
  <cellStyles count="8">
    <cellStyle name="Currency" xfId="1" xr:uid="{00000000-0005-0000-0000-000000000000}"/>
    <cellStyle name="Hipervínculo" xfId="7" builtinId="8"/>
    <cellStyle name="Millares" xfId="2" builtinId="3"/>
    <cellStyle name="Millares 2" xfId="3" xr:uid="{00000000-0005-0000-0000-000002000000}"/>
    <cellStyle name="Moneda" xfId="4" builtinId="4"/>
    <cellStyle name="Normal" xfId="0" builtinId="0"/>
    <cellStyle name="Normal 2" xfId="5" xr:uid="{00000000-0005-0000-0000-000005000000}"/>
    <cellStyle name="Normal 2 10" xfId="6" xr:uid="{00000000-0005-0000-0000-000006000000}"/>
  </cellStyles>
  <dxfs count="58">
    <dxf>
      <fill>
        <patternFill patternType="solid">
          <fgColor rgb="FFF4B084"/>
          <bgColor rgb="FF000000"/>
        </patternFill>
      </fill>
    </dxf>
    <dxf>
      <fill>
        <patternFill patternType="solid">
          <fgColor rgb="FFF4B084"/>
          <bgColor rgb="FF000000"/>
        </patternFill>
      </fill>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font>
        <color rgb="FF9C0006"/>
      </font>
      <fill>
        <patternFill>
          <bgColor rgb="FFFFC7CE"/>
        </patternFill>
      </fill>
    </dxf>
    <dxf>
      <numFmt numFmtId="164" formatCode="_-* #,##0_-;\-* #,##0_-;_-* &quot;-&quot;??_-;_-@_-"/>
    </dxf>
    <dxf>
      <numFmt numFmtId="164" formatCode="_-* #,##0_-;\-* #,##0_-;_-* &quot;-&quot;??_-;_-@_-"/>
    </dxf>
    <dxf>
      <numFmt numFmtId="164" formatCode="_-* #,##0_-;\-* #,##0_-;_-* &quot;-&quot;??_-;_-@_-"/>
    </dxf>
    <dxf>
      <numFmt numFmtId="164" formatCode="_-* #,##0_-;\-* #,##0_-;_-* &quot;-&quot;??_-;_-@_-"/>
    </dxf>
    <dxf>
      <font>
        <strike val="0"/>
        <outline val="0"/>
        <shadow val="0"/>
        <u val="none"/>
        <vertAlign val="baseline"/>
        <sz val="11"/>
        <name val="Tahoma"/>
        <family val="2"/>
        <scheme val="none"/>
      </font>
      <numFmt numFmtId="0" formatCode="General"/>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Tahoma"/>
        <family val="2"/>
        <scheme val="none"/>
      </font>
      <numFmt numFmtId="164"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66" formatCode="_-[$$-240A]\ * #,##0_-;\-[$$-240A]\ * #,##0_-;_-[$$-240A]\ *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64"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Tahoma"/>
        <family val="2"/>
        <scheme val="none"/>
      </font>
      <fill>
        <patternFill patternType="none">
          <fgColor indexed="64"/>
          <bgColor auto="1"/>
        </patternFill>
      </fill>
    </dxf>
    <dxf>
      <border outline="0">
        <bottom style="thin">
          <color indexed="64"/>
        </bottom>
      </border>
    </dxf>
    <dxf>
      <font>
        <strike val="0"/>
        <outline val="0"/>
        <shadow val="0"/>
        <u val="none"/>
        <vertAlign val="baseline"/>
        <sz val="11"/>
        <name val="Tahoma"/>
        <family val="2"/>
        <scheme val="none"/>
      </font>
      <fill>
        <patternFill patternType="solid">
          <fgColor indexed="64"/>
          <bgColor theme="4" tint="0.79998168889431442"/>
        </patternFill>
      </fill>
      <border diagonalUp="0" diagonalDown="0" outline="0">
        <left style="thin">
          <color indexed="64"/>
        </left>
        <right style="thin">
          <color indexed="64"/>
        </right>
        <top/>
        <bottom/>
      </border>
    </dxf>
  </dxfs>
  <tableStyles count="0" defaultTableStyle="TableStyleMedium2" defaultPivotStyle="PivotStyleLight16"/>
  <colors>
    <mruColors>
      <color rgb="FF66FFCC"/>
      <color rgb="FFFF8181"/>
      <color rgb="FF66FF66"/>
      <color rgb="FF99CCFF"/>
      <color rgb="FFFFCCFF"/>
      <color rgb="FFCCFF99"/>
      <color rgb="FFC3B6E2"/>
      <color rgb="FF00FF00"/>
      <color rgb="FFFFFF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594633</xdr:colOff>
      <xdr:row>1</xdr:row>
      <xdr:rowOff>84859</xdr:rowOff>
    </xdr:from>
    <xdr:to>
      <xdr:col>3</xdr:col>
      <xdr:colOff>108856</xdr:colOff>
      <xdr:row>7</xdr:row>
      <xdr:rowOff>25563</xdr:rowOff>
    </xdr:to>
    <xdr:pic>
      <xdr:nvPicPr>
        <xdr:cNvPr id="1241" name="Imagen 12">
          <a:extLst>
            <a:ext uri="{FF2B5EF4-FFF2-40B4-BE49-F238E27FC236}">
              <a16:creationId xmlns:a16="http://schemas.microsoft.com/office/drawing/2014/main" id="{00000000-0008-0000-0100-0000D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2626" b="15536"/>
        <a:stretch>
          <a:fillRect/>
        </a:stretch>
      </xdr:blipFill>
      <xdr:spPr bwMode="auto">
        <a:xfrm>
          <a:off x="594633" y="266288"/>
          <a:ext cx="5456009" cy="115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6078.912672916667" createdVersion="8" refreshedVersion="8" minRefreshableVersion="3" recordCount="656" xr:uid="{4D63342E-4EE8-4C19-9D18-17AA2318B40E}">
  <cacheSource type="worksheet">
    <worksheetSource name="PAA"/>
  </cacheSource>
  <cacheFields count="34">
    <cacheField name="Id Interno" numFmtId="0">
      <sharedItems containsSemiMixedTypes="0" containsString="0" containsNumber="1" containsInteger="1" minValue="20260001" maxValue="20260669"/>
    </cacheField>
    <cacheField name="Objeto de la contratación" numFmtId="0">
      <sharedItems longText="1"/>
    </cacheField>
    <cacheField name="Modalidad de Selección" numFmtId="0">
      <sharedItems/>
    </cacheField>
    <cacheField name="tipo de Contrato (TH talento humano - B/S bienes y/o servicios)" numFmtId="0">
      <sharedItems count="2">
        <s v="TH"/>
        <s v="BS"/>
      </sharedItems>
    </cacheField>
    <cacheField name="Tipo de Contratación" numFmtId="0">
      <sharedItems/>
    </cacheField>
    <cacheField name="Mes estimado de inicio de ejecución" numFmtId="0">
      <sharedItems/>
    </cacheField>
    <cacheField name="plazo ejec Meses" numFmtId="1">
      <sharedItems containsMixedTypes="1" containsNumber="1" minValue="0" maxValue="24"/>
    </cacheField>
    <cacheField name="mas plazo ejec Días (si aplica)" numFmtId="1">
      <sharedItems containsMixedTypes="1" containsNumber="1" containsInteger="1" minValue="0" maxValue="26"/>
    </cacheField>
    <cacheField name="Valor apropiacion vigencia actual" numFmtId="164">
      <sharedItems containsString="0" containsBlank="1" containsNumber="1" containsInteger="1" minValue="0" maxValue="6914369000"/>
    </cacheField>
    <cacheField name="¿vigencia futuras?" numFmtId="166">
      <sharedItems/>
    </cacheField>
    <cacheField name="Dependencia Solicitante" numFmtId="0">
      <sharedItems/>
    </cacheField>
    <cacheField name="Responsable del Proceso" numFmtId="0">
      <sharedItems/>
    </cacheField>
    <cacheField name="Proyecto y nombre Asociado" numFmtId="0">
      <sharedItems count="4">
        <s v="8126-Fortalecimiento institucional de la UAECOB para un gobierno confiable Bogotá D.C."/>
        <s v="131- Funcionamiento"/>
        <s v="8173-Modernización de las capacidades del Cuerpo Oficial de Bomberos Bogotá D.C."/>
        <s v="N/A"/>
      </sharedItems>
    </cacheField>
    <cacheField name="Gerente del Proyecto Asociado" numFmtId="0">
      <sharedItems/>
    </cacheField>
    <cacheField name="Fuente de Recursos" numFmtId="0">
      <sharedItems count="6">
        <s v="1-100-I087 VA-Sobretasa Bomberil"/>
        <s v="1-100-F001 VA-Recursos distrito"/>
        <s v="1-601-I037 PAS-Crédito"/>
        <s v="1-100-F039-VA-Crédito"/>
        <s v="N/A"/>
        <s v="1-601-F001 PAS-Otros distrito"/>
      </sharedItems>
    </cacheField>
    <cacheField name="Código UNSPSC (cada código separado por ;)" numFmtId="1">
      <sharedItems containsMixedTypes="1" containsNumber="1" containsInteger="1" minValue="14111500" maxValue="90121800"/>
    </cacheField>
    <cacheField name="Meta Proyecto de Inversión" numFmtId="0">
      <sharedItems longText="1"/>
    </cacheField>
    <cacheField name="meta objeto" numFmtId="0">
      <sharedItems/>
    </cacheField>
    <cacheField name="meta objeto2" numFmtId="0">
      <sharedItems/>
    </cacheField>
    <cacheField name="Bogotá camina segura" numFmtId="0">
      <sharedItems/>
    </cacheField>
    <cacheField name="Sector_Programa MGA" numFmtId="0">
      <sharedItems/>
    </cacheField>
    <cacheField name="BPIN (AÑO+COD_PROYECTO)" numFmtId="0">
      <sharedItems containsMixedTypes="1" containsNumber="1" containsInteger="1" minValue="20240207" maxValue="20240255"/>
    </cacheField>
    <cacheField name="Producto PMR" numFmtId="0">
      <sharedItems containsMixedTypes="1" containsNumber="1" containsInteger="1" minValue="14" maxValue="16"/>
    </cacheField>
    <cacheField name="Descripción Producto PMR" numFmtId="0">
      <sharedItems/>
    </cacheField>
    <cacheField name="PMR conca" numFmtId="0">
      <sharedItems/>
    </cacheField>
    <cacheField name="Producto MGA" numFmtId="0">
      <sharedItems/>
    </cacheField>
    <cacheField name="Descripción Producto MGA" numFmtId="0">
      <sharedItems/>
    </cacheField>
    <cacheField name="concatenarMGA" numFmtId="0">
      <sharedItems/>
    </cacheField>
    <cacheField name="PM MGA conca" numFmtId="0">
      <sharedItems/>
    </cacheField>
    <cacheField name="Código de proyecto de inversión, asociado a productos PMR y MGA" numFmtId="0">
      <sharedItems/>
    </cacheField>
    <cacheField name="codigo PEP" numFmtId="0">
      <sharedItems/>
    </cacheField>
    <cacheField name="POSPRE" numFmtId="164">
      <sharedItems/>
    </cacheField>
    <cacheField name="Si Secop / No Secop" numFmtId="0">
      <sharedItems/>
    </cacheField>
    <cacheField name="Objeto de contratacion CDP"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56">
  <r>
    <n v="20260001"/>
    <s v="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
    <s v="09 - contratación directa"/>
    <x v="0"/>
    <s v="25 - contrato de prestacion de servicios profesionales"/>
    <s v="ENERO"/>
    <n v="11"/>
    <n v="0"/>
    <n v="120000000"/>
    <s v="NO"/>
    <s v="Dirección Tic"/>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1-TH-8126-5-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
  </r>
  <r>
    <n v="20260002"/>
    <s v="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
    <s v="09 - contratación directa"/>
    <x v="0"/>
    <s v="25 - contrato de prestacion de servicios profesionales"/>
    <s v="ENERO"/>
    <n v="6"/>
    <n v="0"/>
    <n v="45000000"/>
    <s v="NO"/>
    <s v="Dirección Tic"/>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2-TH-8126-5-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
  </r>
  <r>
    <n v="20260003"/>
    <s v="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
    <s v="09 - contratación directa"/>
    <x v="0"/>
    <s v="25 - contrato de prestacion de servicios profesionales"/>
    <s v="ENERO"/>
    <n v="6"/>
    <n v="0"/>
    <n v="33000000"/>
    <s v="NO"/>
    <s v="Dirección Tic"/>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3-TH-8126-4-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
  </r>
  <r>
    <n v="20260004"/>
    <s v="Prestar los servicios profesionales para realizar las actividades tendientes a soportar el Sistema Integrado de Administración de Personal - SIAP  a cargo del área de Tecnologías de la Información y las Comunicaciones de la U.A.E. Cuerpo Oficial de Bomberos Bogotá"/>
    <s v="09 - contratación directa"/>
    <x v="0"/>
    <s v="25 - contrato de prestacion de servicios profesionales"/>
    <s v="ENERO"/>
    <n v="6"/>
    <n v="0"/>
    <n v="57000000"/>
    <s v="NO"/>
    <s v="Dirección Tic"/>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4-TH-8126-4-Prestar los servicios profesionales para realizar las actividades tendientes a soportar el Sistema Integrado de Administración de Personal - SIAP  a cargo del área de Tecnologías de la Información y las Comunicaciones de la U.A.E. Cuerpo Oficial de Bomberos Bogotá"/>
  </r>
  <r>
    <n v="20260005"/>
    <s v="Prestar servicios profesionales apoyando los lineamientos tecnológicos necesarios  para la administración y gestión de los servicios desarrollados por el  área de Tecnologías de la Información y las Comunicaciones de la U.A.E. Cuerpo Oficial de Bomberos Bogotá."/>
    <s v="09 - contratación directa"/>
    <x v="0"/>
    <s v="25 - contrato de prestacion de servicios profesionales"/>
    <s v="ENERO"/>
    <n v="12"/>
    <n v="0"/>
    <n v="93600000"/>
    <s v="NO"/>
    <s v="Dirección Tic"/>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5-TH-8126-5-Prestar servicios profesionales apoyando los lineamientos tecnológicos necesarios  para la administración y gestión de los servicios desarrollados por el  área de Tecnologías de la Información y las Comunicaciones de la U.A.E. Cuerpo Oficial de Bomberos Bogotá."/>
  </r>
  <r>
    <n v="20260006"/>
    <s v="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s v="09 - contratación directa"/>
    <x v="0"/>
    <s v="25 - contrato de prestacion de servicios profesionales"/>
    <s v="ENERO"/>
    <n v="10"/>
    <n v="0"/>
    <n v="78000000"/>
    <s v="NO"/>
    <s v="Dirección Tic"/>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6-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r>
  <r>
    <n v="20260007"/>
    <s v="Prestar servicios profesionales orientados al fortalecimiento, administración y soporte de los sistemas, plataformas, infraestructura tecnológica y servicios informáticos a cargo de la Dirección de Tics de la U.A.E Cuerpo Oficial de Bomberos de Bogotá D.C"/>
    <s v="09 - contratación directa"/>
    <x v="0"/>
    <s v="25 - contrato de prestacion de servicios profesionales"/>
    <s v="ENERO"/>
    <s v="11"/>
    <s v="0"/>
    <n v="60500000"/>
    <s v="NO"/>
    <s v="Dirección Tic"/>
    <s v="Paula Ximena Henao Escobar"/>
    <x v="0"/>
    <s v="Subdirector@ de Gestión Corporativa"/>
    <x v="0"/>
    <s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7-TH-8126-5-Prestar servicios profesionales orientados al fortalecimiento, administración y soporte de los sistemas, plataformas, infraestructura tecnológica y servicios informáticos a cargo de la Dirección de Tics de la U.A.E Cuerpo Oficial de Bomberos de Bogotá D.C"/>
  </r>
  <r>
    <n v="20260008"/>
    <s v="Prestar los servicios de apoyo a la gestión para desarrollar actividades de soporte técnico nivel (1 y 2) que requiera el área de Tecnologías de la Información y las Comunicaciones de la U.A.E. Cuerpo Oficial de Bomberos Bogotá"/>
    <s v="09 - contratación directa"/>
    <x v="0"/>
    <s v="26 - contrato de prestacion de servicios de apoyo a la gestion"/>
    <s v="FEBRERO"/>
    <n v="10"/>
    <n v="0"/>
    <n v="40000000"/>
    <s v="NO"/>
    <s v="Dirección Tic"/>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8-TH-8126-5-Prestar los servicios de apoyo a la gestión para desarrollar actividades de soporte técnico nivel (1 y 2) que requiera el área de Tecnologías de la Información y las Comunicaciones de la U.A.E. Cuerpo Oficial de Bomberos Bogotá"/>
  </r>
  <r>
    <n v="20260009"/>
    <s v="Prestar los servicios de apoyo a la gestión para desarrollar actividades de soporte técnico nivel (1 y 2) que requiera el área de Tecnologías de la Información y las Comunicaciones de la U.A.E. Cuerpo Oficial de Bomberos Bogotá"/>
    <s v="09 - contratación directa"/>
    <x v="0"/>
    <s v="26 - contrato de prestacion de servicios de apoyo a la gestion"/>
    <s v="ENERO"/>
    <n v="6"/>
    <n v="0"/>
    <n v="24000000"/>
    <s v="NO"/>
    <s v="Dirección Tic"/>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09-TH-8126-5-Prestar los servicios de apoyo a la gestión para desarrollar actividades de soporte técnico nivel (1 y 2) que requiera el área de Tecnologías de la Información y las Comunicaciones de la U.A.E. Cuerpo Oficial de Bomberos Bogotá"/>
  </r>
  <r>
    <n v="20260010"/>
    <s v="Prestar servicios profesionales para apoyar el seguimiento, control y gestión de los servicios  tecnológicos asociados a  la herramienta de mesa de ayuda, directorio activo y herramientas de gestión que le sean asignados por la UAE Cuerpo Oficial de Bomberos de Bogotá - TIC."/>
    <s v="09 - contratación directa"/>
    <x v="0"/>
    <s v="25 - contrato de prestacion de servicios profesionales"/>
    <s v="ENERO"/>
    <n v="12"/>
    <n v="0"/>
    <n v="84000000"/>
    <s v="NO"/>
    <s v="Dirección Tic"/>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0-TH-8126-4-Prestar servicios profesionales para apoyar el seguimiento, control y gestión de los servicios  tecnológicos asociados a  la herramienta de mesa de ayuda, directorio activo y herramientas de gestión que le sean asignados por la UAE Cuerpo Oficial de Bomberos de Bogotá - TIC."/>
  </r>
  <r>
    <n v="20260011"/>
    <s v="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
    <s v="09 - contratación directa"/>
    <x v="0"/>
    <s v="25 - contrato de prestacion de servicios profesionales"/>
    <s v="FEBRERO"/>
    <n v="10"/>
    <n v="0"/>
    <n v="78000000"/>
    <s v="NO"/>
    <s v="Dirección Tic"/>
    <s v="Paula Ximena Henao Escobar"/>
    <x v="0"/>
    <s v="Subdirector@ de Gestión Corporativa"/>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1-TH-8126-7-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
  </r>
  <r>
    <n v="20260012"/>
    <s v="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
    <s v="09 - contratación directa"/>
    <x v="0"/>
    <s v="25 - contrato de prestacion de servicios profesionales"/>
    <s v="ENERO"/>
    <n v="12"/>
    <n v="0"/>
    <n v="61920000"/>
    <s v="NO"/>
    <s v="Dirección Tic"/>
    <s v="Paula Ximena Henao Escobar"/>
    <x v="0"/>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2-TH-8126-6-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
  </r>
  <r>
    <n v="20260013"/>
    <s v="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s v="09 - contratación directa"/>
    <x v="0"/>
    <s v="25 - contrato de prestacion de servicios profesionales"/>
    <s v="FEBRERO"/>
    <n v="6"/>
    <n v="0"/>
    <n v="42000000"/>
    <s v="NO"/>
    <s v="Dirección Tic"/>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3-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r>
  <r>
    <n v="20260014"/>
    <s v="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
    <s v="09 - contratación directa"/>
    <x v="0"/>
    <s v="26 - contrato de prestacion de servicios de apoyo a la gestion"/>
    <s v="ENERO"/>
    <n v="6"/>
    <n v="0"/>
    <n v="26940000"/>
    <s v="NO"/>
    <s v="Dirección Tic"/>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4-TH-8126-4-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
  </r>
  <r>
    <n v="20260015"/>
    <s v="Prestar los servicios de apoyo a la gestión para desarrollar actividades de soporte técnico nivel (1 y 2) que requiera el área de Tecnologías de la Información y las Comunicaciones de la U.A.E. Cuerpo Oficial de Bomberos Bogotá"/>
    <s v="09 - contratación directa"/>
    <x v="0"/>
    <s v="26 - contrato de prestacion de servicios de apoyo a la gestion"/>
    <s v="ENERO"/>
    <n v="11"/>
    <n v="0"/>
    <n v="44000000"/>
    <s v="NO"/>
    <s v="Dirección Tic"/>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5-TH-8126-5-Prestar los servicios de apoyo a la gestión para desarrollar actividades de soporte técnico nivel (1 y 2) que requiera el área de Tecnologías de la Información y las Comunicaciones de la U.A.E. Cuerpo Oficial de Bomberos Bogotá"/>
  </r>
  <r>
    <n v="20260016"/>
    <s v="Prestar servicios de apoyo a la gestión en el desarrollo de actividades asistenciales administrativas, asociadas a los procesos y procedimientos  a cargo del área de Tecnologías de la Información y las Comunicaciones de la U.A.E. Cuerpo Oficial de Bomberos Bogotá."/>
    <s v="09 - contratación directa"/>
    <x v="0"/>
    <s v="26 - contrato de prestacion de servicios de apoyo a la gestion"/>
    <s v="ENERO"/>
    <n v="11"/>
    <n v="0"/>
    <n v="44000000"/>
    <s v="NO"/>
    <s v="Dirección Tic"/>
    <s v="Paula Ximena Henao Escobar"/>
    <x v="0"/>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6-TH-8126-6-Prestar servicios de apoyo a la gestión en el desarrollo de actividades asistenciales administrativas, asociadas a los procesos y procedimientos  a cargo del área de Tecnologías de la Información y las Comunicaciones de la U.A.E. Cuerpo Oficial de Bomberos Bogotá."/>
  </r>
  <r>
    <n v="20260017"/>
    <s v="Prestar servicios profesionales para apoyar la implementación, seguimiento y fortalecimiento del Sistema de Gestión de Seguridad de la Información (SGSI) y de la política de Gobierno Digital de la UAE Cuerpo Oficial de Bomberos de Bogotá"/>
    <s v="09 - contratación directa"/>
    <x v="0"/>
    <s v="25 - contrato de prestacion de servicios profesionales"/>
    <s v="ENERO"/>
    <n v="10"/>
    <n v="0"/>
    <n v="78000000"/>
    <s v="NO"/>
    <s v="Dirección Tic"/>
    <s v="Paula Ximena Henao Escobar"/>
    <x v="0"/>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7-TH-8126-6-Prestar servicios profesionales para apoyar la implementación, seguimiento y fortalecimiento del Sistema de Gestión de Seguridad de la Información (SGSI) y de la política de Gobierno Digital de la UAE Cuerpo Oficial de Bomberos de Bogotá"/>
  </r>
  <r>
    <n v="20260018"/>
    <s v="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
    <s v="09 - contratación directa"/>
    <x v="0"/>
    <s v="25 - contrato de prestacion de servicios profesionales"/>
    <s v="ENERO"/>
    <n v="10"/>
    <n v="0"/>
    <n v="75000000"/>
    <s v="NO"/>
    <s v="Dirección Tic"/>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8-TH-8126-5-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
  </r>
  <r>
    <n v="20260019"/>
    <s v="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s v="09 - contratación directa"/>
    <x v="0"/>
    <s v="25 - contrato de prestacion de servicios profesionales"/>
    <s v="FEBRERO"/>
    <n v="6"/>
    <n v="0"/>
    <n v="42000000"/>
    <s v="NO"/>
    <s v="Dirección Tic"/>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19-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r>
  <r>
    <n v="20260020"/>
    <s v="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
    <s v="09 - contratación directa"/>
    <x v="0"/>
    <s v="25 - contrato de prestacion de servicios profesionales"/>
    <s v="FEBRERO"/>
    <n v="10"/>
    <n v="0"/>
    <n v="78000000"/>
    <s v="NO"/>
    <s v="Dirección Tic"/>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0-TH-8126-5-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
  </r>
  <r>
    <n v="20260021"/>
    <s v="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
    <s v="09 - contratación directa"/>
    <x v="0"/>
    <s v="25 - contrato de prestacion de servicios profesionales"/>
    <s v="FEBRERO"/>
    <n v="10"/>
    <n v="0"/>
    <n v="55000000"/>
    <s v="NO"/>
    <s v="Dirección Tic"/>
    <s v="Paula Ximena Henao Escobar"/>
    <x v="0"/>
    <s v="Subdirector@ de Gestión Corporativa"/>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1-TH-8126-7-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
  </r>
  <r>
    <n v="20260022"/>
    <s v="Prestar los servicios profesionales en apoyo a la estructuración e implementación, de las herramientas misionales, creadas como soporte a los procesos y procedimientos de la U.A.E. Cuerpo Oficial de Bomberos de Bogotá."/>
    <s v="09 - contratación directa"/>
    <x v="0"/>
    <s v="25 - contrato de prestacion de servicios profesionales"/>
    <s v="FEBRERO"/>
    <n v="6"/>
    <n v="0"/>
    <n v="30000000"/>
    <s v="NO"/>
    <s v="Dirección Tic"/>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2-TH-8126-4-Prestar los servicios profesionales en apoyo a la estructuración e implementación, de las herramientas misionales, creadas como soporte a los procesos y procedimientos de la U.A.E. Cuerpo Oficial de Bomberos de Bogotá."/>
  </r>
  <r>
    <n v="20260023"/>
    <s v="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
    <s v="09 - contratación directa"/>
    <x v="0"/>
    <s v="26 - contrato de prestacion de servicios de apoyo a la gestion"/>
    <s v="ENERO"/>
    <n v="10"/>
    <n v="0"/>
    <n v="40000000"/>
    <s v="NO"/>
    <s v="Dirección Tic"/>
    <s v="Paula Ximena Henao Escobar"/>
    <x v="0"/>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3-TH-8126-6-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
  </r>
  <r>
    <n v="20260024"/>
    <s v="Prestar los servicios profesionales en la implementación, de las herramientas misionales, creadas como soporte a los procesos y procedimientos de la U.A.E. Cuerpo Oficial de Bomberos de Bogotá."/>
    <s v="09 - contratación directa"/>
    <x v="0"/>
    <s v="25 - contrato de prestacion de servicios profesionales"/>
    <s v="FEBRERO"/>
    <n v="6"/>
    <n v="0"/>
    <n v="30966000"/>
    <s v="NO"/>
    <s v="Dirección Tic"/>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4-TH-8126-4-Prestar los servicios profesionales en la implementación, de las herramientas misionales, creadas como soporte a los procesos y procedimientos de la U.A.E. Cuerpo Oficial de Bomberos de Bogotá."/>
  </r>
  <r>
    <n v="20260025"/>
    <s v="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s v="09 - contratación directa"/>
    <x v="0"/>
    <s v="25 - contrato de prestacion de servicios profesionales"/>
    <s v="ENERO"/>
    <n v="10"/>
    <n v="0"/>
    <n v="78000000"/>
    <s v="NO"/>
    <s v="Dirección Tic"/>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5-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r>
  <r>
    <n v="20260026"/>
    <s v="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
    <s v="09 - contratación directa"/>
    <x v="0"/>
    <s v="25 - contrato de prestacion de servicios profesionales"/>
    <s v="ENERO"/>
    <n v="10"/>
    <n v="0"/>
    <n v="74500000"/>
    <s v="NO"/>
    <s v="Dirección Tic"/>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6-TH-8126-5-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
  </r>
  <r>
    <n v="20260027"/>
    <s v="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
    <s v="09 - contratación directa"/>
    <x v="0"/>
    <s v="25 - contrato de prestacion de servicios profesionales"/>
    <s v="ENERO"/>
    <n v="11"/>
    <n v="0"/>
    <n v="92400000"/>
    <s v="NO"/>
    <s v="Dirección Tic"/>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7-TH-8126-5-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
  </r>
  <r>
    <n v="20260028"/>
    <s v="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s v="09 - contratación directa"/>
    <x v="0"/>
    <s v="25 - contrato de prestacion de servicios profesionales"/>
    <s v="ENERO"/>
    <n v="11"/>
    <n v="0"/>
    <n v="85800000"/>
    <s v="NO"/>
    <s v="Dirección Tic"/>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8-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r>
  <r>
    <n v="20260029"/>
    <s v="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
    <s v="09 - contratación directa"/>
    <x v="0"/>
    <s v="25 - contrato de prestacion de servicios profesionales"/>
    <s v="ENERO"/>
    <n v="10"/>
    <n v="0"/>
    <n v="51610000"/>
    <s v="NO"/>
    <s v="Dirección Tic"/>
    <s v="Paula Ximena Henao Escobar"/>
    <x v="0"/>
    <s v="Subdirector@ de Gestión Corporativa"/>
    <x v="0"/>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29-TH-8126-4-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
  </r>
  <r>
    <n v="20260030"/>
    <s v="Prestar servicios profesionales, en el levantamiento de requerimientos, análisis y mejora de soluciones digitales a cargo de la Dirección de Tecnologías de la Información y las Comunicaciones de la U.A.E Cuerpo Oficial de Bomberos de Bogotá D.C."/>
    <s v="09 - contratación directa"/>
    <x v="0"/>
    <s v="25 - contrato de prestacion de servicios profesionales"/>
    <s v="ENERO"/>
    <n v="10"/>
    <n v="0"/>
    <n v="55000000"/>
    <s v="NO"/>
    <s v="Dirección Tic"/>
    <s v="Paula Ximena Henao Escobar"/>
    <x v="0"/>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30-TH-8126-6-Prestar servicios profesionales, en el levantamiento de requerimientos, análisis y mejora de soluciones digitales a cargo de la Dirección de Tecnologías de la Información y las Comunicaciones de la U.A.E Cuerpo Oficial de Bomberos de Bogotá D.C."/>
  </r>
  <r>
    <n v="20260031"/>
    <s v="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
    <s v="09 - contratación directa"/>
    <x v="0"/>
    <s v="25 - contrato de prestacion de servicios profesionales"/>
    <s v="ENERO"/>
    <n v="10"/>
    <n v="0"/>
    <n v="75000000"/>
    <s v="NO"/>
    <s v="Dirección Tic"/>
    <s v="Paula Ximena Henao Escobar"/>
    <x v="0"/>
    <s v="Subdirector@ de Gestión Corporativa"/>
    <x v="0"/>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031-TH-8126-6-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
  </r>
  <r>
    <n v="20260032"/>
    <s v="Contratar la prestación del servicio de monitoreo, control y seguimiento satelital a los vehículos de propiedad de la U.A.E. Cuerpo Oficial de Bomberos de Bogotá - TIC"/>
    <s v="17 - acuerdo marco de precios"/>
    <x v="1"/>
    <s v="03 - contrato de prestacion de servicios"/>
    <s v="ABRIL"/>
    <n v="9"/>
    <n v="0"/>
    <n v="103000000"/>
    <s v="NO"/>
    <s v="Dirección Tic"/>
    <s v="Paula Ximena Henao Escobar"/>
    <x v="0"/>
    <s v="Subdirector@ de Gestión Corporativa"/>
    <x v="0"/>
    <s v="83121700; 83111600; 43221700; 25173100;  81112000; 32101600 "/>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032-BS-8126-4-Contratar la prestación del servicio de monitoreo, control y seguimiento satelital a los vehículos de propiedad de la U.A.E. Cuerpo Oficial de Bomberos de Bogotá - TIC"/>
  </r>
  <r>
    <n v="20260033"/>
    <s v="Adquisición, actualización y configuración de la plataforma de comunicaciones de Voz IP compatible con la solución actual con la que cuenta la entidad."/>
    <s v="02 - selec. abrev. menor cuantía"/>
    <x v="1"/>
    <s v="03 - contrato de prestacion de servicios"/>
    <s v="OCTUBRE"/>
    <n v="6"/>
    <n v="0"/>
    <n v="1000"/>
    <s v="NO"/>
    <s v="Dirección Tic"/>
    <s v="Paula Ximena Henao Escobar"/>
    <x v="0"/>
    <s v="Subdirector@ de Gestión Corporativa"/>
    <x v="0"/>
    <s v="43191500_x000a_43221500_x000a_43222800_x000a_81161700_x000a_7215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s v="20260033-BS-8126-5-Adquisición, actualización y configuración de la plataforma de comunicaciones de Voz IP compatible con la solución actual con la que cuenta la entidad."/>
  </r>
  <r>
    <n v="20260034"/>
    <s v="Adquisición de un certificado digital servidor seguro SSL para múltiples subdominios y aplicaciones para los sistemas misionales de la UAE cuerpo oficial de bomberos de Bogotá"/>
    <s v="04 - contratación mínima cuantía"/>
    <x v="1"/>
    <s v="06 - contrato de compraventa"/>
    <s v="OCTUBRE"/>
    <n v="12"/>
    <n v="0"/>
    <n v="10000000"/>
    <s v="NO"/>
    <s v="Dirección Tic"/>
    <s v="Paula Ximena Henao Escobar"/>
    <x v="0"/>
    <s v="Subdirector@ de Gestión Corporativa"/>
    <x v="0"/>
    <s v="43191500_x000a_43221500_x000a_43222800_x000a_81161700_x000a_7215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034-BS-8126-4-Adquisición de un certificado digital servidor seguro SSL para múltiples subdominios y aplicaciones para los sistemas misionales de la UAE cuerpo oficial de bomberos de Bogotá"/>
  </r>
  <r>
    <n v="20260036"/>
    <s v="Contratar el alquiler de equipos tecnológicos, periféricos y servicios complementarios para la U.A.E. Cuerpo Oficial de Bomberos de Bogotá. - TIC"/>
    <s v="04 - contratación mínima cuantía"/>
    <x v="1"/>
    <s v="23 - contrato de alquiler"/>
    <s v="ABRIL"/>
    <n v="9"/>
    <n v="0"/>
    <n v="30000000"/>
    <s v="NO"/>
    <s v="Dirección Tic"/>
    <s v="Paula Ximena Henao Escobar"/>
    <x v="0"/>
    <s v="Subdirector@ de Gestión Corporativa"/>
    <x v="0"/>
    <n v="81112401"/>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s v="20260036-BS-8126-5-Contratar el alquiler de equipos tecnológicos, periféricos y servicios complementarios para la U.A.E. Cuerpo Oficial de Bomberos de Bogotá. - TIC"/>
  </r>
  <r>
    <n v="20260037"/>
    <s v="Contratar la adquisición de dispositivos para el fortalecimiento y modernización de la infraestructura tecnológica de la U.A.E. Cuerpo Oficial de Bomberos de Bogotá."/>
    <s v="17 - acuerdo marco de precios"/>
    <x v="1"/>
    <s v="24 - contrato de servicio"/>
    <s v="MAYO"/>
    <n v="12"/>
    <n v="0"/>
    <n v="200000000"/>
    <s v="NO"/>
    <s v="Dirección Tic"/>
    <s v="Paula Ximena Henao Escobar"/>
    <x v="0"/>
    <s v="Subdirector@ de Gestión Corporativa"/>
    <x v="0"/>
    <s v="43211500, 43211503, 43211507, 43211509, 43211619"/>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s v="20260037-BS-8126-5-Contratar la adquisición de dispositivos para el fortalecimiento y modernización de la infraestructura tecnológica de la U.A.E. Cuerpo Oficial de Bomberos de Bogotá."/>
  </r>
  <r>
    <n v="20260038"/>
    <s v="Adición y prorróga al contrato No. 245 de 2025 cuyo objeto es  &quot;Contratar el servicio de mantenimiento preventivo y correctivo de los radios portátiles y móviles marca Motorola propiedad de la U.A.E. Cuerpo Oficial de Bomberos de Bogotá – TIC&quot;"/>
    <s v="09 - contratación directa"/>
    <x v="1"/>
    <s v="03 - contrato de prestacion de servicios"/>
    <s v="MARZO"/>
    <n v="12"/>
    <n v="0"/>
    <n v="100000000"/>
    <s v="NO"/>
    <s v="Dirección Tic"/>
    <s v="Paula Ximena Henao Escobar"/>
    <x v="0"/>
    <s v="Subdirector@ de Gestión Corporativa"/>
    <x v="0"/>
    <s v="72151607;72103302"/>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No Secop"/>
    <s v="20260038-BS-8126-5-Adición y prorróga al contrato No. 245 de 2025 cuyo objeto es  &quot;Contratar el servicio de mantenimiento preventivo y correctivo de los radios portátiles y móviles marca Motorola propiedad de la U.A.E. Cuerpo Oficial de Bomberos de Bogotá – TIC&quot;"/>
  </r>
  <r>
    <n v="20260039"/>
    <s v="Adición y prorróga al contrato No. 493 de 2025 cuyo objeto es &quot;Contratar la adquisicion, modernizacion y mantenimiento preventivo y correctivo de UPS,  aires acondicionados con suministro de repuestos, para todas las sedes de la U.A.E. Cuerpo Oficial de Bomberos de Bogotá - TIC.&quot;"/>
    <s v="03 - selec. abrev. subasta inversa"/>
    <x v="1"/>
    <s v="03 - contrato de prestacion de servicios"/>
    <s v="MARZO"/>
    <n v="12"/>
    <n v="0"/>
    <n v="100000000"/>
    <s v="NO"/>
    <s v="Dirección Tic"/>
    <s v="Paula Ximena Henao Escobar"/>
    <x v="0"/>
    <s v="Subdirector@ de Gestión Corporativa"/>
    <x v="0"/>
    <s v="72151500; 72101500; 731521000; 39121600; 39121000; 72151500; 72101500; 731521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No Secop"/>
    <s v="20260039-BS-8126-5-Adición y prorróga al contrato No. 493 de 2025 cuyo objeto es &quot;Contratar la adquisicion, modernizacion y mantenimiento preventivo y correctivo de UPS,  aires acondicionados con suministro de repuestos, para todas las sedes de la U.A.E. Cuerpo Oficial de Bomberos de Bogotá - TIC.&quot;"/>
  </r>
  <r>
    <n v="20260040"/>
    <s v="Contratar el servicio de actualización y soporte de licenciamiento ArcGIS para la U.A.E. Cuerpo Oficial de Bomberos de Bogotá.- TIC"/>
    <s v="09 - contratación directa"/>
    <x v="1"/>
    <s v="19 - contrato de renovacion de licencias"/>
    <s v="NOVIEMBRE"/>
    <n v="12"/>
    <n v="0"/>
    <n v="1000"/>
    <s v="NO"/>
    <s v="Dirección Tic"/>
    <s v="Paula Ximena Henao Escobar"/>
    <x v="0"/>
    <s v="Subdirector@ de Gestión Corporativa"/>
    <x v="0"/>
    <n v="81112217"/>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040-BS-8126-4-Contratar el servicio de actualización y soporte de licenciamiento ArcGIS para la U.A.E. Cuerpo Oficial de Bomberos de Bogotá.- TIC"/>
  </r>
  <r>
    <n v="20260041"/>
    <s v="Contratar la adquisición de tarjetas de comunicación satelital de voz, para la U.A.E. Cuerpo Oficial de Bomberos de Bogotá. "/>
    <s v="04 - contratación mínima cuantía"/>
    <x v="1"/>
    <s v="03 - contrato de prestacion de servicios"/>
    <s v="AGOSTO"/>
    <n v="12"/>
    <n v="0"/>
    <n v="15000000"/>
    <s v="NO"/>
    <s v="Dirección Tic"/>
    <s v="Paula Ximena Henao Escobar"/>
    <x v="0"/>
    <s v="Subdirector@ de Gestión Corporativa"/>
    <x v="0"/>
    <s v="83121700;83111600;432217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041-BS-8126-5-Contratar la adquisición de tarjetas de comunicación satelital de voz, para la U.A.E. Cuerpo Oficial de Bomberos de Bogotá. "/>
  </r>
  <r>
    <n v="20260042"/>
    <s v="Contratar la renovación de garantía y soporte de fabrica de los equipos activos que hacen parte de la infraestructura tecnológica de la U.A.E. Cuerpo Oficial de Bomberos de Bogotá."/>
    <s v="03 - selec. abrev. subasta inversa"/>
    <x v="1"/>
    <s v="19 - contrato de renovacion de licencias"/>
    <s v="OCTUBRE"/>
    <n v="12"/>
    <n v="0"/>
    <n v="1000"/>
    <s v="NO"/>
    <s v="Dirección Tic"/>
    <s v="Paula Ximena Henao Escobar"/>
    <x v="0"/>
    <s v="Subdirector@ de Gestión Corporativa"/>
    <x v="0"/>
    <n v="43222635"/>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042-BS-8126-5-Contratar la renovación de garantía y soporte de fabrica de los equipos activos que hacen parte de la infraestructura tecnológica de la U.A.E. Cuerpo Oficial de Bomberos de Bogotá."/>
  </r>
  <r>
    <n v="20260044"/>
    <s v="Contratar el servicio de mantenimiento, soporte técnico y actualización del aplicativo PCT, utilizado por la UAE Cuerpo Oficial de Bomberos de Bogota - TIC"/>
    <s v="09 - contratación directa"/>
    <x v="1"/>
    <s v="24 - contrato de servicio"/>
    <s v="ENERO"/>
    <n v="12"/>
    <n v="0"/>
    <n v="25000000"/>
    <s v="NO"/>
    <s v="Dirección Tic"/>
    <s v="Paula Ximena Henao Escobar"/>
    <x v="0"/>
    <s v="Subdirector@ de Gestión Corporativa"/>
    <x v="0"/>
    <s v="81112200;81112201"/>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044-BS-8126-4-Contratar el servicio de mantenimiento, soporte técnico y actualización del aplicativo PCT, utilizado por la UAE Cuerpo Oficial de Bomberos de Bogota - TIC"/>
  </r>
  <r>
    <n v="20260045"/>
    <s v="Contratar la renovación , servicio de actualización y soporte de licenciamiento Oracle para Base de Datos,  y Web Logic para la U.A.E. Cuerpo Oficial de Bomberos de Bogotá - TIC"/>
    <s v="09 - contratación directa"/>
    <x v="1"/>
    <s v="19 - contrato de renovacion de licencias"/>
    <s v="JUNIO"/>
    <n v="12"/>
    <n v="0"/>
    <n v="200000000"/>
    <s v="NO"/>
    <s v="Dirección Tic"/>
    <s v="Paula Ximena Henao Escobar"/>
    <x v="0"/>
    <s v="Subdirector@ de Gestión Corporativa"/>
    <x v="0"/>
    <s v="81112204;81112501"/>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045-BS-8126-4-Contratar la renovación , servicio de actualización y soporte de licenciamiento Oracle para Base de Datos,  y Web Logic para la U.A.E. Cuerpo Oficial de Bomberos de Bogotá - TIC"/>
  </r>
  <r>
    <n v="20260046"/>
    <s v="Modernización y mantenimiento de la solución de control de acceso con reconocimiento facial para la U.A.E. Cuerpo Oficial Bomberos de Bogotá"/>
    <s v="03 - selec. abrev. subasta inversa"/>
    <x v="1"/>
    <s v="03 - contrato de prestacion de servicios"/>
    <s v="JULIO"/>
    <n v="12"/>
    <n v="0"/>
    <n v="50000000"/>
    <s v="NO"/>
    <s v="Dirección Tic"/>
    <s v="Paula Ximena Henao Escobar"/>
    <x v="0"/>
    <s v="Subdirector@ de Gestión Corporativa"/>
    <x v="0"/>
    <s v="46171619, 81111805 ,81112208 "/>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046-BS-8126-5-Modernización y mantenimiento de la solución de control de acceso con reconocimiento facial para la U.A.E. Cuerpo Oficial Bomberos de Bogotá"/>
  </r>
  <r>
    <n v="20260047"/>
    <s v="Contratar el servicios de mantenimiento para el sistema de atención de turnos de la U.A.E. Cuerpo Ofical de Bomberos de Bogotá - TIC"/>
    <s v="03 - selec. abrev. subasta inversa"/>
    <x v="1"/>
    <s v="27 - contrato de prestacion de servicios de mantenimiento"/>
    <s v="JUNIO"/>
    <n v="12"/>
    <n v="0"/>
    <n v="10000000"/>
    <s v="NO"/>
    <s v="Dirección Tic"/>
    <s v="Paula Ximena Henao Escobar"/>
    <x v="0"/>
    <s v="Subdirector@ de Gestión Corporativa"/>
    <x v="0"/>
    <s v="32131023;39121011;432323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047-BS-8126-4-Contratar el servicios de mantenimiento para el sistema de atención de turnos de la U.A.E. Cuerpo Ofical de Bomberos de Bogotá - TIC"/>
  </r>
  <r>
    <n v="20260048"/>
    <s v="Modernizacion y soporte sala de auditorio sede Principal "/>
    <s v="01 - licitación pública"/>
    <x v="1"/>
    <s v="03 - contrato de prestacion de servicios"/>
    <s v="MARZO"/>
    <n v="12"/>
    <n v="0"/>
    <n v="628722414"/>
    <s v="NO"/>
    <s v="Dirección Tic"/>
    <s v="Paula Ximena Henao Escobar"/>
    <x v="0"/>
    <s v="Subdirector@ de Gestión Corporativa"/>
    <x v="0"/>
    <s v="43222600_x000a_45111700_x000a_45111800_x000a_521615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s v="20260048-BS-8126-5-Modernizacion y soporte sala de auditorio sede Principal "/>
  </r>
  <r>
    <n v="20260052"/>
    <s v="Contratar  la suscripción de licencias Suite Adobe para la UAE Cuerpo Oficial de Bomberos de Bogotá-TIC"/>
    <s v="17 - acuerdo marco de precios"/>
    <x v="1"/>
    <s v="19 - contrato de renovacion de licencias"/>
    <s v="SEPTIEMBRE"/>
    <n v="12"/>
    <n v="0"/>
    <n v="50000000"/>
    <s v="NO"/>
    <s v="Dirección Tic"/>
    <s v="Paula Ximena Henao Escobar"/>
    <x v="1"/>
    <s v="Subdirector@ de Gestión Corporativa"/>
    <x v="1"/>
    <s v="81112501;43232102;43232103;43231512"/>
    <s v="No aplica"/>
    <s v="No a"/>
    <s v="l"/>
    <s v="NA"/>
    <s v="NA"/>
    <s v="NA"/>
    <s v="N/A"/>
    <s v="N/A"/>
    <s v="N/A-N/A"/>
    <s v="N/A"/>
    <s v="N/A"/>
    <s v="N/A_N/A"/>
    <s v="N/A-N/A N/A_N/A"/>
    <s v="NANANAN/AN/A"/>
    <s v="N/A"/>
    <s v="O21202020080383141 Servicios de diseño y desarrollo de aplicaciones en tecnologías de la información (TI)"/>
    <s v="Si Secop "/>
    <s v="20260052-BS-No a-l-Contratar  la suscripción de licencias Suite Adobe para la UAE Cuerpo Oficial de Bomberos de Bogotá-TIC"/>
  </r>
  <r>
    <n v="20260053"/>
    <s v="Contratar los servicios de canales de datos dedicados para la UAE Cuerpo Oficial de Bomberos de Bogotá-TIC"/>
    <s v="17 - acuerdo marco de precios"/>
    <x v="1"/>
    <s v="24 - contrato de servicio"/>
    <s v="ABRIL"/>
    <n v="12"/>
    <n v="0"/>
    <n v="448870000"/>
    <s v="NO"/>
    <s v="Dirección Tic"/>
    <s v="Paula Ximena Henao Escobar"/>
    <x v="1"/>
    <s v="Subdirector@ de Gestión Corporativa"/>
    <x v="1"/>
    <n v="81112100"/>
    <s v="No aplica"/>
    <s v="No a"/>
    <s v="l"/>
    <s v="NA"/>
    <s v="NA"/>
    <s v="NA"/>
    <s v="N/A"/>
    <s v="N/A"/>
    <s v="N/A-N/A"/>
    <s v="N/A"/>
    <s v="N/A"/>
    <s v="N/A_N/A"/>
    <s v="N/A-N/A N/A_N/A"/>
    <s v="NANANAN/AN/A"/>
    <s v="N/A"/>
    <s v="O21202020080484290 Otros servicios de telecomunicaciones vía Internet"/>
    <s v="Si Secop "/>
    <s v="20260053-BS-No a-l-Contratar los servicios de canales de datos dedicados para la UAE Cuerpo Oficial de Bomberos de Bogotá-TIC"/>
  </r>
  <r>
    <n v="20260054"/>
    <s v="Adición y prorróga al contrato No. 785 de 2024 cuyo objeto es &quot;_x0009_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quot;"/>
    <s v="03 - selec. abrev. subasta inversa"/>
    <x v="1"/>
    <s v="27 - contrato de prestacion de servicios de mantenimiento"/>
    <s v="ABRIL"/>
    <n v="12"/>
    <n v="0"/>
    <n v="100000000"/>
    <s v="NO"/>
    <s v="Dirección Tic"/>
    <s v="Paula Ximena Henao Escobar"/>
    <x v="1"/>
    <s v="Subdirector@ de Gestión Corporativa"/>
    <x v="1"/>
    <s v="81111811;72151600; 43223300;_x000a_39131700"/>
    <s v="No aplica"/>
    <s v="No a"/>
    <s v="l"/>
    <s v="NA"/>
    <s v="NA"/>
    <s v="NA"/>
    <s v="N/A"/>
    <s v="N/A"/>
    <s v="N/A-N/A"/>
    <s v="N/A"/>
    <s v="N/A"/>
    <s v="N/A_N/A"/>
    <s v="N/A-N/A N/A_N/A"/>
    <s v="NANANAN/AN/A"/>
    <s v="N/A"/>
    <s v="O21202020080787130 Servicios de mantenimiento y reparación de computa"/>
    <s v="No Secop"/>
    <s v="20260054-BS-No a-l-Adición y prorróga al contrato No. 785 de 2024 cuyo objeto es &quot;_x0009_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quot;"/>
  </r>
  <r>
    <n v="20260055"/>
    <s v="Adición y prórroga del contrato No. 690 de 2025 cuyo objeto es &quot;Contratar la modernización integral tecnológica, soporte y mantenimiento preventivo y correctivo con repuestos, para los sistemas de video vigilancia de la U.A.E. Cuerpo Oficial de Bomberos de Bogotá - TIC.&quot;"/>
    <s v="03 - selec. abrev. subasta inversa"/>
    <x v="1"/>
    <s v="24 - contrato de servicio"/>
    <s v="JUNIO"/>
    <n v="12"/>
    <n v="0"/>
    <n v="100000000"/>
    <s v="NO"/>
    <s v="Dirección Tic"/>
    <s v="Paula Ximena Henao Escobar"/>
    <x v="1"/>
    <s v="Subdirector@ de Gestión Corporativa"/>
    <x v="1"/>
    <s v="43233200; 72151700;  43233200; 81112200; 72151700; 45121600"/>
    <s v="No aplica"/>
    <s v="No a"/>
    <s v="l"/>
    <s v="NA"/>
    <s v="NA"/>
    <s v="NA"/>
    <s v="N/A"/>
    <s v="N/A"/>
    <s v="N/A-N/A"/>
    <s v="N/A"/>
    <s v="N/A"/>
    <s v="N/A_N/A"/>
    <s v="N/A-N/A N/A_N/A"/>
    <s v="NANANAN/AN/A"/>
    <s v="N/A"/>
    <s v="No Aplica"/>
    <s v="No Secop"/>
    <s v="20260055-BS-No a-l-Adición y prórroga del contrato No. 690 de 2025 cuyo objeto es &quot;Contratar la modernización integral tecnológica, soporte y mantenimiento preventivo y correctivo con repuestos, para los sistemas de video vigilancia de la U.A.E. Cuerpo Oficial de Bomberos de Bogotá - TIC.&quot;"/>
  </r>
  <r>
    <n v="20260056"/>
    <s v="Contratar la adquisición de firma digital (token) para la U.A.E. Cuerpo Oficial de Bomberos de Bogotá - TIC"/>
    <s v="04 - contratación mínima cuantía"/>
    <x v="1"/>
    <s v="19 - contrato de renovacion de licencias"/>
    <s v="MARZO"/>
    <n v="12"/>
    <n v="0"/>
    <n v="27600000"/>
    <s v="NO"/>
    <s v="Dirección Tic"/>
    <s v="Paula Ximena Henao Escobar"/>
    <x v="1"/>
    <s v="Subdirector@ de Gestión Corporativa"/>
    <x v="1"/>
    <n v="43233205"/>
    <s v="No aplica"/>
    <s v="No a"/>
    <s v="l"/>
    <s v="NA"/>
    <s v="NA"/>
    <s v="NA"/>
    <s v="N/A"/>
    <s v="N/A"/>
    <s v="N/A-N/A"/>
    <s v="N/A"/>
    <s v="N/A"/>
    <s v="N/A_N/A"/>
    <s v="N/A-N/A N/A_N/A"/>
    <s v="NANANAN/AN/A"/>
    <s v="N/A"/>
    <s v="No Aplica"/>
    <s v="Si Secop "/>
    <s v="20260056-BS-No a-l-Contratar la adquisición de firma digital (token) para la U.A.E. Cuerpo Oficial de Bomberos de Bogotá - TIC"/>
  </r>
  <r>
    <n v="20260057"/>
    <s v="Prestar servicios de apoyo a la gestión como conductor para atender los requerimientos que se presenten en la Oficina Asesora de Planeación, así como los incidentes que puedan surgir en la Unidad Administrativa Especial Cuerpo Oficial de Bomberos de Bogotá."/>
    <s v="09 - contratación directa"/>
    <x v="0"/>
    <s v="26 - contrato de prestacion de servicios de apoyo a la gestion"/>
    <s v="ENERO"/>
    <n v="12"/>
    <n v="0"/>
    <n v="45042216"/>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57-TH-8126-1-Prestar servicios de apoyo a la gestión como conductor para atender los requerimientos que se presenten en la Oficina Asesora de Planeación, así como los incidentes que puedan surgir en la Unidad Administrativa Especial Cuerpo Oficial de Bomberos de Bogotá."/>
  </r>
  <r>
    <n v="20260058"/>
    <s v="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
    <s v="09 - contratación directa"/>
    <x v="0"/>
    <s v="25 - contrato de prestacion de servicios profesionales"/>
    <s v="ENERO"/>
    <n v="6"/>
    <n v="0"/>
    <n v="39000000"/>
    <s v="NO"/>
    <s v="Oficina Asesora de Planeación"/>
    <s v="Manuel Eduardo Castillo Guzman"/>
    <x v="0"/>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58-TH-8126-2-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
  </r>
  <r>
    <n v="20260059"/>
    <s v="Prestar servicios de apoyo a la gestión administrativa, orientados al control, organización y seguimiento de la documentación institucional, en cumplimiento de las políticas de planeación y de los lineamientos establecidos en el Modelo Integrado de Planeación y Gestión - MIPG."/>
    <s v="09 - contratación directa"/>
    <x v="0"/>
    <s v="26 - contrato de prestacion de servicios de apoyo a la gestion"/>
    <s v="ENERO"/>
    <n v="12"/>
    <n v="0"/>
    <n v="53889792"/>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59-TH-8126-1-Prestar servicios de apoyo a la gestión administrativa, orientados al control, organización y seguimiento de la documentación institucional, en cumplimiento de las políticas de planeación y de los lineamientos establecidos en el Modelo Integrado de Planeación y Gestión - MIPG."/>
  </r>
  <r>
    <n v="20260060"/>
    <s v="Prestar servicios profesionales para la gestión, formulación, actualización y seguimiento de los proyectos de inversión asignados, en el marco de la política de Gestión Presupuestal y Eficiencia del Gasto Público del Modelo Integrado de Planeación y Gestión - MIPG."/>
    <s v="09 - contratación directa"/>
    <x v="0"/>
    <s v="25 - contrato de prestacion de servicios profesionales"/>
    <s v="ENERO"/>
    <n v="11"/>
    <n v="0"/>
    <n v="110000000"/>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60-TH-8126-1-Prestar servicios profesionales para la gestión, formulación, actualización y seguimiento de los proyectos de inversión asignados, en el marco de la política de Gestión Presupuestal y Eficiencia del Gasto Público del Modelo Integrado de Planeación y Gestión - MIPG."/>
  </r>
  <r>
    <n v="20260061"/>
    <s v="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
    <s v="09 - contratación directa"/>
    <x v="0"/>
    <s v="25 - contrato de prestacion de servicios profesionales"/>
    <s v="ENERO"/>
    <n v="6"/>
    <n v="0"/>
    <n v="42000000"/>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61-TH-8126-1-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
  </r>
  <r>
    <n v="20260062"/>
    <s v="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
    <s v="09 - contratación directa"/>
    <x v="0"/>
    <s v="25 - contrato de prestacion de servicios profesionales"/>
    <s v="ENERO"/>
    <n v="12"/>
    <n v="0"/>
    <n v="96000000"/>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62-TH-8126-1-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
  </r>
  <r>
    <n v="20260063"/>
    <s v="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
    <s v="09 - contratación directa"/>
    <x v="0"/>
    <s v="25 - contrato de prestacion de servicios profesionales"/>
    <s v="ENERO"/>
    <n v="12"/>
    <n v="0"/>
    <n v="108000000"/>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991191 Servicios administrativos relacionados con los trabajadores estatales"/>
    <s v="Si Secop "/>
    <s v="20260063-TH-8126-1-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
  </r>
  <r>
    <n v="20260064"/>
    <s v="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
    <s v="09 - contratación directa"/>
    <x v="0"/>
    <s v="25 - contrato de prestacion de servicios profesionales"/>
    <s v="ENERO"/>
    <n v="12"/>
    <n v="0"/>
    <n v="90000000"/>
    <s v="NO"/>
    <s v="Oficina Asesora de Planeación"/>
    <s v="Manuel Eduardo Castillo Guzman"/>
    <x v="0"/>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991191 Servicios administrativos relacionados con los trabajadores estatales"/>
    <s v="Si Secop "/>
    <s v="20260064-TH-8126-2-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
  </r>
  <r>
    <n v="20260065"/>
    <s v="Prestar servicios de apoyo a la gestión administrativa para la ejecución de actividades asistenciales, logísticas y de gestión documental, requeridas para la implementación del Sistema de Gestión de la Calidad en el marco del Modelo Integrado de Planeación y Gestión - MIPG."/>
    <s v="09 - contratación directa"/>
    <x v="0"/>
    <s v="25 - contrato de prestacion de servicios profesionales"/>
    <s v="ENERO"/>
    <n v="8"/>
    <n v="0"/>
    <n v="33600000"/>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65-TH-8126-1-Prestar servicios de apoyo a la gestión administrativa para la ejecución de actividades asistenciales, logísticas y de gestión documental, requeridas para la implementación del Sistema de Gestión de la Calidad en el marco del Modelo Integrado de Planeación y Gestión - MIPG."/>
  </r>
  <r>
    <n v="20260066"/>
    <s v="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
    <s v="09 - contratación directa"/>
    <x v="0"/>
    <s v="25 - contrato de prestacion de servicios profesionales"/>
    <s v="ENERO"/>
    <n v="11"/>
    <n v="0"/>
    <n v="99000000"/>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66-TH-8126-1-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
  </r>
  <r>
    <n v="20260067"/>
    <s v="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
    <s v="09 - contratación directa"/>
    <x v="0"/>
    <s v="25 - contrato de prestacion de servicios profesionales"/>
    <s v="ENERO"/>
    <n v="11"/>
    <n v="0"/>
    <n v="88000000"/>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67-TH-8126-1-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
  </r>
  <r>
    <n v="20260068"/>
    <s v="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
    <s v="09 - contratación directa"/>
    <x v="0"/>
    <s v="25 - contrato de prestacion de servicios profesionales"/>
    <s v="ENERO"/>
    <n v="6"/>
    <n v="0"/>
    <n v="42000000"/>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68-TH-8126-1-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
  </r>
  <r>
    <n v="20260069"/>
    <s v="Prestar servicios profesionales a la Oficina Asesora de Planeación en los temas estratégicos y transversales relacionados con el Mejoramiento Continuo y la Gestión de la Calidad, en el marco del Modelo Integrado de Planeación y Gestión (MIPG)."/>
    <s v="09 - contratación directa"/>
    <x v="0"/>
    <s v="25 - contrato de prestacion de servicios profesionales"/>
    <s v="ENERO"/>
    <n v="12"/>
    <n v="0"/>
    <n v="126000000"/>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69-TH-8126-1-Prestar servicios profesionales a la Oficina Asesora de Planeación en los temas estratégicos y transversales relacionados con el Mejoramiento Continuo y la Gestión de la Calidad, en el marco del Modelo Integrado de Planeación y Gestión (MIPG)."/>
  </r>
  <r>
    <n v="20260070"/>
    <s v="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
    <s v="09 - contratación directa"/>
    <x v="0"/>
    <s v="25 - contrato de prestacion de servicios profesionales"/>
    <s v="ENERO"/>
    <n v="6"/>
    <n v="0"/>
    <n v="42000000"/>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70-TH-8126-1-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
  </r>
  <r>
    <n v="20260071"/>
    <s v="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
    <s v="09 - contratación directa"/>
    <x v="0"/>
    <s v="25 - contrato de prestacion de servicios profesionales"/>
    <s v="ENERO"/>
    <n v="11"/>
    <n v="0"/>
    <n v="101200000"/>
    <s v="NO"/>
    <s v="Oficina Asesora de Planeación"/>
    <s v="Manuel Eduardo Castillo Guzman"/>
    <x v="0"/>
    <s v="Subdirector@ de Gestión Corporativa"/>
    <x v="0"/>
    <n v="80111600"/>
    <s v="8126 3-Implementar el 100% de los sistemas y modelos de gestión que defina la UAECOB en el marco del MIPG"/>
    <s v="8126"/>
    <s v="3"/>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71-TH-8126-3-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
  </r>
  <r>
    <n v="20260072"/>
    <s v="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
    <s v="09 - contratación directa"/>
    <x v="0"/>
    <s v="25 - contrato de prestacion de servicios profesionales"/>
    <s v="ENERO"/>
    <n v="8"/>
    <n v="0"/>
    <n v="52000000"/>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72-TH-8126-1-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
  </r>
  <r>
    <n v="20260073"/>
    <s v="Prestar servicios profesionales para el desarrollo de actividades orientadas a la implementación de las políticas establecidas en el marco del Modelo Integrado de Planeación y Gestión - MIPG, liderado por la Oficina Asesora de Planeación."/>
    <s v="09 - contratación directa"/>
    <x v="0"/>
    <s v="25 - contrato de prestacion de servicios profesionales"/>
    <s v="ENERO"/>
    <n v="6"/>
    <n v="0"/>
    <n v="39000000"/>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73-TH-8126-1-Prestar servicios profesionales para el desarrollo de actividades orientadas a la implementación de las políticas establecidas en el marco del Modelo Integrado de Planeación y Gestión - MIPG, liderado por la Oficina Asesora de Planeación."/>
  </r>
  <r>
    <n v="20260074"/>
    <s v="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
    <s v="09 - contratación directa"/>
    <x v="0"/>
    <s v="25 - contrato de prestacion de servicios profesionales"/>
    <s v="ENERO"/>
    <n v="6"/>
    <n v="0"/>
    <n v="60000000"/>
    <s v="NO"/>
    <s v="Oficina Asesora de Planeación"/>
    <s v="Manuel Eduardo Castillo Guzman"/>
    <x v="0"/>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991191 Servicios administrativos relacionados con los trabajadores estatales"/>
    <s v="Si Secop "/>
    <s v="20260074-TH-8126-2-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
  </r>
  <r>
    <n v="20260075"/>
    <s v="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
    <s v="09 - contratación directa"/>
    <x v="0"/>
    <s v="25 - contrato de prestacion de servicios profesionales"/>
    <s v="ENERO"/>
    <n v="6"/>
    <n v="0"/>
    <n v="40200000"/>
    <s v="NO"/>
    <s v="Oficina Asesora de Planeación"/>
    <s v="Manuel Eduardo Castillo Guzman"/>
    <x v="0"/>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991191 Servicios administrativos relacionados con los trabajadores estatales"/>
    <s v="Si Secop "/>
    <s v="20260075-TH-8126-2-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
  </r>
  <r>
    <n v="20260076"/>
    <s v="Prestar servicios profesionales para brindar apoyo jurídico en la gestión contractual y administrativa de la Oficina Asesora de Planeación, de acuerdo con los lineamientos internos y en el marco del Modelo Integrado de Planeación y Gestión - MIPG."/>
    <s v="09 - contratación directa"/>
    <x v="0"/>
    <s v="25 - contrato de prestacion de servicios profesionales"/>
    <s v="ENERO"/>
    <n v="6"/>
    <n v="0"/>
    <n v="39000000"/>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76-TH-8126-1-Prestar servicios profesionales para brindar apoyo jurídico en la gestión contractual y administrativa de la Oficina Asesora de Planeación, de acuerdo con los lineamientos internos y en el marco del Modelo Integrado de Planeación y Gestión - MIPG."/>
  </r>
  <r>
    <n v="20260077"/>
    <s v="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
    <s v="09 - contratación directa"/>
    <x v="0"/>
    <s v="26 - contrato de prestacion de servicios de apoyo a la gestion"/>
    <s v="ENERO"/>
    <n v="8"/>
    <n v="0"/>
    <n v="35926528"/>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991191 Servicios administrativos relacionados con los trabajadores estatales"/>
    <s v="Si Secop "/>
    <s v="20260077-TH-8126-1-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
  </r>
  <r>
    <n v="20260078"/>
    <s v="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
    <s v="09 - contratación directa"/>
    <x v="0"/>
    <s v="25 - contrato de prestacion de servicios profesionales"/>
    <s v="ENERO"/>
    <n v="8"/>
    <n v="0"/>
    <n v="56000000"/>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78-TH-8126-1-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
  </r>
  <r>
    <n v="20260079"/>
    <s v="Prestar servicios profesionales para apoyar al Jefe de la Oficina de Planeación en asuntos estratégicos de la gestión administrativa"/>
    <s v="09 - contratación directa"/>
    <x v="0"/>
    <s v="26 - contrato de prestacion de servicios de apoyo a la gestion"/>
    <s v="ENERO"/>
    <n v="7"/>
    <n v="0"/>
    <n v="49000000"/>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No Secop"/>
    <s v="20260079-TH-8126-1-Prestar servicios profesionales para apoyar al Jefe de la Oficina de Planeación en asuntos estratégicos de la gestión administrativa"/>
  </r>
  <r>
    <n v="20260080"/>
    <s v="Prestar servicios profesionales a la Oficina Asesora de Planeación en los asuntos concernientes que se le asignen para la implementación del Modelo Integrado de Planeación y Gestión MIPG."/>
    <s v="09 - contratación directa"/>
    <x v="0"/>
    <s v="25 - contrato de prestacion de servicios profesionales"/>
    <s v="ENERO"/>
    <n v="7"/>
    <n v="0"/>
    <n v="49000000"/>
    <s v="NO"/>
    <s v="Oficina Asesora de Planeación"/>
    <s v="Manuel Eduardo Castillo Guzman"/>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Si Secop "/>
    <s v="20260080-TH-8126-1-Prestar servicios profesionales a la Oficina Asesora de Planeación en los asuntos concernientes que se le asignen para la implementación del Modelo Integrado de Planeación y Gestión MIPG."/>
  </r>
  <r>
    <n v="20260081"/>
    <s v="Prestar servicios profesionales jurídicos especializados en la Oficina de Control Disciplinario Interno para orientar, revisar y apoyar los documentos que se elaboren en el desarrollo del proceso disciplinario en etapa de instrucción."/>
    <s v="09 - contratación directa"/>
    <x v="0"/>
    <s v="25 - contrato de prestacion de servicios profesionales"/>
    <s v="FEBRERO"/>
    <n v="10"/>
    <n v="0"/>
    <n v="78000000"/>
    <s v="NO"/>
    <s v="Oficina de Control Disciplinario Interno"/>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1-TH-8126-9-Prestar servicios profesionales jurídicos especializados en la Oficina de Control Disciplinario Interno para orientar, revisar y apoyar los documentos que se elaboren en el desarrollo del proceso disciplinario en etapa de instrucción."/>
  </r>
  <r>
    <n v="20260082"/>
    <s v="Prestar los servicios profesionales jurídicos especializados en la Oficina de Control Disciplinario Interno de la entidad estableciendo pautas de liderazgo en las actuaciones procesales que se deban tramitar en esa dependencia en etapa de instrucción"/>
    <s v="09 - contratación directa"/>
    <x v="0"/>
    <s v="25 - contrato de prestacion de servicios profesionales"/>
    <s v="FEBRERO"/>
    <n v="10"/>
    <n v="0"/>
    <n v="85000000"/>
    <s v="NO"/>
    <s v="Oficina de Control Disciplinario Interno"/>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2-TH-8126-9-Prestar los servicios profesionales jurídicos especializados en la Oficina de Control Disciplinario Interno de la entidad estableciendo pautas de liderazgo en las actuaciones procesales que se deban tramitar en esa dependencia en etapa de instrucción"/>
  </r>
  <r>
    <n v="20260083"/>
    <s v="Prestar servicios profesionales jurídicos en la Oficina de Control Disciplinario Interno de la entidad para apoyar la gestión, logística y operación de los procesos contractuales y administrativos a cargo de esta dependencia."/>
    <s v="09 - contratación directa"/>
    <x v="0"/>
    <s v="25 - contrato de prestacion de servicios profesionales"/>
    <s v="FEBRERO"/>
    <n v="10"/>
    <n v="0"/>
    <n v="80000000"/>
    <s v="NO"/>
    <s v="Oficina de Control Disciplinario Interno"/>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3-TH-8126-9-Prestar servicios profesionales jurídicos en la Oficina de Control Disciplinario Interno de la entidad para apoyar la gestión, logística y operación de los procesos contractuales y administrativos a cargo de esta dependencia."/>
  </r>
  <r>
    <n v="20260084"/>
    <s v="Prestar servicios profesionales jurídicos para apoyar la instrucción y demás actuaciones que deban surtirse en los procesos disciplinarios adelantados por la Oficina de Control Disciplinario Interno."/>
    <s v="09 - contratación directa"/>
    <x v="0"/>
    <s v="25 - contrato de prestacion de servicios profesionales"/>
    <s v="FEBRERO"/>
    <n v="10"/>
    <n v="0"/>
    <n v="70000000"/>
    <s v="NO"/>
    <s v="Oficina de Control Disciplinario Interno"/>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4-TH-8126-9-Prestar servicios profesionales jurídicos para apoyar la instrucción y demás actuaciones que deban surtirse en los procesos disciplinarios adelantados por la Oficina de Control Disciplinario Interno."/>
  </r>
  <r>
    <n v="20260085"/>
    <s v="Prestar servicios profesionales jurídicos para apoyar la instrucción y demás actuaciones que deban surtirse en los procesos disciplinarios adelantados por la Oficina de Control Disciplinario Interno."/>
    <s v="09 - contratación directa"/>
    <x v="0"/>
    <s v="25 - contrato de prestacion de servicios profesionales"/>
    <s v="FEBRERO"/>
    <n v="10"/>
    <n v="0"/>
    <n v="70000000"/>
    <s v="NO"/>
    <s v="Oficina de Control Disciplinario Interno"/>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5-TH-8126-9-Prestar servicios profesionales jurídicos para apoyar la instrucción y demás actuaciones que deban surtirse en los procesos disciplinarios adelantados por la Oficina de Control Disciplinario Interno."/>
  </r>
  <r>
    <n v="20260086"/>
    <s v="Prestar servicios profesionales jurídicos para apoyar la instrucción y demás actuaciones que deban surtirse en los procesos disciplinarios adelantados por la Oficina de Control Disciplinario Interno."/>
    <s v="09 - contratación directa"/>
    <x v="0"/>
    <s v="25 - contrato de prestacion de servicios profesionales"/>
    <s v="FEBRERO"/>
    <n v="10"/>
    <n v="0"/>
    <n v="70000000"/>
    <s v="NO"/>
    <s v="Oficina de Control Disciplinario Interno"/>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6-TH-8126-9-Prestar servicios profesionales jurídicos para apoyar la instrucción y demás actuaciones que deban surtirse en los procesos disciplinarios adelantados por la Oficina de Control Disciplinario Interno."/>
  </r>
  <r>
    <n v="20260087"/>
    <s v="Prestar servicios profesionales jurídicos para apoyar la instrucción y demás actuaciones que deban surtirse en los procesos disciplinarios adelantados por la Oficina de Control Disciplinario Interno."/>
    <s v="09 - contratación directa"/>
    <x v="0"/>
    <s v="25 - contrato de prestacion de servicios profesionales"/>
    <s v="FEBRERO"/>
    <n v="10"/>
    <n v="0"/>
    <n v="70000000"/>
    <s v="NO"/>
    <s v="Oficina de Control Disciplinario Interno"/>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7-TH-8126-9-Prestar servicios profesionales jurídicos para apoyar la instrucción y demás actuaciones que deban surtirse en los procesos disciplinarios adelantados por la Oficina de Control Disciplinario Interno."/>
  </r>
  <r>
    <n v="20260088"/>
    <s v="Prestar servicios profesionales jurídicos para apoyar la instrucción y demás actuaciones que deban surtirse en los procesos disciplinarios adelantados por la Oficina de Control Disciplinario Interno."/>
    <s v="09 - contratación directa"/>
    <x v="0"/>
    <s v="25 - contrato de prestacion de servicios profesionales"/>
    <s v="FEBRERO"/>
    <n v="10"/>
    <n v="0"/>
    <n v="70000000"/>
    <s v="NO"/>
    <s v="Oficina de Control Disciplinario Interno"/>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8-TH-8126-9-Prestar servicios profesionales jurídicos para apoyar la instrucción y demás actuaciones que deban surtirse en los procesos disciplinarios adelantados por la Oficina de Control Disciplinario Interno."/>
  </r>
  <r>
    <n v="20260089"/>
    <s v="Prestar servicios profesionales para ejercer las labores de secretaría común y actividades jurídicas que requieren las actuaciones disciplinarias en etapa de instrucción adelantadas por la Oficina de Control Disciplinario Interno._x0009_"/>
    <s v="09 - contratación directa"/>
    <x v="0"/>
    <s v="25 - contrato de prestacion de servicios profesionales"/>
    <s v="FEBRERO"/>
    <n v="10"/>
    <n v="0"/>
    <n v="55000000"/>
    <s v="NO"/>
    <s v="Oficina de Control Disciplinario Interno"/>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89-TH-8126-9-Prestar servicios profesionales para ejercer las labores de secretaría común y actividades jurídicas que requieren las actuaciones disciplinarias en etapa de instrucción adelantadas por la Oficina de Control Disciplinario Interno._x0009_"/>
  </r>
  <r>
    <n v="20260090"/>
    <s v="Prestación de servicios de apoyo técnico a la Oficina de Control Disciplinario Interno de la UAECOB para la gestión y cumplimiento de las funciones administrativas asignadas."/>
    <s v="09 - contratación directa"/>
    <x v="0"/>
    <s v="26 - contrato de prestacion de servicios de apoyo a la gestion"/>
    <s v="FEBRERO"/>
    <n v="10"/>
    <n v="0"/>
    <n v="36000000"/>
    <s v="NO"/>
    <s v="Oficina de Control Disciplinario Interno"/>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0-TH-8126-9-Prestación de servicios de apoyo técnico a la Oficina de Control Disciplinario Interno de la UAECOB para la gestión y cumplimiento de las funciones administrativas asignadas."/>
  </r>
  <r>
    <n v="20260091"/>
    <s v="Prestación de servicios de apoyo administrativo y de gestión documental a la Oficina de Control Disciplinario Interno de la UAECOB, en el manejo y organización de la documentación propia de los expedientes disciplinarios y las actividades de archivo que se requieran."/>
    <s v="09 - contratación directa"/>
    <x v="0"/>
    <s v="26 - contrato de prestacion de servicios de apoyo a la gestion"/>
    <s v="FEBRERO"/>
    <n v="10"/>
    <n v="0"/>
    <n v="26000000"/>
    <s v="NO"/>
    <s v="Oficina de Control Disciplinario Interno"/>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1-TH-8126-9-Prestación de servicios de apoyo administrativo y de gestión documental a la Oficina de Control Disciplinario Interno de la UAECOB, en el manejo y organización de la documentación propia de los expedientes disciplinarios y las actividades de archivo que se requieran."/>
  </r>
  <r>
    <n v="20260092"/>
    <s v="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
    <s v="09 - contratación directa"/>
    <x v="0"/>
    <s v="25 - contrato de prestacion de servicios profesionales"/>
    <s v="FEBRERO"/>
    <n v="10"/>
    <n v="0"/>
    <n v="60000000"/>
    <s v="NO"/>
    <s v="Oficina de Control Disciplinario Interno"/>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2-TH-8126-9-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
  </r>
  <r>
    <n v="20260093"/>
    <s v="Prestar los servicios profesionales como abogado en la Oficina de Control Interno para el desarrollo del Plan Anual de Auditorías."/>
    <s v="09 - contratación directa"/>
    <x v="0"/>
    <s v="25 - contrato de prestacion de servicios profesionales"/>
    <s v="ENERO"/>
    <n v="11"/>
    <n v="0"/>
    <n v="85158000"/>
    <s v="NO"/>
    <s v="Oficina de Control Interno"/>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3-TH-8126-9-Prestar los servicios profesionales como abogado en la Oficina de Control Interno para el desarrollo del Plan Anual de Auditorías."/>
  </r>
  <r>
    <n v="20260094"/>
    <s v="Prestar los servicios profesionales como contador público en la Oficina de Control Interno para el desarrollo del Plan Anual de Auditorías."/>
    <s v="09 - contratación directa"/>
    <x v="0"/>
    <s v="25 - contrato de prestacion de servicios profesionales"/>
    <s v="ENERO"/>
    <n v="11"/>
    <n v="0"/>
    <n v="85158000"/>
    <s v="NO"/>
    <s v="Oficina de Control Interno"/>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4-TH-8126-9-Prestar los servicios profesionales como contador público en la Oficina de Control Interno para el desarrollo del Plan Anual de Auditorías."/>
  </r>
  <r>
    <n v="20260095"/>
    <s v="Prestar los servicios profesionales en la Oficina de Control Interno para el desarrollo del Plan Anual de Auditorías."/>
    <s v="09 - contratación directa"/>
    <x v="0"/>
    <s v="25 - contrato de prestacion de servicios profesionales"/>
    <s v="ENERO"/>
    <n v="11"/>
    <n v="0"/>
    <n v="85158000"/>
    <s v="NO"/>
    <s v="Oficina de Control Interno"/>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5-TH-8126-9-Prestar los servicios profesionales en la Oficina de Control Interno para el desarrollo del Plan Anual de Auditorías."/>
  </r>
  <r>
    <n v="20260096"/>
    <s v="Prestar los servicios profesionales en la Oficina de Control Interno para el desarrollo del Plan Anual de Auditorías."/>
    <s v="09 - contratación directa"/>
    <x v="0"/>
    <s v="25 - contrato de prestacion de servicios profesionales"/>
    <s v="ENERO"/>
    <n v="11"/>
    <n v="0"/>
    <n v="51424000"/>
    <s v="NO"/>
    <s v="Oficina de Control Interno"/>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6-TH-8126-9-Prestar los servicios profesionales en la Oficina de Control Interno para el desarrollo del Plan Anual de Auditorías."/>
  </r>
  <r>
    <n v="20260097"/>
    <s v="Prestar servicios de apoyo a la gestión como técnico en la Oficina de Control Interno para ejecutar procesos y procedimientos administrativos y asistenciales teniendo en cuenta el Plan Anual de Auditorías."/>
    <s v="09 - contratación directa"/>
    <x v="0"/>
    <s v="26 - contrato de prestacion de servicios de apoyo a la gestion"/>
    <s v="ENERO"/>
    <n v="11"/>
    <n v="0"/>
    <n v="43102000"/>
    <s v="NO"/>
    <s v="Oficina de Control Interno"/>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7-TH-8126-9-Prestar servicios de apoyo a la gestión como técnico en la Oficina de Control Interno para ejecutar procesos y procedimientos administrativos y asistenciales teniendo en cuenta el Plan Anual de Auditorías."/>
  </r>
  <r>
    <n v="20260098"/>
    <s v="Prestar los servicios profesionales jurídicos especializados para orientar y apoyar los procesos de contratación en sus diferentes etapas adelantados por la Oficina Jurídica, tendientes a garantizar las necesidades propias de la UAECOB"/>
    <s v="09 - contratación directa"/>
    <x v="0"/>
    <s v="25 - contrato de prestacion de servicios profesionales"/>
    <s v="FEBRERO"/>
    <n v="9"/>
    <n v="0"/>
    <n v="900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8-TH-8126-9-Prestar los servicios profesionales jurídicos especializados para orientar y apoyar los procesos de contratación en sus diferentes etapas adelantados por la Oficina Jurídica, tendientes a garantizar las necesidades propias de la UAECOB"/>
  </r>
  <r>
    <n v="20260099"/>
    <s v="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
    <s v="09 - contratación directa"/>
    <x v="0"/>
    <s v="25 - contrato de prestacion de servicios profesionales"/>
    <s v="FEBRERO"/>
    <n v="8"/>
    <n v="0"/>
    <n v="720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099-TH-8126-9-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
  </r>
  <r>
    <n v="20260100"/>
    <s v="Prestar el servicio de apoyo técnico y operativo a la gestión de los procesos disciplinarios en la etapa de juzgamiento, mediante la ejecución de tareas administrativas, logísticas y de soporte documental en la Oficina Jurídica"/>
    <s v="09 - contratación directa"/>
    <x v="0"/>
    <s v="25 - contrato de prestacion de servicios profesionales"/>
    <s v="FEBRERO"/>
    <n v="8"/>
    <n v="0"/>
    <n v="296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0-TH-8126-9-Prestar el servicio de apoyo técnico y operativo a la gestión de los procesos disciplinarios en la etapa de juzgamiento, mediante la ejecución de tareas administrativas, logísticas y de soporte documental en la Oficina Jurídica"/>
  </r>
  <r>
    <n v="20260101"/>
    <s v="Prestar servicios profesionales jurídicos para apoyar las actividades de defensa Judicial y de procesos penales que adelante la UAE Cuerpo Oficial de Bomberos de Bogotá"/>
    <s v="09 - contratación directa"/>
    <x v="0"/>
    <s v="25 - contrato de prestacion de servicios profesionales"/>
    <s v="FEBRERO"/>
    <n v="8"/>
    <n v="0"/>
    <n v="520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1-TH-8126-9-Prestar servicios profesionales jurídicos para apoyar las actividades de defensa Judicial y de procesos penales que adelante la UAE Cuerpo Oficial de Bomberos de Bogotá"/>
  </r>
  <r>
    <n v="20260102"/>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x v="0"/>
    <s v="25 - contrato de prestacion de servicios profesionales"/>
    <s v="FEBRERO"/>
    <n v="9"/>
    <n v="0"/>
    <n v="675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2-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03"/>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x v="0"/>
    <s v="25 - contrato de prestacion de servicios profesionales"/>
    <s v="FEBRERO"/>
    <n v="8"/>
    <n v="0"/>
    <n v="536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3-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04"/>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x v="0"/>
    <s v="25 - contrato de prestacion de servicios profesionales"/>
    <s v="FEBRERO"/>
    <n v="4"/>
    <n v="0"/>
    <n v="248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4-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05"/>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x v="0"/>
    <s v="25 - contrato de prestacion de servicios profesionales"/>
    <s v="FEBRERO"/>
    <n v="8"/>
    <n v="0"/>
    <n v="536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5-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06"/>
    <s v="Prestar los servicios profesionales jurídicos especializados en la Oficina Jurídica que garantice la verificación de la legalidad, en apoyo a cada una de las actuaciones a cargo de esta Oficina."/>
    <s v="09 - contratación directa"/>
    <x v="0"/>
    <s v="25 - contrato de prestacion de servicios profesionales"/>
    <s v="FEBRERO"/>
    <n v="9"/>
    <n v="0"/>
    <n v="945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6-TH-8126-9-Prestar los servicios profesionales jurídicos especializados en la Oficina Jurídica que garantice la verificación de la legalidad, en apoyo a cada una de las actuaciones a cargo de esta Oficina."/>
  </r>
  <r>
    <n v="20260107"/>
    <s v="Prestar servicios profesionales para apoyar en la estructuración de las acciones de mejora, seguimiento  a la gestión contractual de la Entidad y demás procedimientos, en el marco de las funciones de la Oficina Jurídica"/>
    <s v="09 - contratación directa"/>
    <x v="0"/>
    <s v="25 - contrato de prestacion de servicios profesionales"/>
    <s v="FEBRERO"/>
    <n v="8"/>
    <n v="0"/>
    <n v="772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7-TH-8126-9-Prestar servicios profesionales para apoyar en la estructuración de las acciones de mejora, seguimiento  a la gestión contractual de la Entidad y demás procedimientos, en el marco de las funciones de la Oficina Jurídica"/>
  </r>
  <r>
    <n v="20260108"/>
    <s v="Prestar servicios profesionales para apoyar en la estructuración de las acciones de mejora, elaboración de informes y soporte de las funciones administrativas y de mejora"/>
    <s v="09 - contratación directa"/>
    <x v="0"/>
    <s v="25 - contrato de prestacion de servicios profesionales"/>
    <s v="FEBRERO"/>
    <n v="8"/>
    <n v="0"/>
    <n v="520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8-TH-8126-9-Prestar servicios profesionales para apoyar en la estructuración de las acciones de mejora, elaboración de informes y soporte de las funciones administrativas y de mejora"/>
  </r>
  <r>
    <n v="20260109"/>
    <s v="Prestar los servicios profesionales jurídicos especializados para apoyar el desarrollo de las funciones de la Oficina Jurídica"/>
    <s v="09 - contratación directa"/>
    <x v="0"/>
    <s v="25 - contrato de prestacion de servicios profesionales"/>
    <s v="FEBRERO"/>
    <n v="6"/>
    <n v="0"/>
    <n v="303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09-TH-8126-9-Prestar los servicios profesionales jurídicos especializados para apoyar el desarrollo de las funciones de la Oficina Jurídica"/>
  </r>
  <r>
    <n v="20260110"/>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x v="0"/>
    <s v="25 - contrato de prestacion de servicios profesionales"/>
    <s v="FEBRERO"/>
    <n v="9"/>
    <n v="0"/>
    <n v="765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0-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1"/>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x v="0"/>
    <s v="25 - contrato de prestacion de servicios profesionales"/>
    <s v="FEBRERO"/>
    <n v="9"/>
    <n v="0"/>
    <n v="765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1-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2"/>
    <s v="Prestar servicios profesionales jurídicos para orientar y apoyar los procesos de contratación gestionados por la Oficina Jurídica, en el marco de las actividades propias de la gestión contractual, con el objetivo de garantizar el cumplimiento de las necesidades de la UAECOB."/>
    <s v="09 - contratación directa"/>
    <x v="0"/>
    <s v="25 - contrato de prestacion de servicios profesionales"/>
    <s v="FEBRERO"/>
    <n v="9"/>
    <n v="0"/>
    <n v="765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2-TH-8126-9-Prestar servicios profesionales jurídicos para orientar y apoyar los procesos de contratación gestionados por la Oficina Jurídica, en el marco de las actividades propias de la gestión contractual, con el objetivo de garantizar el cumplimiento de las necesidades de la UAECOB."/>
  </r>
  <r>
    <n v="20260113"/>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x v="0"/>
    <s v="25 - contrato de prestacion de servicios profesionales"/>
    <s v="FEBRERO"/>
    <n v="9"/>
    <n v="0"/>
    <n v="765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3-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4"/>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x v="0"/>
    <s v="25 - contrato de prestacion de servicios profesionales"/>
    <s v="FEBRERO"/>
    <n v="9"/>
    <n v="0"/>
    <n v="720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4-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5"/>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x v="0"/>
    <s v="26 - contrato de prestacion de servicios de apoyo a la gestion"/>
    <s v="FEBRERO"/>
    <n v="9"/>
    <n v="0"/>
    <n v="603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5-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16"/>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x v="0"/>
    <s v="26 - contrato de prestacion de servicios de apoyo a la gestion"/>
    <s v="FEBRERO"/>
    <n v="8"/>
    <n v="0"/>
    <n v="464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6-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17"/>
    <s v="Prestar los servicios profesionales para realizar el acompañamiento administrativo y financiero en temas de liquidación y cierre de expedientes, como demás actuaciones administrativas requeridas de los procesos contractuales"/>
    <s v="09 - contratación directa"/>
    <x v="0"/>
    <s v="25 - contrato de prestacion de servicios profesionales"/>
    <s v="FEBRERO"/>
    <n v="8"/>
    <n v="0"/>
    <n v="720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7-TH-8126-9-Prestar los servicios profesionales para realizar el acompañamiento administrativo y financiero en temas de liquidación y cierre de expedientes, como demás actuaciones administrativas requeridas de los procesos contractuales"/>
  </r>
  <r>
    <n v="20260118"/>
    <s v="Prestar los servicios profesionales especializados para la representación judicial  de la Entidad y la prevención del daño antijurídico."/>
    <s v="09 - contratación directa"/>
    <x v="0"/>
    <s v="25 - contrato de prestacion de servicios profesionales"/>
    <s v="FEBRERO"/>
    <n v="11"/>
    <n v="0"/>
    <n v="3740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8-TH-8126-9-Prestar los servicios profesionales especializados para la representación judicial  de la Entidad y la prevención del daño antijurídico."/>
  </r>
  <r>
    <n v="20260119"/>
    <s v="Prestar los servicios de apoyo para las gestiones administrativas requeridas en la Oficina Jurídica."/>
    <s v="09 - contratación directa"/>
    <x v="0"/>
    <s v="26 - contrato de prestacion de servicios de apoyo a la gestion"/>
    <s v="FEBRERO"/>
    <n v="8"/>
    <n v="0"/>
    <n v="288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19-TH-8126-9-Prestar los servicios de apoyo para las gestiones administrativas requeridas en la Oficina Jurídica."/>
  </r>
  <r>
    <n v="20260120"/>
    <s v="Prestar los servicios de apoyo para las gestiones documentales y administrativas requerida por la Oficina  Jurídica."/>
    <s v="09 - contratación directa"/>
    <x v="0"/>
    <s v="26 - contrato de prestacion de servicios de apoyo a la gestion"/>
    <s v="FEBRERO"/>
    <n v="8"/>
    <n v="0"/>
    <n v="288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0-TH-8126-9-Prestar los servicios de apoyo para las gestiones documentales y administrativas requerida por la Oficina  Jurídica."/>
  </r>
  <r>
    <n v="20260121"/>
    <s v="Prestar los servicios de apoyo para las gestiones documentales y administrativas requerida por la Oficina  Jurídica."/>
    <s v="09 - contratación directa"/>
    <x v="0"/>
    <s v="26 - contrato de prestacion de servicios de apoyo a la gestion"/>
    <s v="FEBRERO"/>
    <n v="8"/>
    <n v="0"/>
    <n v="288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1-TH-8126-9-Prestar los servicios de apoyo para las gestiones documentales y administrativas requerida por la Oficina  Jurídica."/>
  </r>
  <r>
    <n v="20260122"/>
    <s v="Prestar los servicios profesionales para apoyar la gestión de la información y presupuestal y elaborar los informes reglamentarios que la Oficina Jurídica debe presentar a los entes de control, respuestas a la ciudadanía y otros informes que den cuanta de su gestión."/>
    <s v="09 - contratación directa"/>
    <x v="0"/>
    <s v="25 - contrato de prestacion de servicios profesionales"/>
    <s v="FEBRERO"/>
    <n v="8"/>
    <n v="0"/>
    <n v="640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2-TH-8126-9-Prestar los servicios profesionales para apoyar la gestión de la información y presupuestal y elaborar los informes reglamentarios que la Oficina Jurídica debe presentar a los entes de control, respuestas a la ciudadanía y otros informes que den cuanta de su gestión."/>
  </r>
  <r>
    <n v="20260123"/>
    <s v="Prestar servicios profesionales para realizar la gestión de tramites y actividades que se requieran en los diferentes procesos disciplinarios propios de la etapa de juzgamiento de la Oficina Jurídica en la UAECOB"/>
    <s v="09 - contratación directa"/>
    <x v="0"/>
    <s v="25 - contrato de prestacion de servicios profesionales"/>
    <s v="FEBRERO"/>
    <n v="8"/>
    <n v="0"/>
    <n v="461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3-TH-8126-9-Prestar servicios profesionales para realizar la gestión de tramites y actividades que se requieran en los diferentes procesos disciplinarios propios de la etapa de juzgamiento de la Oficina Jurídica en la UAECOB"/>
  </r>
  <r>
    <n v="20260124"/>
    <s v="Prestar los servicios profesionales para apoyar la depuración de la cartera de cobro coactivo, así como actividades propias de la defensa judicial de la Entidad y demas actiuaciones relacionadas que requiera la Oficina Jurídica"/>
    <s v="09 - contratación directa"/>
    <x v="0"/>
    <s v="25 - contrato de prestacion de servicios profesionales"/>
    <s v="FEBRERO"/>
    <n v="8"/>
    <n v="0"/>
    <n v="600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4-TH-8126-9-Prestar los servicios profesionales para apoyar la depuración de la cartera de cobro coactivo, así como actividades propias de la defensa judicial de la Entidad y demas actiuaciones relacionadas que requiera la Oficina Jurídica"/>
  </r>
  <r>
    <n v="20260125"/>
    <s v="Prestación de servicios profesionales jurídicos para orientar y apoyar el trámite y la gestión de los procesos disciplinarios que se adelanten en la Oficina Jurídica de la Unidad Administrativa Especial Cuerpo Oficial de Bomberos Bogotá"/>
    <s v="09 - contratación directa"/>
    <x v="0"/>
    <s v="25 - contrato de prestacion de servicios profesionales"/>
    <s v="FEBRERO"/>
    <n v="8"/>
    <n v="0"/>
    <n v="640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5-TH-8126-9-Prestación de servicios profesionales jurídicos para orientar y apoyar el trámite y la gestión de los procesos disciplinarios que se adelanten en la Oficina Jurídica de la Unidad Administrativa Especial Cuerpo Oficial de Bomberos Bogotá"/>
  </r>
  <r>
    <n v="20260126"/>
    <s v="Prestar servicios profesionales de carácter jurídico para apoyar y fortalecer de manera integral las actividades propias de la Oficina Jurídica"/>
    <s v="09 - contratación directa"/>
    <x v="0"/>
    <s v="25 - contrato de prestacion de servicios profesionales"/>
    <s v="FEBRERO"/>
    <n v="8"/>
    <n v="0"/>
    <n v="640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6-TH-8126-9-Prestar servicios profesionales de carácter jurídico para apoyar y fortalecer de manera integral las actividades propias de la Oficina Jurídica"/>
  </r>
  <r>
    <n v="20260127"/>
    <s v="Prestar los servicios profesionales jurídicos para apoyar las actuaciones procesales y procedimentales de la Oficina Jurídica"/>
    <s v="09 - contratación directa"/>
    <x v="0"/>
    <s v="25 - contrato de prestacion de servicios profesionales"/>
    <s v="FEBRERO"/>
    <n v="8"/>
    <n v="0"/>
    <n v="520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7-TH-8126-9-Prestar los servicios profesionales jurídicos para apoyar las actuaciones procesales y procedimentales de la Oficina Jurídica"/>
  </r>
  <r>
    <n v="20260128"/>
    <s v="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
    <s v="09 - contratación directa"/>
    <x v="0"/>
    <s v="25 - contrato de prestacion de servicios profesionales"/>
    <s v="ENERO"/>
    <n v="8"/>
    <n v="0"/>
    <n v="640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28-TH-8173-9-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
  </r>
  <r>
    <n v="20260129"/>
    <s v="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s v="09 - contratación directa"/>
    <x v="0"/>
    <s v="26 - contrato de prestacion de servicios de apoyo a la gestion"/>
    <s v="ENERO"/>
    <n v="7"/>
    <n v="0"/>
    <n v="266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29-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r>
  <r>
    <n v="20260130"/>
    <s v="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
    <s v="09 - contratación directa"/>
    <x v="0"/>
    <s v="26 - contrato de prestacion de servicios de apoyo a la gestion"/>
    <s v="ENERO"/>
    <n v="11"/>
    <n v="0"/>
    <n v="462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0-TH-8126-9-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
  </r>
  <r>
    <n v="20260131"/>
    <s v="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s v="09 - contratación directa"/>
    <x v="0"/>
    <s v="26 - contrato de prestacion de servicios de apoyo a la gestion"/>
    <s v="ENERO"/>
    <n v="7"/>
    <n v="0"/>
    <n v="266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1-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r>
  <r>
    <n v="20260132"/>
    <s v="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s v="09 - contratación directa"/>
    <x v="0"/>
    <s v="26 - contrato de prestacion de servicios de apoyo a la gestion"/>
    <s v="ENERO"/>
    <n v="11"/>
    <n v="0"/>
    <n v="418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2-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r>
  <r>
    <n v="20260133"/>
    <s v="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
    <s v="09 - contratación directa"/>
    <x v="0"/>
    <s v="26 - contrato de prestacion de servicios de apoyo a la gestion"/>
    <s v="ENERO"/>
    <n v="7"/>
    <n v="0"/>
    <n v="287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3-TH-8126-9-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
  </r>
  <r>
    <n v="20260134"/>
    <s v="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
    <s v="09 - contratación directa"/>
    <x v="0"/>
    <s v="25 - contrato de prestacion de servicios profesionales"/>
    <s v="ENERO"/>
    <n v="3"/>
    <n v="15"/>
    <n v="294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4-TH-8126-9-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
  </r>
  <r>
    <n v="20260135"/>
    <s v="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
    <s v="09 - contratación directa"/>
    <x v="0"/>
    <s v="25 - contrato de prestacion de servicios profesionales"/>
    <s v="ENERO"/>
    <n v="5"/>
    <n v="0"/>
    <n v="295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5-TH-8126-9-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
  </r>
  <r>
    <n v="20260136"/>
    <s v="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
    <s v="09 - contratación directa"/>
    <x v="0"/>
    <s v="25 - contrato de prestacion de servicios profesionales"/>
    <s v="ENERO"/>
    <n v="10"/>
    <n v="0"/>
    <n v="670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6-TH-8126-9-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
  </r>
  <r>
    <n v="20260137"/>
    <s v="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
    <s v="09 - contratación directa"/>
    <x v="0"/>
    <s v="26 - contrato de prestacion de servicios de apoyo a la gestion"/>
    <s v="ENERO"/>
    <n v="10"/>
    <n v="0"/>
    <n v="360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7-TH-8126-9-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
  </r>
  <r>
    <n v="20260138"/>
    <s v="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
    <s v="09 - contratación directa"/>
    <x v="0"/>
    <s v="25 - contrato de prestacion de servicios profesionales"/>
    <s v="ENERO"/>
    <n v="7"/>
    <n v="0"/>
    <n v="504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8-TH-8126-9-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
  </r>
  <r>
    <n v="20260139"/>
    <s v="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
    <s v="09 - contratación directa"/>
    <x v="0"/>
    <s v="25 - contrato de prestacion de servicios profesionales"/>
    <s v="ENERO"/>
    <n v="7"/>
    <n v="0"/>
    <n v="504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39-TH-8126-9-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
  </r>
  <r>
    <n v="20260140"/>
    <s v="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
    <s v="09 - contratación directa"/>
    <x v="0"/>
    <s v="25 - contrato de prestacion de servicios profesionales"/>
    <s v="ENERO"/>
    <n v="7"/>
    <n v="0"/>
    <n v="385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0-TH-8126-9-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
  </r>
  <r>
    <n v="20260141"/>
    <s v="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
    <s v="09 - contratación directa"/>
    <x v="0"/>
    <s v="25 - contrato de prestacion de servicios profesionales"/>
    <s v="ENERO"/>
    <n v="10"/>
    <n v="0"/>
    <n v="690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1-TH-8126-9-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
  </r>
  <r>
    <n v="20260142"/>
    <s v="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
    <s v="09 - contratación directa"/>
    <x v="0"/>
    <s v="26 - contrato de prestacion de servicios de apoyo a la gestion"/>
    <s v="ENERO"/>
    <n v="7"/>
    <n v="0"/>
    <n v="287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2-TH-8126-9-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
  </r>
  <r>
    <n v="20260143"/>
    <s v="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
    <s v="09 - contratación directa"/>
    <x v="0"/>
    <s v="25 - contrato de prestacion de servicios profesionales"/>
    <s v="ENERO"/>
    <n v="7"/>
    <n v="0"/>
    <n v="4508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3-TH-8126-9-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
  </r>
  <r>
    <n v="20260144"/>
    <s v="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
    <s v="09 - contratación directa"/>
    <x v="0"/>
    <s v="25 - contrato de prestacion de servicios profesionales"/>
    <s v="ENERO"/>
    <n v="11"/>
    <n v="0"/>
    <n v="539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4-TH-8126-9-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
  </r>
  <r>
    <n v="20260145"/>
    <s v="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
    <s v="09 - contratación directa"/>
    <x v="0"/>
    <s v="26 - contrato de prestacion de servicios de apoyo a la gestion"/>
    <s v="ENERO"/>
    <n v="8"/>
    <n v="0"/>
    <n v="320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5-TH-8126-9-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
  </r>
  <r>
    <n v="20260146"/>
    <s v="SGH - Prestar servicios profesionales en la Subdirección de Gestión Humana de la UAE Cuerpo Oficial de Bomberos de Bogotá, para apoyar las actividades relacionadas con la administración de personal, en el marco de la normatividad y lineamientos institucionales vigentes."/>
    <s v="09 - contratación directa"/>
    <x v="0"/>
    <s v="25 - contrato de prestacion de servicios profesionales"/>
    <s v="ENERO"/>
    <n v="7"/>
    <n v="0"/>
    <n v="406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6-TH-8126-9-SGH - Prestar servicios profesionales en la Subdirección de Gestión Humana de la UAE Cuerpo Oficial de Bomberos de Bogotá, para apoyar las actividades relacionadas con la administración de personal, en el marco de la normatividad y lineamientos institucionales vigentes."/>
  </r>
  <r>
    <n v="20260147"/>
    <s v="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
    <s v="09 - contratación directa"/>
    <x v="0"/>
    <s v="25 - contrato de prestacion de servicios profesionales"/>
    <s v="ENERO"/>
    <n v="11"/>
    <n v="0"/>
    <n v="671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7-TH-8126-9-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
  </r>
  <r>
    <n v="20260148"/>
    <s v="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
    <s v="09 - contratación directa"/>
    <x v="0"/>
    <s v="26 - contrato de prestacion de servicios de apoyo a la gestion"/>
    <s v="ENERO"/>
    <n v="7"/>
    <n v="0"/>
    <n v="280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8-TH-8126-9-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
  </r>
  <r>
    <n v="20260149"/>
    <s v="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s v="09 - contratación directa"/>
    <x v="0"/>
    <s v="25 - contrato de prestacion de servicios profesionales"/>
    <s v="ENERO"/>
    <n v="7"/>
    <n v="0"/>
    <n v="427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49-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r>
  <r>
    <n v="20260150"/>
    <s v="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s v="09 - contratación directa"/>
    <x v="0"/>
    <s v="25 - contrato de prestacion de servicios profesionales"/>
    <s v="ENERO"/>
    <n v="7"/>
    <n v="0"/>
    <n v="427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0-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r>
  <r>
    <n v="20260151"/>
    <s v="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s v="09 - contratación directa"/>
    <x v="0"/>
    <s v="25 - contrato de prestacion de servicios profesionales"/>
    <s v="ENERO"/>
    <n v="7"/>
    <n v="0"/>
    <n v="427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1-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r>
  <r>
    <n v="20260152"/>
    <s v="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
    <s v="09 - contratación directa"/>
    <x v="0"/>
    <s v="25 - contrato de prestacion de servicios profesionales"/>
    <s v="ENERO"/>
    <n v="7"/>
    <n v="0"/>
    <n v="343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2-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
  </r>
  <r>
    <n v="20260153"/>
    <s v="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
    <s v="09 - contratación directa"/>
    <x v="0"/>
    <s v="25 - contrato de prestacion de servicios profesionales"/>
    <s v="ENERO"/>
    <n v="7"/>
    <n v="0"/>
    <n v="364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3-TH-8126-9-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
  </r>
  <r>
    <n v="20260154"/>
    <s v="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
    <s v="09 - contratación directa"/>
    <x v="0"/>
    <s v="25 - contrato de prestacion de servicios profesionales"/>
    <s v="ENERO"/>
    <n v="11"/>
    <n v="0"/>
    <n v="770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4-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
  </r>
  <r>
    <n v="20260155"/>
    <s v="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
    <s v="09 - contratación directa"/>
    <x v="0"/>
    <s v="25 - contrato de prestacion de servicios profesionales"/>
    <s v="ENERO"/>
    <n v="10"/>
    <n v="0"/>
    <n v="640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5-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
  </r>
  <r>
    <n v="20260156"/>
    <s v="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
    <s v="09 - contratación directa"/>
    <x v="0"/>
    <s v="25 - contrato de prestacion de servicios profesionales"/>
    <s v="ENERO"/>
    <n v="11"/>
    <n v="0"/>
    <n v="770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6-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
  </r>
  <r>
    <n v="20260157"/>
    <s v="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
    <s v="09 - contratación directa"/>
    <x v="0"/>
    <s v="25 - contrato de prestacion de servicios profesionales"/>
    <s v="ENERO"/>
    <n v="10"/>
    <n v="0"/>
    <n v="650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7-TH-8126-9-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
  </r>
  <r>
    <n v="20260158"/>
    <s v="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
    <s v="09 - contratación directa"/>
    <x v="0"/>
    <s v="25 - contrato de prestacion de servicios profesionales"/>
    <s v="ENERO"/>
    <n v="7"/>
    <n v="0"/>
    <n v="518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8-TH-8126-9-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
  </r>
  <r>
    <n v="20260159"/>
    <s v="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
    <s v="09 - contratación directa"/>
    <x v="0"/>
    <s v="25 - contrato de prestacion de servicios profesionales"/>
    <s v="ENERO"/>
    <n v="7"/>
    <n v="0"/>
    <n v="644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59-TH-8126-9-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
  </r>
  <r>
    <n v="20260160"/>
    <s v="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
    <s v="09 - contratación directa"/>
    <x v="0"/>
    <s v="26 - contrato de prestacion de servicios de apoyo a la gestion"/>
    <s v="ENERO"/>
    <n v="7"/>
    <n v="0"/>
    <n v="252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0-TH-8126-9-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
  </r>
  <r>
    <n v="20260161"/>
    <s v="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
    <s v="09 - contratación directa"/>
    <x v="0"/>
    <s v="25 - contrato de prestacion de servicios profesionales"/>
    <s v="ENERO"/>
    <n v="7"/>
    <n v="0"/>
    <n v="413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1-TH-8126-9-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
  </r>
  <r>
    <n v="20260162"/>
    <s v="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
    <s v="09 - contratación directa"/>
    <x v="0"/>
    <s v="25 - contrato de prestacion de servicios profesionales"/>
    <s v="ENERO"/>
    <n v="8"/>
    <n v="0"/>
    <n v="576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2-TH-8126-9-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
  </r>
  <r>
    <n v="20260163"/>
    <s v="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
    <s v="09 - contratación directa"/>
    <x v="0"/>
    <s v="25 - contrato de prestacion de servicios profesionales"/>
    <s v="ENERO"/>
    <n v="5"/>
    <n v="0"/>
    <n v="460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3-TH-8126-9-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
  </r>
  <r>
    <n v="20260164"/>
    <s v="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
    <s v="09 - contratación directa"/>
    <x v="0"/>
    <s v="25 - contrato de prestacion de servicios profesionales"/>
    <s v="ENERO"/>
    <n v="7"/>
    <n v="0"/>
    <n v="504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4-TH-8126-9-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
  </r>
  <r>
    <n v="20260165"/>
    <s v="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
    <s v="09 - contratación directa"/>
    <x v="0"/>
    <s v="25 - contrato de prestacion de servicios profesionales"/>
    <s v="ENERO"/>
    <n v="7"/>
    <n v="0"/>
    <n v="609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5-TH-8126-9-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
  </r>
  <r>
    <n v="20260166"/>
    <s v="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
    <s v="09 - contratación directa"/>
    <x v="0"/>
    <s v="25 - contrato de prestacion de servicios profesionales"/>
    <s v="ENERO"/>
    <n v="7"/>
    <n v="0"/>
    <n v="623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6-TH-8126-9-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
  </r>
  <r>
    <n v="20260167"/>
    <s v="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
    <s v="09 - contratación directa"/>
    <x v="0"/>
    <s v="25 - contrato de prestacion de servicios profesionales"/>
    <s v="ENERO"/>
    <n v="10"/>
    <n v="0"/>
    <n v="830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7-TH-8126-9-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
  </r>
  <r>
    <n v="20260168"/>
    <s v="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
    <s v="09 - contratación directa"/>
    <x v="0"/>
    <s v="25 - contrato de prestacion de servicios profesionales"/>
    <s v="ENERO"/>
    <n v="11"/>
    <n v="0"/>
    <n v="924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8-TH-8126-9-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
  </r>
  <r>
    <n v="20260169"/>
    <s v="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
    <s v="09 - contratación directa"/>
    <x v="0"/>
    <s v="25 - contrato de prestacion de servicios profesionales"/>
    <s v="ENERO"/>
    <n v="8"/>
    <n v="0"/>
    <n v="664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69-TH-8126-9-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
  </r>
  <r>
    <n v="20260170"/>
    <s v="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
    <s v="09 - contratación directa"/>
    <x v="0"/>
    <s v="25 - contrato de prestacion de servicios profesionales"/>
    <s v="ENERO"/>
    <n v="11"/>
    <n v="0"/>
    <n v="605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70-TH-8126-9-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
  </r>
  <r>
    <n v="20260171"/>
    <s v="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
    <s v="09 - contratación directa"/>
    <x v="0"/>
    <s v="25 - contrato de prestacion de servicios profesionales"/>
    <s v="ENERO"/>
    <n v="7"/>
    <n v="0"/>
    <n v="378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71-TH-8126-9-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
  </r>
  <r>
    <n v="20260172"/>
    <s v="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
    <s v="09 - contratación directa"/>
    <x v="0"/>
    <s v="25 - contrato de prestacion de servicios profesionales"/>
    <s v="ENERO"/>
    <n v="7"/>
    <n v="0"/>
    <n v="378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72-TH-8126-9-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
  </r>
  <r>
    <n v="20260173"/>
    <s v="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
    <s v="09 - contratación directa"/>
    <x v="0"/>
    <s v="25 - contrato de prestacion de servicios profesionales"/>
    <s v="ENERO"/>
    <n v="10"/>
    <n v="0"/>
    <n v="820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73-TH-8173-9-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
  </r>
  <r>
    <n v="20260174"/>
    <s v="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
    <s v="09 - contratación directa"/>
    <x v="0"/>
    <s v="25 - contrato de prestacion de servicios profesionales"/>
    <s v="ENERO"/>
    <n v="11"/>
    <n v="0"/>
    <n v="572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74-TH-8173-9-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
  </r>
  <r>
    <n v="20260175"/>
    <s v="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
    <s v="09 - contratación directa"/>
    <x v="0"/>
    <s v="25 - contrato de prestacion de servicios profesionales"/>
    <s v="ENERO"/>
    <n v="10"/>
    <n v="0"/>
    <n v="720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75-TH-8173-9-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
  </r>
  <r>
    <n v="20260176"/>
    <s v="SGH - Prestar servicios de apoyo a la Academia de la UAE Cuerpo Oficial de Bomberos de Bogotá D.C., para el desarrollo logístico y administrativo, contribuyendo al fortalecimiento de la formación, capacitación y gestión institucional."/>
    <s v="09 - contratación directa"/>
    <x v="0"/>
    <s v="26 - contrato de prestacion de servicios de apoyo a la gestion"/>
    <s v="ENERO"/>
    <n v="11"/>
    <n v="0"/>
    <n v="407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76-TH-8173-9-SGH - Prestar servicios de apoyo a la Academia de la UAE Cuerpo Oficial de Bomberos de Bogotá D.C., para el desarrollo logístico y administrativo, contribuyendo al fortalecimiento de la formación, capacitación y gestión institucional."/>
  </r>
  <r>
    <n v="20260177"/>
    <s v="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
    <s v="09 - contratación directa"/>
    <x v="0"/>
    <s v="25 - contrato de prestacion de servicios profesionales"/>
    <s v="ENERO"/>
    <n v="11"/>
    <n v="0"/>
    <n v="814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77-TH-8173-9-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
  </r>
  <r>
    <n v="20260178"/>
    <s v="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
    <s v="09 - contratación directa"/>
    <x v="0"/>
    <s v="25 - contrato de prestacion de servicios profesionales"/>
    <s v="ENERO"/>
    <n v="11"/>
    <n v="0"/>
    <n v="847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78-TH-8173-9-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
  </r>
  <r>
    <n v="20260179"/>
    <s v="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
    <s v="09 - contratación directa"/>
    <x v="0"/>
    <s v="25 - contrato de prestacion de servicios profesionales"/>
    <s v="ENERO"/>
    <n v="10"/>
    <n v="0"/>
    <n v="550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79-TH-8173-9-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
  </r>
  <r>
    <n v="20260180"/>
    <s v="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
    <s v="09 - contratación directa"/>
    <x v="0"/>
    <s v="26 - contrato de prestacion de servicios de apoyo a la gestion"/>
    <s v="ENERO"/>
    <n v="8"/>
    <n v="0"/>
    <n v="260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80-TH-8173-9-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
  </r>
  <r>
    <n v="20260181"/>
    <s v="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
    <s v="09 - contratación directa"/>
    <x v="0"/>
    <s v="25 - contrato de prestacion de servicios profesionales"/>
    <s v="ENERO"/>
    <n v="11"/>
    <n v="0"/>
    <n v="968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81-TH-8173-9-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
  </r>
  <r>
    <n v="20260182"/>
    <s v="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
    <s v="09 - contratación directa"/>
    <x v="0"/>
    <s v="25 - contrato de prestacion de servicios profesionales"/>
    <s v="ENERO"/>
    <n v="11"/>
    <n v="0"/>
    <n v="935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82-TH-8173-9-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
  </r>
  <r>
    <n v="20260183"/>
    <s v="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
    <s v="09 - contratación directa"/>
    <x v="0"/>
    <s v="25 - contrato de prestacion de servicios profesionales"/>
    <s v="ENERO"/>
    <n v="11"/>
    <n v="0"/>
    <n v="9152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183-TH-8126-9-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
  </r>
  <r>
    <n v="20260184"/>
    <s v="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
    <s v="09 - contratación directa"/>
    <x v="0"/>
    <s v="25 - contrato de prestacion de servicios profesionales"/>
    <s v="ENERO"/>
    <n v="11"/>
    <n v="0"/>
    <n v="1144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184-TH-8173-9-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
  </r>
  <r>
    <n v="20260185"/>
    <s v="SGH - Arrendamiento de un bien inmueble que garantice contar con las instalaciones adecuadas para la realización de capacitaciones del personal operativo, en cumplimiento de los objetivos de los programas de capacitación, formación y entrenamiento de la academia de la UAE Cuerpo Oficial de Bomberos de Bogotá"/>
    <s v="09 - contratación directa"/>
    <x v="1"/>
    <s v="07 - contrato de arrendamiento"/>
    <s v="FEBRERO"/>
    <n v="11"/>
    <n v="0"/>
    <n v="0"/>
    <s v="NO"/>
    <s v="Sub. Gestión Humana"/>
    <s v="Jose Andres Ponce Caicedo"/>
    <x v="2"/>
    <s v="Subdirector@ de Gestión del Riesgo"/>
    <x v="0"/>
    <s v="80131502, 80131505"/>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772252 Servicios de arrendamiento de bienes inmuebles no residenciales (vivienda) a comisión o por contrato"/>
    <s v="Si Secop "/>
    <s v="20260185-BS-8173-9-SGH - Arrendamiento de un bien inmueble que garantice contar con las instalaciones adecuadas para la realización de capacitaciones del personal operativo, en cumplimiento de los objetivos de los programas de capacitación, formación y entrenamiento de la academia de la UAE Cuerpo Oficial de Bomberos de Bogotá"/>
  </r>
  <r>
    <n v="20260186"/>
    <s v="SGH - Garantizar los recursos para movilización efectiva del personal operativo en la atención de emergencias"/>
    <s v="91 - n/a acto administrativo (resolución, decreto, acuerdo, etc.)"/>
    <x v="1"/>
    <s v="03 - contrato de prestacion de servicios"/>
    <s v="FEBRERO"/>
    <n v="11"/>
    <n v="0"/>
    <n v="80000000"/>
    <s v="NO"/>
    <s v="Sub. Gestión Humana"/>
    <s v="Jose Andres Ponce Caicedo"/>
    <x v="2"/>
    <s v="Subdirector@ de Gestión del Riesgo"/>
    <x v="0"/>
    <n v="901218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10 Viáticos de los funcionarios en comisión"/>
    <s v="Si Secop "/>
    <s v="20260186-BS-8173-9-SGH - Garantizar los recursos para movilización efectiva del personal operativo en la atención de emergencias"/>
  </r>
  <r>
    <n v="20260187"/>
    <s v="SGH - Garantizar los recursos para viáticos y adquisición de tiquetes, con el fin de permitir el desplazamiento del personal en desarrollo de actividades misionales, operativas o de capacitación  "/>
    <s v="91 - n/a acto administrativo (resolución, decreto, acuerdo, etc.)"/>
    <x v="1"/>
    <s v="03 - contrato de prestacion de servicios"/>
    <s v="FEBRERO"/>
    <n v="11"/>
    <n v="0"/>
    <n v="180000000"/>
    <s v="NO"/>
    <s v="Sub. Gestión Humana"/>
    <s v="Jose Andres Ponce Caicedo"/>
    <x v="2"/>
    <s v="Subdirector@ de Gestión del Riesgo"/>
    <x v="0"/>
    <n v="901218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10 Viáticos de los funcionarios en comisión"/>
    <s v="Si Secop "/>
    <s v="20260187-BS-8173-9-SGH - Garantizar los recursos para viáticos y adquisición de tiquetes, con el fin de permitir el desplazamiento del personal en desarrollo de actividades misionales, operativas o de capacitación  "/>
  </r>
  <r>
    <n v="20260188"/>
    <s v="SGH - Adecuación de escenarios necesarios para el desarrollo de procesos de formación, capacitación y entrenamiento del personal operativo de la UAE Cuerpo Oficial de Bomberos de Bogotá."/>
    <s v="02 - selec. abrev. menor cuantía"/>
    <x v="1"/>
    <s v="06 - contrato de compraventa"/>
    <s v="MARZO"/>
    <n v="4"/>
    <n v="0"/>
    <n v="300000000"/>
    <s v="NO"/>
    <s v="Sub. Gestión Humana"/>
    <s v="Jose Andres Ponce Caicedo"/>
    <x v="2"/>
    <s v="Subdirector@ de Gestión del Riesgo"/>
    <x v="0"/>
    <s v="72121100, 24101600, 30131500, 31371300, 30101500, 30101700, 30103600, 95121633, 30103619, 73121600, 73121500, 30101704, 30101504"/>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5040554590 Otros servicios especializados de la construcción"/>
    <s v="Si Secop "/>
    <s v="20260188-BS-8173-9-SGH - Adecuación de escenarios necesarios para el desarrollo de procesos de formación, capacitación y entrenamiento del personal operativo de la UAE Cuerpo Oficial de Bomberos de Bogotá."/>
  </r>
  <r>
    <n v="20260189"/>
    <s v="SGH - Adquisición de Equipos y Herramientas para los procesos de Capacitación a cargo de la Academia de la UAE Cuerpo Oficial de Bomberos de Bogotá"/>
    <s v="02 - selec. abrev. menor cuantía"/>
    <x v="1"/>
    <s v="06 - contrato de compraventa"/>
    <s v="MARZO"/>
    <n v="6"/>
    <n v="0"/>
    <n v="200000000"/>
    <s v="NO"/>
    <s v="Sub. Gestión Humana"/>
    <s v="Jose Andres Ponce Caicedo"/>
    <x v="2"/>
    <s v="Subdirector@ de Gestión del Riesgo"/>
    <x v="0"/>
    <s v="46161707,46191605, 46191609, 27111604, 46191603, 30191501, 46161715,  46201001; 42172201; 42171610; 42171612; 46181504; 46181537; 46201002; 42301502, 27111801, 27112124, 27112807, 27113101, 46161701, 46161714, 46161715, 46182304, 46182306 "/>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1010030202 Máquinas herramientas y sus partes, piezas y accesorios"/>
    <s v="Si Secop "/>
    <s v="20260189-BS-8173-9-SGH - Adquisición de Equipos y Herramientas para los procesos de Capacitación a cargo de la Academia de la UAE Cuerpo Oficial de Bomberos de Bogotá"/>
  </r>
  <r>
    <n v="20260191"/>
    <s v="SGH - Prestar los servicios de capacitación, formación y entrenamiento al personal en  diferentes cursos especializados y misionales,  incluyendo el fortalecimiento de competencias de investigación cientifica aplicada a los ámbitos operativos, técnicos y estratégicos  de la UAE del Cuerpo Oficial de Bomberos Bogotá"/>
    <s v="01 - licitación pública"/>
    <x v="1"/>
    <s v="03 - contrato de prestacion de servicios"/>
    <s v="MARZO"/>
    <n v="6"/>
    <n v="0"/>
    <n v="1200000000"/>
    <s v="NO"/>
    <s v="Sub. Gestión Humana"/>
    <s v="Jose Andres Ponce Caicedo"/>
    <x v="2"/>
    <s v="Subdirector@ de Gestión del Riesgo"/>
    <x v="0"/>
    <s v="86101600, 86101700, 86101800, 86111600, 86141500,  86121800, 80111500,86131800, 86101711"/>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2913 Servicios de educación para la formación y el trabajo"/>
    <s v="Si Secop "/>
    <s v="20260191-BS-8173-9-SGH - Prestar los servicios de capacitación, formación y entrenamiento al personal en  diferentes cursos especializados y misionales,  incluyendo el fortalecimiento de competencias de investigación cientifica aplicada a los ámbitos operativos, técnicos y estratégicos  de la UAE del Cuerpo Oficial de Bomberos Bogotá"/>
  </r>
  <r>
    <n v="20260192"/>
    <s v="SGH- Adquisición de material bibliográfico de consulta para estudio y capacitación, que servirá como base de la biblioteca para la academia de la UAE Cuerpo Oficial de Bomberos de Bogotá"/>
    <s v="04 - contratación mínima cuantía"/>
    <x v="1"/>
    <s v="06 - contrato de compraventa"/>
    <s v="MARZO"/>
    <n v="4"/>
    <n v="0"/>
    <n v="40000000"/>
    <s v="NO"/>
    <s v="Sub. Gestión Humana"/>
    <s v="Jose Andres Ponce Caicedo"/>
    <x v="2"/>
    <s v="Subdirector@ de Gestión del Riesgo"/>
    <x v="0"/>
    <n v="5510151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1003023229906 Libros publicados en fascículos, folletos, hojas sueltas e impresos similares"/>
    <s v="Si Secop "/>
    <s v="20260192-BS-8173-9-SGH- Adquisición de material bibliográfico de consulta para estudio y capacitación, que servirá como base de la biblioteca para la academia de la UAE Cuerpo Oficial de Bomberos de Bogotá"/>
  </r>
  <r>
    <n v="20260193"/>
    <s v="SGH -Contratar la realización de los exámenes Médicos Ocupacionales para el personal de la UAE Cuerpo Oficial de Bomberos de Bogotá"/>
    <s v="02 - selec. abrev. menor cuantía"/>
    <x v="1"/>
    <s v="03 - contrato de prestacion de servicios"/>
    <s v="MARZO"/>
    <n v="6"/>
    <n v="0"/>
    <n v="449000000"/>
    <s v="NO"/>
    <s v="Sub. Gestión Humana"/>
    <s v="Jose Andres Ponce Caicedo"/>
    <x v="1"/>
    <s v="Subdirector@ de Gestión Corporativa"/>
    <x v="1"/>
    <s v="85121503;85121603;85121604;85121608;85121610;85121611;85121612;85121702;85122201"/>
    <s v="No aplica"/>
    <s v="No a"/>
    <s v="l"/>
    <s v="NA"/>
    <s v="NA"/>
    <s v="NA"/>
    <s v="N/A"/>
    <s v="N/A"/>
    <s v="N/A-N/A"/>
    <s v="N/A"/>
    <s v="N/A"/>
    <s v="N/A_N/A"/>
    <s v="N/A-N/A N/A_N/A"/>
    <s v="NANANAN/AN/A"/>
    <s v="N/A"/>
    <s v="No Aplica"/>
    <s v="Si Secop "/>
    <s v="20260193-BS-No a-l-SGH -Contratar la realización de los exámenes Médicos Ocupacionales para el personal de la UAE Cuerpo Oficial de Bomberos de Bogotá"/>
  </r>
  <r>
    <n v="20260194"/>
    <s v="SGH - Contratar la Prestación de Servicios para desarrollar el Plan de Bienestar de la UAE Cuerpo Oficial de Bomberos para la Vigencia 2026"/>
    <s v="09 - contratación directa"/>
    <x v="1"/>
    <s v="03 - contrato de prestacion de servicios"/>
    <s v="ENERO"/>
    <n v="10"/>
    <n v="0"/>
    <n v="1620000000"/>
    <s v="NO"/>
    <s v="Sub. Gestión Humana"/>
    <s v="Jose Andres Ponce Caicedo"/>
    <x v="1"/>
    <s v="Subdirector@ de Gestión Corporativa"/>
    <x v="1"/>
    <s v="90101600;90111600;90141700;90151700"/>
    <s v="No aplica"/>
    <s v="No a"/>
    <s v="l"/>
    <s v="NA"/>
    <s v="NA"/>
    <s v="NA"/>
    <s v="N/A"/>
    <s v="N/A"/>
    <s v="N/A-N/A"/>
    <s v="N/A"/>
    <s v="N/A"/>
    <s v="N/A_N/A"/>
    <s v="N/A-N/A N/A_N/A"/>
    <s v="NANANAN/AN/A"/>
    <s v="N/A"/>
    <s v="No Aplica"/>
    <s v="Si Secop "/>
    <s v="20260194-BS-No a-l-SGH - Contratar la Prestación de Servicios para desarrollar el Plan de Bienestar de la UAE Cuerpo Oficial de Bomberos para la Vigencia 2026"/>
  </r>
  <r>
    <n v="20260195"/>
    <s v="SGH - Adquirir elementos de protección personal para prevenir la aparición de enfermedades ocupacionales en el oido, del personal operativo de la UAE Cuerpo Oficial de Bomberos de Bogotá"/>
    <s v="02 - selec. abrev. menor cuantía"/>
    <x v="1"/>
    <s v="06 - contrato de compraventa"/>
    <s v="MARZO"/>
    <n v="4"/>
    <n v="0"/>
    <n v="62000000"/>
    <s v="NO"/>
    <s v="Sub. Gestión Humana"/>
    <s v="Jose Andres Ponce Caicedo"/>
    <x v="1"/>
    <s v="Subdirector@ de Gestión Corporativa"/>
    <x v="1"/>
    <s v="46181900;46181901"/>
    <s v="No aplica"/>
    <s v="No a"/>
    <s v="l"/>
    <s v="NA"/>
    <s v="NA"/>
    <s v="NA"/>
    <s v="N/A"/>
    <s v="N/A"/>
    <s v="N/A-N/A"/>
    <s v="N/A"/>
    <s v="N/A"/>
    <s v="N/A_N/A"/>
    <s v="N/A-N/A N/A_N/A"/>
    <s v="NANANAN/AN/A"/>
    <s v="N/A"/>
    <s v="No Aplica"/>
    <s v="Si Secop "/>
    <s v="20260195-BS-No a-l-SGH - Adquirir elementos de protección personal para prevenir la aparición de enfermedades ocupacionales en el oido, del personal operativo de la UAE Cuerpo Oficial de Bomberos de Bogotá"/>
  </r>
  <r>
    <n v="20260196"/>
    <s v="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
    <s v="01 - licitación pública"/>
    <x v="1"/>
    <s v="17 - contrato de mantenimiento"/>
    <s v="ENERO"/>
    <n v="12"/>
    <n v="0"/>
    <n v="6689476699"/>
    <s v="SI"/>
    <s v="Sub. Logística"/>
    <s v="Omer Mauricio Rivera Ruiz"/>
    <x v="2"/>
    <s v="Subdirector@ de Gestión del Riesgo"/>
    <x v="0"/>
    <n v="781815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714102 Servicio de mantenimiento y reparación de vehículos automóviles"/>
    <s v="Si Secop "/>
    <s v="20260196-BS-8173-4-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
  </r>
  <r>
    <n v="20260197"/>
    <s v="Suministro de llantas y  prestación del servicio de instalación, alineación, balanceo y conexos a los vehículos del parque automotor de la U.A.E. Cuerpo Oficial de Bomberos de Bogotá - SBLG"/>
    <s v="03 - selec. abrev. subasta inversa"/>
    <x v="1"/>
    <s v="03 - contrato de prestacion de servicios"/>
    <s v="MAYO"/>
    <n v="12"/>
    <n v="0"/>
    <n v="25000000"/>
    <s v="NO"/>
    <s v="Sub. Logística"/>
    <s v="Omer Mauricio Rivera Ruiz"/>
    <x v="2"/>
    <s v="Subdirector@ de Gestión del Riesgo"/>
    <x v="0"/>
    <n v="251725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1003063611101 Llantas de caucho para automóviles"/>
    <s v="Si Secop "/>
    <s v="20260197-BS-8173-4-Suministro de llantas y  prestación del servicio de instalación, alineación, balanceo y conexos a los vehículos del parque automotor de la U.A.E. Cuerpo Oficial de Bomberos de Bogotá - SBLG"/>
  </r>
  <r>
    <n v="20260198"/>
    <s v="Prestación de servicios profesionales apoyando el control legal de los procesos y acciones, especialmente la gestión contractual para el desarrollo de las estrategías de la Subdirección Logística - SBLG"/>
    <s v="09 - contratación directa"/>
    <x v="0"/>
    <s v="25 - contrato de prestacion de servicios profesionales"/>
    <s v="ENERO"/>
    <n v="10"/>
    <n v="0"/>
    <n v="90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198-TH-8173-4-Prestación de servicios profesionales apoyando el control legal de los procesos y acciones, especialmente la gestión contractual para el desarrollo de las estrategías de la Subdirección Logística - SBLG"/>
  </r>
  <r>
    <n v="20260199"/>
    <s v="Prestación de servicios profesionales para apoyar en la elaboración, tramite e impulso de los procesos de contratación en sus diferentes etapas para el desarrollo de las estrategías de la Subdirección Logística - SBLG."/>
    <s v="09 - contratación directa"/>
    <x v="0"/>
    <s v="25 - contrato de prestacion de servicios profesionales"/>
    <s v="ENERO"/>
    <n v="5"/>
    <n v="0"/>
    <n v="325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199-TH-8173-4-Prestación de servicios profesionales para apoyar en la elaboración, tramite e impulso de los procesos de contratación en sus diferentes etapas para el desarrollo de las estrategías de la Subdirección Logística - SBLG."/>
  </r>
  <r>
    <n v="20260200"/>
    <s v="Prestación de servicios profesionales para apoyar en la elaboracion, seguimiento e impulso de la actuaciones procesales en cada una de las etapas para la adquisición de bienes y servicios en el desarrollo de las estrategias de la Subdirección Logística. SBLG."/>
    <s v="09 - contratación directa"/>
    <x v="0"/>
    <s v="25 - contrato de prestacion de servicios profesionales"/>
    <s v="ENERO"/>
    <n v="8"/>
    <n v="0"/>
    <n v="64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0-TH-8173-4-Prestación de servicios profesionales para apoyar en la elaboracion, seguimiento e impulso de la actuaciones procesales en cada una de las etapas para la adquisición de bienes y servicios en el desarrollo de las estrategias de la Subdirección Logística. SBLG."/>
  </r>
  <r>
    <n v="20260201"/>
    <s v="Prestación de servicios profesionales para apoyar en la elaboración, tramite e impulso de los procesos de contratación en sus diferentes etapas para el desarrollo de las estrategías de la Subdirección Logística - SBLG."/>
    <s v="09 - contratación directa"/>
    <x v="0"/>
    <s v="25 - contrato de prestacion de servicios profesionales"/>
    <s v="ENERO"/>
    <n v="5"/>
    <n v="0"/>
    <n v="35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1-TH-8173-4-Prestación de servicios profesionales para apoyar en la elaboración, tramite e impulso de los procesos de contratación en sus diferentes etapas para el desarrollo de las estrategías de la Subdirección Logística - SBLG."/>
  </r>
  <r>
    <n v="20260202"/>
    <s v="Prestación de servicios profesionales, para apoyar la estructuración y elaboración de los asuntos contractuales en sus diferentes etapas en la adquisicion de bienes y servicios para el desarrollo de las estrategías de la Subdirección Logística.- SBLG"/>
    <s v="09 - contratación directa"/>
    <x v="0"/>
    <s v="25 - contrato de prestacion de servicios profesionales"/>
    <s v="ENERO"/>
    <n v="9"/>
    <n v="0"/>
    <n v="72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2-TH-8173-4-Prestación de servicios profesionales, para apoyar la estructuración y elaboración de los asuntos contractuales en sus diferentes etapas en la adquisicion de bienes y servicios para el desarrollo de las estrategías de la Subdirección Logística.- SBLG"/>
  </r>
  <r>
    <n v="20260203"/>
    <s v="Prestación de servicios profesionales de carácter jurídico para apoyar la gestión administrativa y la adquisición de bienes y servicios para el desarrollo de las estrategias de la Subdirección Logística. -SBLG"/>
    <s v="09 - contratación directa"/>
    <x v="0"/>
    <s v="25 - contrato de prestacion de servicios profesionales"/>
    <s v="ENERO"/>
    <n v="9"/>
    <n v="0"/>
    <n v="45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3-TH-8173-4-Prestación de servicios profesionales de carácter jurídico para apoyar la gestión administrativa y la adquisición de bienes y servicios para el desarrollo de las estrategias de la Subdirección Logística. -SBLG"/>
  </r>
  <r>
    <n v="20260204"/>
    <s v="Prestar servicios profesionales para apoyar el seguimiento y garantizar la adecuada ejecución presupuestal y financiera de los diferentes planes, programas, proyectos administrativos y financieros a cargo de la Subdirección Logística- SBLG"/>
    <s v="09 - contratación directa"/>
    <x v="0"/>
    <s v="25 - contrato de prestacion de servicios profesionales"/>
    <s v="ENERO"/>
    <n v="11"/>
    <n v="0"/>
    <n v="120917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4-TH-8173-4-Prestar servicios profesionales para apoyar el seguimiento y garantizar la adecuada ejecución presupuestal y financiera de los diferentes planes, programas, proyectos administrativos y financieros a cargo de la Subdirección Logística- SBLG"/>
  </r>
  <r>
    <n v="20260205"/>
    <s v="Prestar los servicios profesionales para la gestión, financiera de los proyectos y procesos para el fortalecimiento de las estrategías de la Subdirección Logística - SBLG."/>
    <s v="09 - contratación directa"/>
    <x v="0"/>
    <s v="25 - contrato de prestacion de servicios profesionales"/>
    <s v="ENERO"/>
    <n v="9"/>
    <n v="0"/>
    <n v="405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5-TH-8173-4-Prestar los servicios profesionales para la gestión, financiera de los proyectos y procesos para el fortalecimiento de las estrategías de la Subdirección Logística - SBLG."/>
  </r>
  <r>
    <n v="20260206"/>
    <s v="Prestación de servicios profesionales para apoyar la gestión financiera y presupuestal de los proyectos, planes y estrategias a cargo de la Subdirección Logística - SBLG"/>
    <s v="09 - contratación directa"/>
    <x v="0"/>
    <s v="25 - contrato de prestacion de servicios profesionales"/>
    <s v="ENERO"/>
    <n v="7"/>
    <n v="15"/>
    <n v="45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6-TH-8173-4-Prestación de servicios profesionales para apoyar la gestión financiera y presupuestal de los proyectos, planes y estrategias a cargo de la Subdirección Logística - SBLG"/>
  </r>
  <r>
    <n v="20260207"/>
    <s v="Prestar servicios de apoyo técnico en asuntos administrativos, financieros, documentales y emisión de informes para el desarrollo de las estrategías de la Subdireccion Logística-SBLG"/>
    <s v="09 - contratación directa"/>
    <x v="0"/>
    <s v="26 - contrato de prestacion de servicios de apoyo a la gestion"/>
    <s v="ENERO"/>
    <n v="7"/>
    <n v="15"/>
    <n v="30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7-TH-8173-4-Prestar servicios de apoyo técnico en asuntos administrativos, financieros, documentales y emisión de informes para el desarrollo de las estrategías de la Subdireccion Logística-SBLG"/>
  </r>
  <r>
    <n v="20260208"/>
    <s v="Prestar servicios profesionales para realizar el seguimiento, revisión y validación de los asuntos presupuestales, financieros y administrativos necesarios para la gestión de pagos de los contratos a cargo de la subdirección logística. - SBLG"/>
    <s v="09 - contratación directa"/>
    <x v="0"/>
    <s v="25 - contrato de prestacion de servicios profesionales"/>
    <s v="ENERO"/>
    <n v="10"/>
    <n v="0"/>
    <n v="68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08-TH-8173-4-Prestar servicios profesionales para realizar el seguimiento, revisión y validación de los asuntos presupuestales, financieros y administrativos necesarios para la gestión de pagos de los contratos a cargo de la subdirección logística. - SBLG"/>
  </r>
  <r>
    <n v="20260209"/>
    <s v="Prestación de servicios profesionales para la gestión, seguimiento y control administrativo, técnico y operativo del proceso de mantenimiento del parque automotor a cargo de la Subdirección Logística - SBLG."/>
    <s v="09 - contratación directa"/>
    <x v="0"/>
    <s v="25 - contrato de prestacion de servicios profesionales"/>
    <s v="ENERO"/>
    <n v="10"/>
    <n v="0"/>
    <n v="930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09-TH-8173-4-Prestación de servicios profesionales para la gestión, seguimiento y control administrativo, técnico y operativo del proceso de mantenimiento del parque automotor a cargo de la Subdirección Logística - SBLG."/>
  </r>
  <r>
    <n v="20260210"/>
    <s v="Prestación de servicios profesionales para la gestión, seguimiento y control administrativo, técnico y operativo del proceso de mantenimiento del parque automotor a cargo de la Subdirección Logística - SBLG."/>
    <s v="09 - contratación directa"/>
    <x v="0"/>
    <s v="25 - contrato de prestacion de servicios profesionales"/>
    <s v="ENERO"/>
    <n v="9"/>
    <n v="0"/>
    <n v="720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10-TH-8173-4-Prestación de servicios profesionales para la gestión, seguimiento y control administrativo, técnico y operativo del proceso de mantenimiento del parque automotor a cargo de la Subdirección Logística - SBLG."/>
  </r>
  <r>
    <n v="20260211"/>
    <s v="Prestación de servicios profesionales en la gestión, seguimiento y control administrativo, financiero, presupuestal y contractual del proceso de mantenimiento del parque automotor a cargo de la Subdirección Logística - SBLG."/>
    <s v="09 - contratación directa"/>
    <x v="0"/>
    <s v="25 - contrato de prestacion de servicios profesionales"/>
    <s v="ENERO"/>
    <n v="7"/>
    <n v="0"/>
    <n v="525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11-TH-8173-4-Prestación de servicios profesionales en la gestión, seguimiento y control administrativo, financiero, presupuestal y contractual del proceso de mantenimiento del parque automotor a cargo de la Subdirección Logística - SBLG."/>
  </r>
  <r>
    <n v="20260212"/>
    <s v="Prestación de servicios profesionales para la gestión, seguimiento y control  técnico y operativo del proceso de mantenimiento del parque automotor a cargo de la Subdirección Logística - SBLG."/>
    <s v="09 - contratación directa"/>
    <x v="0"/>
    <s v="25 - contrato de prestacion de servicios profesionales"/>
    <s v="ENERO"/>
    <n v="10"/>
    <n v="0"/>
    <n v="800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12-TH-8173-4-Prestación de servicios profesionales para la gestión, seguimiento y control  técnico y operativo del proceso de mantenimiento del parque automotor a cargo de la Subdirección Logística - SBLG."/>
  </r>
  <r>
    <n v="20260213"/>
    <s v="Prestar servicios profesionales en las actividades administrativas y financieras que requieran los procesos para el desarrollo de las estrategías de la Subdirección Logística- SBLG"/>
    <s v="09 - contratación directa"/>
    <x v="0"/>
    <s v="25 - contrato de prestacion de servicios profesionales"/>
    <s v="ENERO"/>
    <n v="9"/>
    <n v="0"/>
    <n v="405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13-TH-8173-4-Prestar servicios profesionales en las actividades administrativas y financieras que requieran los procesos para el desarrollo de las estrategías de la Subdirección Logística- SBLG"/>
  </r>
  <r>
    <n v="20260214"/>
    <s v="Prestar servicios de apoyo a la gestión en el manejo de las herramientas tecnológicas en la recepción diligenciamiento y trámite asociadas a la mesa logística. – SBLG"/>
    <s v="09 - contratación directa"/>
    <x v="0"/>
    <s v="26 - contrato de prestacion de servicios de apoyo a la gestion"/>
    <s v="ENERO"/>
    <n v="5"/>
    <n v="0"/>
    <n v="164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14-TH-8173-4-Prestar servicios de apoyo a la gestión en el manejo de las herramientas tecnológicas en la recepción diligenciamiento y trámite asociadas a la mesa logística. – SBLG"/>
  </r>
  <r>
    <n v="20260215"/>
    <s v="Prestar servicios de apoyo técnico en la gestión documental, administrando y diligenciando las bases de datos, y demás documentos para el desarrollo de las estrategias de la Subdirección logística. -SBLG"/>
    <s v="09 - contratación directa"/>
    <x v="0"/>
    <s v="26 - contrato de prestacion de servicios de apoyo a la gestion"/>
    <s v="ENERO"/>
    <n v="8"/>
    <n v="0"/>
    <n v="288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15-TH-8173-4-Prestar servicios de apoyo técnico en la gestión documental, administrando y diligenciando las bases de datos, y demás documentos para el desarrollo de las estrategias de la Subdirección logística. -SBLG"/>
  </r>
  <r>
    <n v="20260216"/>
    <s v="Prestar servicio de apoyo a la gestión para asistir a la Subdirección Logística en el seguimiento técnico y administrativo de los mantenimientos requeridos en la Subdirección Logística - SBLG"/>
    <s v="09 - contratación directa"/>
    <x v="0"/>
    <s v="26 - contrato de prestacion de servicios de apoyo a la gestion"/>
    <s v="ENERO"/>
    <n v="9"/>
    <n v="0"/>
    <n v="324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16-TH-8173-4-Prestar servicio de apoyo a la gestión para asistir a la Subdirección Logística en el seguimiento técnico y administrativo de los mantenimientos requeridos en la Subdirección Logística - SBLG"/>
  </r>
  <r>
    <n v="20260217"/>
    <s v="Prestar servicios profesionales en las diferentes estrategias adelantadas por la subdirección Logistica en los procesos de planeación, logísticos, administrativos y financieros que se deriven de las competencias propias del area - SBLG"/>
    <s v="09 - contratación directa"/>
    <x v="0"/>
    <s v="25 - contrato de prestacion de servicios profesionales"/>
    <s v="ENERO"/>
    <n v="11"/>
    <n v="0"/>
    <n v="99000000"/>
    <s v="NO"/>
    <s v="Sub. Logística"/>
    <s v="Omer Mauricio Rivera Ruiz"/>
    <x v="2"/>
    <s v="Subdirector@ de Gestión del Riesgo"/>
    <x v="1"/>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17-TH-8173-4-Prestar servicios profesionales en las diferentes estrategias adelantadas por la subdirección Logistica en los procesos de planeación, logísticos, administrativos y financieros que se deriven de las competencias propias del area - SBLG"/>
  </r>
  <r>
    <n v="20260218"/>
    <s v="Prestar servicios de apoyo a la gestión en actividades administrativas y documentales para el desarrollo de las estrategías de la Subdirección Logística - SBLG"/>
    <s v="09 - contratación directa"/>
    <x v="0"/>
    <s v="26 - contrato de prestacion de servicios de apoyo a la gestion"/>
    <s v="ENERO"/>
    <n v="4"/>
    <n v="0"/>
    <n v="1312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18-TH-8173-4-Prestar servicios de apoyo a la gestión en actividades administrativas y documentales para el desarrollo de las estrategías de la Subdirección Logística - SBLG"/>
  </r>
  <r>
    <n v="20260219"/>
    <s v="Prestar servicios profesionales de caracter tecnologico apoyando la estructuración, elaboración, manejo y optimización de las herramientas tecnológicas a cargo de la Subdirección Logística – SBLG."/>
    <s v="09 - contratación directa"/>
    <x v="0"/>
    <s v="25 - contrato de prestacion de servicios profesionales"/>
    <s v="ENERO"/>
    <n v="8"/>
    <n v="0"/>
    <n v="36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19-TH-8173-4-Prestar servicios profesionales de caracter tecnologico apoyando la estructuración, elaboración, manejo y optimización de las herramientas tecnológicas a cargo de la Subdirección Logística – SBLG."/>
  </r>
  <r>
    <n v="20260220"/>
    <s v="Prestar servicios como conductor para apoyar en la gestiónes tecnicas y operativas para la Subdirección Logistica- SBLG."/>
    <s v="09 - contratación directa"/>
    <x v="0"/>
    <s v="26 - contrato de prestacion de servicios de apoyo a la gestion"/>
    <s v="ENERO"/>
    <n v="5"/>
    <n v="0"/>
    <n v="206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0-TH-8173-4-Prestar servicios como conductor para apoyar en la gestiónes tecnicas y operativas para la Subdirección Logistica- SBLG."/>
  </r>
  <r>
    <n v="20260221"/>
    <s v="Prestar servicios como conductor para apoyar en la gestiónes tecnicas y operativas para la Subdirección Logistica- SBLG."/>
    <s v="09 - contratación directa"/>
    <x v="0"/>
    <s v="26 - contrato de prestacion de servicios de apoyo a la gestion"/>
    <s v="ENERO"/>
    <n v="8"/>
    <n v="0"/>
    <n v="28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1-TH-8173-4-Prestar servicios como conductor para apoyar en la gestiónes tecnicas y operativas para la Subdirección Logistica- SBLG."/>
  </r>
  <r>
    <n v="20260222"/>
    <s v="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
    <s v="09 - contratación directa"/>
    <x v="0"/>
    <s v="25 - contrato de prestacion de servicios profesionales"/>
    <s v="ENERO"/>
    <n v="10"/>
    <n v="0"/>
    <n v="55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2-TH-8173-4-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
  </r>
  <r>
    <n v="20260223"/>
    <s v="Prestar servicios profesionales para apoyar en las actividades administrativas y tecnicas de los elementos e inventario a cargo Subdirección Logistica  – SBLG."/>
    <s v="09 - contratación directa"/>
    <x v="0"/>
    <s v="25 - contrato de prestacion de servicios profesionales"/>
    <s v="ENERO"/>
    <n v="6"/>
    <n v="0"/>
    <n v="33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3-TH-8173-4-Prestar servicios profesionales para apoyar en las actividades administrativas y tecnicas de los elementos e inventario a cargo Subdirección Logistica  – SBLG."/>
  </r>
  <r>
    <n v="20260224"/>
    <s v="Prestar servicios profesionales para la gestión del Plan Estratégico de Seguridad Vial (PESV), participación en el comité correspondiente y el desarrollo de programas y actividades asignadas para el desarrollo de las estrategías de la Subdirección Logística SBLG."/>
    <s v="09 - contratación directa"/>
    <x v="0"/>
    <s v="25 - contrato de prestacion de servicios profesionales"/>
    <s v="ENERO"/>
    <n v="9"/>
    <n v="0"/>
    <n v="45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4-TH-8173-4-Prestar servicios profesionales para la gestión del Plan Estratégico de Seguridad Vial (PESV), participación en el comité correspondiente y el desarrollo de programas y actividades asignadas para el desarrollo de las estrategías de la Subdirección Logística SBLG."/>
  </r>
  <r>
    <n v="20260225"/>
    <s v="Prestar servicios de apoyo a la gestión en las actividades de soporte operacional para el desarrollo de las estrategías de la Subdirección Logística. SBLG"/>
    <s v="09 - contratación directa"/>
    <x v="0"/>
    <s v="26 - contrato de prestacion de servicios de apoyo a la gestion"/>
    <s v="ENERO"/>
    <n v="9"/>
    <n v="0"/>
    <n v="29565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5-TH-8173-4-Prestar servicios de apoyo a la gestión en las actividades de soporte operacional para el desarrollo de las estrategías de la Subdirección Logística. SBLG"/>
  </r>
  <r>
    <n v="20260226"/>
    <s v="Prestar servicios de apoyo a la gestión en las actividades de soporte operacional para el desarrollo de las estrategías de la Subdirección Logística. SBLG"/>
    <s v="09 - contratación directa"/>
    <x v="0"/>
    <s v="26 - contrato de prestacion de servicios de apoyo a la gestion"/>
    <s v="ENERO"/>
    <n v="10"/>
    <n v="0"/>
    <n v="328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6-TH-8173-4-Prestar servicios de apoyo a la gestión en las actividades de soporte operacional para el desarrollo de las estrategías de la Subdirección Logística. SBLG"/>
  </r>
  <r>
    <n v="20260227"/>
    <s v="Prestar servicios de apoyo a la gestión en las actividades de soporte operacional para el desarrollo de las estrategías de la Subdirección Logística. SBLG"/>
    <s v="09 - contratación directa"/>
    <x v="0"/>
    <s v="26 - contrato de prestacion de servicios de apoyo a la gestion"/>
    <s v="ENERO"/>
    <n v="10"/>
    <n v="0"/>
    <n v="3285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7-TH-8173-4-Prestar servicios de apoyo a la gestión en las actividades de soporte operacional para el desarrollo de las estrategías de la Subdirección Logística. SBLG"/>
  </r>
  <r>
    <n v="20260228"/>
    <s v="Prestar servicios de apoyo a la gestión en las actividades de soporte operacional para el desarrollo de las estrategías de la Subdirección Logística. SBLG"/>
    <s v="09 - contratación directa"/>
    <x v="0"/>
    <s v="26 - contrato de prestacion de servicios de apoyo a la gestion"/>
    <s v="ENERO"/>
    <n v="10"/>
    <n v="0"/>
    <n v="328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8-TH-8173-4-Prestar servicios de apoyo a la gestión en las actividades de soporte operacional para el desarrollo de las estrategías de la Subdirección Logística. SBLG"/>
  </r>
  <r>
    <n v="20260229"/>
    <s v="Prestar servicios de apoyo a la gestión en actividades administrativas y documentales para el desarrollo de las estrategías de la Subdirección Logística - SBLG"/>
    <s v="09 - contratación directa"/>
    <x v="0"/>
    <s v="26 - contrato de prestacion de servicios de apoyo a la gestion"/>
    <s v="ENERO"/>
    <n v="8"/>
    <n v="0"/>
    <n v="32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29-TH-8173-4-Prestar servicios de apoyo a la gestión en actividades administrativas y documentales para el desarrollo de las estrategías de la Subdirección Logística - SBLG"/>
  </r>
  <r>
    <n v="20260230"/>
    <s v="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
    <s v="09 - contratación directa"/>
    <x v="0"/>
    <s v="25 - contrato de prestacion de servicios profesionales"/>
    <s v="ENERO"/>
    <n v="9"/>
    <n v="0"/>
    <n v="81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30-TH-8173-4-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
  </r>
  <r>
    <n v="20260231"/>
    <s v="Prestar servicios de apoyo a la gestión para el seguimiento y control de los suministros y consumibles  necesarios para la oportuna disponibilidad en la atención de emergencias -SBLG"/>
    <s v="09 - contratación directa"/>
    <x v="0"/>
    <s v="26 - contrato de prestacion de servicios de apoyo a la gestion"/>
    <s v="ENERO"/>
    <n v="6"/>
    <n v="0"/>
    <n v="216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31-TH-8173-4-Prestar servicios de apoyo a la gestión para el seguimiento y control de los suministros y consumibles  necesarios para la oportuna disponibilidad en la atención de emergencias -SBLG"/>
  </r>
  <r>
    <n v="20260232"/>
    <s v="Prestar servicios profesionales para el seguimiento y control en la cadena de suministros e insumos para la atención de emergencias garantizando la entrega oportuna de los bienes y servicios de la Subdirección Logística. SBLG"/>
    <s v="09 - contratación directa"/>
    <x v="0"/>
    <s v="25 - contrato de prestacion de servicios profesionales"/>
    <s v="ENERO"/>
    <n v="6"/>
    <n v="0"/>
    <n v="35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32-TH-8173-4-Prestar servicios profesionales para el seguimiento y control en la cadena de suministros e insumos para la atención de emergencias garantizando la entrega oportuna de los bienes y servicios de la Subdirección Logística. SBLG"/>
  </r>
  <r>
    <n v="20260233"/>
    <s v="Prestar servicios profesionales para el seguimiento administrativo, financiero y de control en la cadena de suministros e insumos en la atención de emergencias garantizando la entrega de los bienes y servicios de la Subdirección Logística. SBLG"/>
    <s v="09 - contratación directa"/>
    <x v="0"/>
    <s v="25 - contrato de prestacion de servicios profesionales"/>
    <s v="ENERO"/>
    <n v="8"/>
    <n v="0"/>
    <n v="52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33-TH-8173-4-Prestar servicios profesionales para el seguimiento administrativo, financiero y de control en la cadena de suministros e insumos en la atención de emergencias garantizando la entrega de los bienes y servicios de la Subdirección Logística. SBLG"/>
  </r>
  <r>
    <n v="20260234"/>
    <s v="Prestación de servicios profesionales para la gestión, seguimiento y control administrativo, técnico y operativo del equipo menor a cargo de la Subdirección Logística. SBLG."/>
    <s v="09 - contratación directa"/>
    <x v="0"/>
    <s v="25 - contrato de prestacion de servicios profesionales"/>
    <s v="ENERO"/>
    <n v="10"/>
    <n v="0"/>
    <n v="900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34-TH-8173-4-Prestación de servicios profesionales para la gestión, seguimiento y control administrativo, técnico y operativo del equipo menor a cargo de la Subdirección Logística. SBLG."/>
  </r>
  <r>
    <n v="20260235"/>
    <s v="Prestar servicio de apoyo a la gestión para asistir a la Subdirección Logística en el seguimiento técnico y administrativo de los mantenimientos minimos requeridos en la Subdirección Logística - SBLG"/>
    <s v="09 - contratación directa"/>
    <x v="0"/>
    <s v="26 - contrato de prestacion de servicios de apoyo a la gestion"/>
    <s v="ENERO"/>
    <n v="10"/>
    <n v="0"/>
    <n v="360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35-TH-8173-4-Prestar servicio de apoyo a la gestión para asistir a la Subdirección Logística en el seguimiento técnico y administrativo de los mantenimientos minimos requeridos en la Subdirección Logística - SBLG"/>
  </r>
  <r>
    <n v="20260236"/>
    <s v="Prestar servicio de apoyo a la gestión para asistir a la Subdirección Logística en el seguimiento técnico y administrativo de los mantenimientos minimos requeridos en la Subdirección Logística - SBLG"/>
    <s v="09 - contratación directa"/>
    <x v="0"/>
    <s v="26 - contrato de prestacion de servicios de apoyo a la gestion"/>
    <s v="ENERO"/>
    <n v="9"/>
    <n v="0"/>
    <n v="324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36-TH-8173-4-Prestar servicio de apoyo a la gestión para asistir a la Subdirección Logística en el seguimiento técnico y administrativo de los mantenimientos minimos requeridos en la Subdirección Logística - SBLG"/>
  </r>
  <r>
    <n v="20260237"/>
    <s v="Prestación de servicios profesionales para realizar el seguimiento y monitoreo a los diferentes procesos y procedimientos del equipo menor a cargo de la Subdirección Logística - SBLG"/>
    <s v="09 - contratación directa"/>
    <x v="0"/>
    <s v="25 - contrato de prestacion de servicios profesionales"/>
    <s v="ENERO"/>
    <n v="6"/>
    <n v="0"/>
    <n v="420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37-TH-8173-4-Prestación de servicios profesionales para realizar el seguimiento y monitoreo a los diferentes procesos y procedimientos del equipo menor a cargo de la Subdirección Logística - SBLG"/>
  </r>
  <r>
    <n v="20260238"/>
    <s v="Prestar servicios de apoyo a la gestión en actividades administrativas y documentales en el procedimiento de equipo menor desarrollo de las estrategías de la Subdirección Logística - SBLG - SBLG"/>
    <s v="09 - contratación directa"/>
    <x v="0"/>
    <s v="26 - contrato de prestacion de servicios de apoyo a la gestion"/>
    <s v="ENERO"/>
    <n v="9"/>
    <n v="0"/>
    <n v="324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38-TH-8173-4-Prestar servicios de apoyo a la gestión en actividades administrativas y documentales en el procedimiento de equipo menor desarrollo de las estrategías de la Subdirección Logística - SBLG - SBLG"/>
  </r>
  <r>
    <n v="20260239"/>
    <s v="Prestación de servicios profesionales para realizar el seguimiento y monitoreo a los diferentes procesos y procedimientos del equipo menor a cargo de la Subdirección Logística - SBLG"/>
    <s v="09 - contratación directa"/>
    <x v="0"/>
    <s v="25 - contrato de prestacion de servicios profesionales"/>
    <s v="ENERO"/>
    <n v="9"/>
    <n v="0"/>
    <n v="495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39-TH-8173-4-Prestación de servicios profesionales para realizar el seguimiento y monitoreo a los diferentes procesos y procedimientos del equipo menor a cargo de la Subdirección Logística - SBLG"/>
  </r>
  <r>
    <n v="20260240"/>
    <s v="Prestar servicio de apoyo a la gestión para asistir a la Subdirección Logística en el seguimiento técnico y administrativo de los mantenimientos minimos requeridos en la Subdirección Logística - SBLG"/>
    <s v="09 - contratación directa"/>
    <x v="0"/>
    <s v="26 - contrato de prestacion de servicios de apoyo a la gestion"/>
    <s v="ENERO"/>
    <n v="7"/>
    <n v="0"/>
    <n v="252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240-TH-8173-4-Prestar servicio de apoyo a la gestión para asistir a la Subdirección Logística en el seguimiento técnico y administrativo de los mantenimientos minimos requeridos en la Subdirección Logística - SBLG"/>
  </r>
  <r>
    <n v="20260241"/>
    <s v="Prestación de servicios profesionales para realizar el seguimiento, verificación y asignación de las solicitudes recepcionadas atraves de las herramientas tecnológicas  asociadas a la Subdirección Logística - SBLG"/>
    <s v="09 - contratación directa"/>
    <x v="0"/>
    <s v="25 - contrato de prestacion de servicios profesionales"/>
    <s v="ENERO"/>
    <n v="7"/>
    <n v="15"/>
    <n v="60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41-TH-8173-4-Prestación de servicios profesionales para realizar el seguimiento, verificación y asignación de las solicitudes recepcionadas atraves de las herramientas tecnológicas  asociadas a la Subdirección Logística - SBLG"/>
  </r>
  <r>
    <n v="20260242"/>
    <s v="Prestar servicios profesionales para el seguimiento y gestión de las actividades establecidas en los planes de acción y estratégicos; así como, de los procesos de planeación y administrativos propios de Subdirección Logística - SBLG&quot;"/>
    <s v="09 - contratación directa"/>
    <x v="0"/>
    <s v="25 - contrato de prestacion de servicios profesionales"/>
    <s v="ENERO"/>
    <n v="7"/>
    <n v="0"/>
    <n v="315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42-TH-8173-4-Prestar servicios profesionales para el seguimiento y gestión de las actividades establecidas en los planes de acción y estratégicos; así como, de los procesos de planeación y administrativos propios de Subdirección Logística - SBLG&quot;"/>
  </r>
  <r>
    <n v="20260243"/>
    <s v="Prestar servicios profesionales apoyando las estrategias de comunicación, capacitación y gestión administrativa que promueva el uso y apropiación de los programas desarrollados en cada una de las estrategías de la Subdirección Logística - SBLG"/>
    <s v="09 - contratación directa"/>
    <x v="0"/>
    <s v="25 - contrato de prestacion de servicios profesionales"/>
    <s v="ENERO"/>
    <n v="8"/>
    <n v="0"/>
    <n v="48000000"/>
    <s v="NO"/>
    <s v="Sub. Logística"/>
    <s v="Omer Mauricio Rivera Ruiz"/>
    <x v="2"/>
    <s v="Subdirector@ de Gestión del Riesgo"/>
    <x v="0"/>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991191 Servicios administrativos relacionados con los trabajadores estatales"/>
    <s v="Si Secop "/>
    <s v="20260243-TH-8173-4-Prestar servicios profesionales apoyando las estrategias de comunicación, capacitación y gestión administrativa que promueva el uso y apropiación de los programas desarrollados en cada una de las estrategías de la Subdirección Logística - SBLG"/>
  </r>
  <r>
    <n v="20260244"/>
    <s v="Suministrar combustible para el parque automotor y los equipos especializados de la U.A.E. Cuerpo Oficial de Bomberos Bogotá, dentro y fuera del perímetro del Distrito Capital – SBLG."/>
    <s v="17 - acuerdo marco de precios"/>
    <x v="1"/>
    <s v="08 - contrato de suministro"/>
    <s v="MARZO"/>
    <n v="10"/>
    <n v="0"/>
    <n v="111000000"/>
    <s v="NO"/>
    <s v="Sub. Logística"/>
    <s v="Omer Mauricio Rivera Ruiz"/>
    <x v="2"/>
    <s v="Subdirector@ de Gestión del Riesgo"/>
    <x v="1"/>
    <n v="151015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1003053543003 Aditivos para gasolina, aceites minerales y combustible en general"/>
    <s v="Si Secop "/>
    <s v="20260244-BS-8173-4-Suministrar combustible para el parque automotor y los equipos especializados de la U.A.E. Cuerpo Oficial de Bomberos Bogotá, dentro y fuera del perímetro del Distrito Capital – SBLG."/>
  </r>
  <r>
    <n v="20260245"/>
    <s v="Mantenimiento correctivo y preventivo de los equipos menores con suministro, repuestos, accesorios e insumos de propiedad de la UAECOB. – SBLG "/>
    <s v="03 - selec. abrev. subasta inversa"/>
    <x v="1"/>
    <s v="03 - contrato de prestacion de servicios"/>
    <s v="MARZO"/>
    <n v="10"/>
    <n v="0"/>
    <n v="25000000"/>
    <s v="NO"/>
    <s v="Sub. Logística"/>
    <s v="Omer Mauricio Rivera Ruiz"/>
    <x v="2"/>
    <s v="Subdirector@ de Gestión del Riesgo"/>
    <x v="0"/>
    <s v="31261500; 31161500; 31161600; 31162300; 31162800; 31171500; 31171700; 39121600; 27121600;72101509; 26101700: 26101900; 15121500; 72101517; 72151511; 72154105 72154302; 73152108; 73152112"/>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s v="20260245-BS-8173-4-Mantenimiento correctivo y preventivo de los equipos menores con suministro, repuestos, accesorios e insumos de propiedad de la UAECOB. – SBLG "/>
  </r>
  <r>
    <n v="20260246"/>
    <s v="Contratar el suministro de alimentación para los caninos del cuerpo oficial y animales rescatados por la U.A.E. del Cuerpo Oficial de Bomberos de Bogotá –  SBLG"/>
    <s v="04 - contratación mínima cuantía"/>
    <x v="1"/>
    <s v="08 - contrato de suministro"/>
    <s v="ABRIL"/>
    <n v="8"/>
    <n v="0"/>
    <n v="25000000"/>
    <s v="NO"/>
    <s v="Sub. Logística"/>
    <s v="Omer Mauricio Rivera Ruiz"/>
    <x v="2"/>
    <s v="Subdirector@ de Gestión del Riesgo"/>
    <x v="0"/>
    <s v="10121801; 10121802; 10121804"/>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590 Otros servicios veterinarios"/>
    <s v="Si Secop "/>
    <s v="20260246-BS-8173-4-Contratar el suministro de alimentación para los caninos del cuerpo oficial y animales rescatados por la U.A.E. del Cuerpo Oficial de Bomberos de Bogotá –  SBLG"/>
  </r>
  <r>
    <n v="20260247"/>
    <s v="Proveer el suministro de elementos de bioseguridad e insumos médicos básicos y otros para la atención de emergencias. - SBLG"/>
    <s v="04 - contratación mínima cuantía"/>
    <x v="1"/>
    <s v="08 - contrato de suministro"/>
    <s v="MAYO"/>
    <n v="8"/>
    <n v="0"/>
    <n v="10000000"/>
    <s v="NO"/>
    <s v="Sub. Logística"/>
    <s v="Omer Mauricio Rivera Ruiz"/>
    <x v="2"/>
    <s v="Subdirector@ de Gestión del Riesgo"/>
    <x v="0"/>
    <s v="42141501;42141502;42141503;42142101;42142103;42142105;42142108;42172010;42172013;42172016;42172201;42281502;42291902"/>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1002092929012 Partes y accesorios para artículos de protección personal"/>
    <s v="Si Secop "/>
    <s v="20260247-BS-8173-4-Proveer el suministro de elementos de bioseguridad e insumos médicos básicos y otros para la atención de emergencias. - SBLG"/>
  </r>
  <r>
    <n v="20260248"/>
    <s v="Suministro de alimentación e hidratación para el cuerpo operativo en la atención de emergencias, entrenamientos, capacitaciones y actividades de prevención.-SBLG "/>
    <s v="03 - selec. abrev. subasta inversa"/>
    <x v="1"/>
    <s v="08 - contrato de suministro"/>
    <s v="MAYO"/>
    <n v="8"/>
    <n v="0"/>
    <n v="159070000"/>
    <s v="NO"/>
    <s v="Sub. Logística"/>
    <s v="Omer Mauricio Rivera Ruiz"/>
    <x v="2"/>
    <s v="Subdirector@ de Gestión del Riesgo"/>
    <x v="0"/>
    <s v="90101800;90101600;50192700;50112000;50202311;50201709;50161509;50192110;93131602; 50161500; 50192100; 50181900; 501017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663393 Otros servicios de comidas contratadas"/>
    <s v="Si Secop "/>
    <s v="20260248-BS-8173-4-Suministro de alimentación e hidratación para el cuerpo operativo en la atención de emergencias, entrenamientos, capacitaciones y actividades de prevención.-SBLG "/>
  </r>
  <r>
    <n v="20260249"/>
    <s v="Prestación de servicios médicos veterinarios, con suministro de medicamentos e insumos veterinarios y otros, para los caninos de la U.A.E. Cuerpo Oficial de Bomberos de Bogotá -  SBLG"/>
    <s v="04 - contratación mínima cuantía"/>
    <x v="1"/>
    <s v="03 - contrato de prestacion de servicios"/>
    <s v="MAYO"/>
    <n v="8"/>
    <n v="0"/>
    <n v="25000000"/>
    <s v="NO"/>
    <s v="Sub. Logística"/>
    <s v="Omer Mauricio Rivera Ruiz"/>
    <x v="2"/>
    <s v="Subdirector@ de Gestión del Riesgo"/>
    <x v="0"/>
    <s v="70122002; 70122005; 70122006; 70122007; 70122008; 70122009; 70122010; 10110000; 42120000;70122001."/>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590 Otros servicios veterinarios"/>
    <s v="Si Secop "/>
    <s v="20260249-BS-8173-4-Prestación de servicios médicos veterinarios, con suministro de medicamentos e insumos veterinarios y otros, para los caninos de la U.A.E. Cuerpo Oficial de Bomberos de Bogotá -  SBLG"/>
  </r>
  <r>
    <n v="20260250"/>
    <s v="Prestar el servicio de mantenimiento preventivo y correctivo de los compresores BAUER propiedad de la U.A.E. Cuerpo Oficial de Bomberos de Bogotá, incluido el suministro de repuestos, insumos y mano de obra especializada.  - SBLG"/>
    <s v="09 - contratación directa"/>
    <x v="1"/>
    <s v="08 - contrato de suministro"/>
    <s v="MAYO"/>
    <n v="8"/>
    <n v="0"/>
    <n v="20000000"/>
    <s v="NO"/>
    <s v="Sub. Logística"/>
    <s v="Omer Mauricio Rivera Ruiz"/>
    <x v="2"/>
    <s v="Subdirector@ de Gestión del Riesgo"/>
    <x v="0"/>
    <s v="72101511, 40151604, 40151691, 81101800 "/>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715602 Servicio de mantenimiento y reparación de equipos de fuerza hidráulica y de potencia neumática, bombas, compresores y válvulas"/>
    <s v="Si Secop "/>
    <s v="20260250-BS-8173-4-Prestar el servicio de mantenimiento preventivo y correctivo de los compresores BAUER propiedad de la U.A.E. Cuerpo Oficial de Bomberos de Bogotá, incluido el suministro de repuestos, insumos y mano de obra especializada.  - SBLG"/>
  </r>
  <r>
    <n v="20260251"/>
    <s v="Prestar el servicio de  mantenimiento y recarga de extintores, cilindros y tanques de las maquinas extintoras de la UAECOB.  - SBLG"/>
    <s v="03 - selec. abrev. subasta inversa"/>
    <x v="1"/>
    <s v="03 - contrato de prestacion de servicios"/>
    <s v="MAYO"/>
    <n v="8"/>
    <n v="0"/>
    <n v="3419000"/>
    <s v="NO"/>
    <s v="Sub. Logística"/>
    <s v="Omer Mauricio Rivera Ruiz"/>
    <x v="2"/>
    <s v="Subdirector@ de Gestión del Riesgo"/>
    <x v="1"/>
    <s v="46191506;46191601"/>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s v="20260251-BS-8173-4-Prestar el servicio de  mantenimiento y recarga de extintores, cilindros y tanques de las maquinas extintoras de la UAECOB.  - SBLG"/>
  </r>
  <r>
    <n v="20260252"/>
    <s v="Prestar el servicio de mantenimiento preventivo y correctivo, incluyendo el suministro de repuestos, insumos y mano de obra especializada para las motobombas forestales FOX, propiedad de la Unidad Administrativa Especial Cuerpo Oficial de Bomberos de Bogotá D.C. (UAECOB). - SBLG"/>
    <s v="09 - contratación directa"/>
    <x v="1"/>
    <s v="03 - contrato de prestacion de servicios"/>
    <s v="SEPTIEMBRE"/>
    <n v="8"/>
    <n v="0"/>
    <n v="20000000"/>
    <s v="NO"/>
    <s v="Sub. Logística"/>
    <s v="Omer Mauricio Rivera Ruiz"/>
    <x v="2"/>
    <s v="Subdirector@ de Gestión del Riesgo"/>
    <x v="0"/>
    <s v="46161600;72101509;73152108;4619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715602 Servicio de mantenimiento y reparación de equipos de fuerza hidráulica y de potencia neumática, bombas, compresores y válvulas"/>
    <s v="Si Secop "/>
    <s v="20260252-BS-8173-4-Prestar el servicio de mantenimiento preventivo y correctivo, incluyendo el suministro de repuestos, insumos y mano de obra especializada para las motobombas forestales FOX, propiedad de la Unidad Administrativa Especial Cuerpo Oficial de Bomberos de Bogotá D.C. (UAECOB). - SBLG"/>
  </r>
  <r>
    <n v="20260253"/>
    <s v="Suministrar los repuestos, accesorios e insumos de los equipos de rescate vehicular liviano y pesado marca LUKAS-  SBLG"/>
    <s v="09 - contratación directa"/>
    <x v="1"/>
    <s v="08 - contrato de suministro"/>
    <s v="SEPTIEMBRE"/>
    <n v="5"/>
    <n v="0"/>
    <n v="5000000"/>
    <s v="NO"/>
    <s v="Sub. Logística"/>
    <s v="Omer Mauricio Rivera Ruiz"/>
    <x v="2"/>
    <s v="Subdirector@ de Gestión del Riesgo"/>
    <x v="0"/>
    <s v="23191200; 23153100; 23271800; 26121600; 27131600; 26101700; 31162800; 31163000; 31163100; 31171500; 31171700; 31191500; 31201600; 40141700; 31121700; 261117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s v="20260253-BS-8173-4-Suministrar los repuestos, accesorios e insumos de los equipos de rescate vehicular liviano y pesado marca LUKAS-  SBLG"/>
  </r>
  <r>
    <n v="20260254"/>
    <s v="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s v="09 - contratación directa"/>
    <x v="1"/>
    <s v="27 - contrato de prestacion de servicios de mantenimiento"/>
    <s v="SEPTIEMBRE"/>
    <n v="6"/>
    <n v="0"/>
    <n v="20000000"/>
    <s v="NO"/>
    <s v="Sub. Logística"/>
    <s v="Omer Mauricio Rivera Ruiz"/>
    <x v="2"/>
    <s v="Subdirector@ de Gestión del Riesgo"/>
    <x v="0"/>
    <s v="46182005; 46171613; 72101509."/>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s v="20260254-BS-8173-4-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r>
  <r>
    <n v="20260255"/>
    <s v="Adición al contrato 622-2025 cuyo objeto es: ¨Prestación del servicio de mantenimiento preventivo y correctivo de los equipos de respiración autónoma interspiro propiedad de la UAECOB, incluido el suministro de repuestos, insumos mano de obra especializada –SBLG"/>
    <s v="09 - contratación directa"/>
    <x v="1"/>
    <s v="03 - contrato de prestacion de servicios"/>
    <s v="MARZO"/>
    <n v="4"/>
    <n v="0"/>
    <n v="26104301"/>
    <s v="NO"/>
    <s v="Sub. Logística"/>
    <s v="Omer Mauricio Rivera Ruiz"/>
    <x v="2"/>
    <s v="Subdirector@ de Gestión del Riesgo"/>
    <x v="0"/>
    <n v="72101509"/>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s v="20260255-BS-8173-4-Adición al contrato 622-2025 cuyo objeto es: ¨Prestación del servicio de mantenimiento preventivo y correctivo de los equipos de respiración autónoma interspiro propiedad de la UAECOB, incluido el suministro de repuestos, insumos mano de obra especializada –SBLG"/>
  </r>
  <r>
    <n v="20260256"/>
    <s v="Prestar el servicio de mantenimiento preventivo y correctivo de los Equipos de Rescate Vehicular HOLMATRO propiedad de la UAECOB, incluido el suministro de repuestos, insumos y mano de obra especializada -  SBLG"/>
    <s v="09 - contratación directa"/>
    <x v="1"/>
    <s v="08 - contrato de suministro"/>
    <s v="OCTUBRE"/>
    <n v="5"/>
    <n v="0"/>
    <n v="20000000"/>
    <s v="NO"/>
    <s v="Sub. Logística"/>
    <s v="Omer Mauricio Rivera Ruiz"/>
    <x v="2"/>
    <s v="Subdirector@ de Gestión del Riesgo"/>
    <x v="0"/>
    <s v="72101509;4619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s v="20260256-BS-8173-4-Prestar el servicio de mantenimiento preventivo y correctivo de los Equipos de Rescate Vehicular HOLMATRO propiedad de la UAECOB, incluido el suministro de repuestos, insumos y mano de obra especializada -  SBLG"/>
  </r>
  <r>
    <n v="20260257"/>
    <s v="Contratar el servicio de revision técnico mecánica y de emision de gases contaminantes para los vehiculos que forman parte del parque automotor de la Unidad Administrativa Especial Cuerpo Oficial de Bomberos de Bogotá - UAECOB-SBLG"/>
    <s v="04 - contratación mínima cuantía"/>
    <x v="1"/>
    <s v="03 - contrato de prestacion de servicios"/>
    <s v="MARZO"/>
    <n v="12"/>
    <n v="0"/>
    <n v="49000000"/>
    <s v="NO"/>
    <s v="Sub. Logística"/>
    <s v="Omer Mauricio Rivera Ruiz"/>
    <x v="1"/>
    <s v="Subdirector@ de Gestión Corporativa"/>
    <x v="1"/>
    <n v="78181505"/>
    <s v="No aplica"/>
    <s v="No a"/>
    <s v="l"/>
    <s v="NA"/>
    <s v="NA"/>
    <s v="NA"/>
    <s v="N/A"/>
    <s v="N/A"/>
    <s v="N/A-N/A"/>
    <s v="N/A"/>
    <s v="N/A"/>
    <s v="N/A_N/A"/>
    <s v="N/A-N/A N/A_N/A"/>
    <s v="NANANAN/AN/A"/>
    <s v="N/A"/>
    <s v="No Aplica"/>
    <s v="Si Secop "/>
    <s v="20260257-BS-No a-l-Contratar el servicio de revision técnico mecánica y de emision de gases contaminantes para los vehiculos que forman parte del parque automotor de la Unidad Administrativa Especial Cuerpo Oficial de Bomberos de Bogotá - UAECOB-SBLG"/>
  </r>
  <r>
    <n v="20260258"/>
    <s v="Prestación de servicios de apoyo al proceso de comunicaciones en emergencias del centro de coordinación y comunicaciones (c.c.c.), para el desarrollo de los programas a cargo de la Subdirección Operativa-S.O."/>
    <s v="09 - contratación directa"/>
    <x v="0"/>
    <s v="26 - contrato de prestacion de servicios de apoyo a la gestion"/>
    <s v="ENERO"/>
    <n v="10"/>
    <n v="0"/>
    <n v="31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58-TH-8173-2-Prestación de servicios de apoyo al proceso de comunicaciones en emergencias del centro de coordinación y comunicaciones (c.c.c.), para el desarrollo de los programas a cargo de la Subdirección Operativa-S.O."/>
  </r>
  <r>
    <n v="20260259"/>
    <s v="Prestación de servicios de apoyo al proceso de comunicaciones en emergencias del centro de coordinación y comunicaciones (c.c.c.), para el desarrollo de los programas a cargo de la Subdirección Operativa-S.O."/>
    <s v="09 - contratación directa"/>
    <x v="0"/>
    <s v="26 - contrato de prestacion de servicios de apoyo a la gestion"/>
    <s v="ENERO"/>
    <n v="10"/>
    <n v="0"/>
    <n v="31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59-TH-8173-2-Prestación de servicios de apoyo al proceso de comunicaciones en emergencias del centro de coordinación y comunicaciones (c.c.c.), para el desarrollo de los programas a cargo de la Subdirección Operativa-S.O."/>
  </r>
  <r>
    <n v="20260260"/>
    <s v="Prestación de servicios de apoyo al proceso de comunicaciones en emergencias del centro de coordinación y comunicaciones (c.c.c.), para el desarrollo de los programas a cargo de la Subdirección Operativa-S.O."/>
    <s v="09 - contratación directa"/>
    <x v="0"/>
    <s v="26 - contrato de prestacion de servicios de apoyo a la gestion"/>
    <s v="ENERO"/>
    <n v="10"/>
    <n v="0"/>
    <n v="31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0-TH-8173-2-Prestación de servicios de apoyo al proceso de comunicaciones en emergencias del centro de coordinación y comunicaciones (c.c.c.), para el desarrollo de los programas a cargo de la Subdirección Operativa-S.O."/>
  </r>
  <r>
    <n v="20260261"/>
    <s v="Prestación de servicios de apoyo al proceso de comunicaciones en emergencias del centro de coordinación y comunicaciones (c.c.c.), para el desarrollo de los programas a cargo de la Subdirección Operativa-S.O."/>
    <s v="09 - contratación directa"/>
    <x v="0"/>
    <s v="26 - contrato de prestacion de servicios de apoyo a la gestion"/>
    <s v="ENERO"/>
    <n v="10"/>
    <n v="0"/>
    <n v="31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1-TH-8173-2-Prestación de servicios de apoyo al proceso de comunicaciones en emergencias del centro de coordinación y comunicaciones (c.c.c.), para el desarrollo de los programas a cargo de la Subdirección Operativa-S.O."/>
  </r>
  <r>
    <n v="20260262"/>
    <s v="Prestación de servicios de apoyo al proceso de comunicaciones en emergencias del centro de coordinación y comunicaciones (c.c.c.), para el desarrollo de los programas a cargo de la Subdirección Operativa-S.O."/>
    <s v="09 - contratación directa"/>
    <x v="0"/>
    <s v="26 - contrato de prestacion de servicios de apoyo a la gestion"/>
    <s v="ENERO"/>
    <n v="10"/>
    <n v="0"/>
    <n v="31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2-TH-8173-2-Prestación de servicios de apoyo al proceso de comunicaciones en emergencias del centro de coordinación y comunicaciones (c.c.c.), para el desarrollo de los programas a cargo de la Subdirección Operativa-S.O."/>
  </r>
  <r>
    <n v="20260263"/>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3-TH-8173-2-Prestación de servicios para realizar la gestión administrativa requerida en la estación de bomberos asignada, para el desarrollo de los programas a cargo de la Subdirección Operativa-S.O."/>
  </r>
  <r>
    <n v="20260264"/>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4-TH-8173-2-Prestación de servicios para realizar la gestión administrativa requerida en la estación de bomberos asignada, para el desarrollo de los programas a cargo de la Subdirección Operativa-S.O."/>
  </r>
  <r>
    <n v="20260265"/>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5-TH-8173-2-Prestación de servicios para realizar la gestión administrativa requerida en la estación de bomberos asignada, para el desarrollo de los programas a cargo de la Subdirección Operativa-S.O."/>
  </r>
  <r>
    <n v="20260266"/>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6-TH-8173-2-Prestación de servicios para realizar la gestión administrativa requerida en la estación de bomberos asignada, para el desarrollo de los programas a cargo de la Subdirección Operativa-S.O."/>
  </r>
  <r>
    <n v="20260267"/>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7-TH-8173-2-Prestación de servicios para realizar la gestión administrativa requerida en la estación de bomberos asignada, para el desarrollo de los programas a cargo de la Subdirección Operativa-S.O."/>
  </r>
  <r>
    <n v="20260268"/>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8-TH-8173-2-Prestación de servicios para realizar la gestión administrativa requerida en la estación de bomberos asignada, para el desarrollo de los programas a cargo de la Subdirección Operativa-S.O."/>
  </r>
  <r>
    <n v="20260269"/>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69-TH-8173-2-Prestación de servicios para realizar la gestión administrativa requerida en la estación de bomberos asignada, para el desarrollo de los programas a cargo de la Subdirección Operativa-S.O."/>
  </r>
  <r>
    <n v="20260270"/>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0-TH-8173-2-Prestación de servicios para realizar la gestión administrativa requerida en la estación de bomberos asignada, para el desarrollo de los programas a cargo de la Subdirección Operativa-S.O."/>
  </r>
  <r>
    <n v="20260271"/>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1-TH-8173-2-Prestación de servicios para realizar la gestión administrativa requerida en la estación de bomberos asignada, para el desarrollo de los programas a cargo de la Subdirección Operativa-S.O."/>
  </r>
  <r>
    <n v="20260272"/>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2-TH-8173-2-Prestación de servicios para realizar la gestión administrativa requerida en la estación de bomberos asignada, para el desarrollo de los programas a cargo de la Subdirección Operativa-S.O."/>
  </r>
  <r>
    <n v="20260273"/>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3-TH-8173-2-Prestación de servicios para realizar la gestión administrativa requerida en la estación de bomberos asignada, para el desarrollo de los programas a cargo de la Subdirección Operativa-S.O."/>
  </r>
  <r>
    <n v="20260274"/>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4-TH-8173-2-Prestación de servicios para realizar la gestión administrativa requerida en la estación de bomberos asignada, para el desarrollo de los programas a cargo de la Subdirección Operativa-S.O."/>
  </r>
  <r>
    <n v="20260275"/>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5-TH-8173-2-Prestación de servicios para realizar la gestión administrativa requerida en la estación de bomberos asignada, para el desarrollo de los programas a cargo de la Subdirección Operativa-S.O."/>
  </r>
  <r>
    <n v="20260276"/>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6-TH-8173-2-Prestación de servicios para realizar la gestión administrativa requerida en la estación de bomberos asignada, para el desarrollo de los programas a cargo de la Subdirección Operativa-S.O."/>
  </r>
  <r>
    <n v="20260277"/>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7-TH-8173-2-Prestación de servicios para realizar la gestión administrativa requerida en la estación de bomberos asignada, para el desarrollo de los programas a cargo de la Subdirección Operativa-S.O."/>
  </r>
  <r>
    <n v="20260278"/>
    <s v="Prestación de servicios para realizar la gestión administrativa requerida en la estación de bomberos asignada, para el desarrollo de los programas a cargo de la Subdirección Operativa-S.O."/>
    <s v="09 - contratación directa"/>
    <x v="0"/>
    <s v="26 - contrato de prestacion de servicios de apoyo a la gestion"/>
    <s v="ENERO"/>
    <n v="9"/>
    <n v="0"/>
    <n v="2691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8-TH-8173-2-Prestación de servicios para realizar la gestión administrativa requerida en la estación de bomberos asignada, para el desarrollo de los programas a cargo de la Subdirección Operativa-S.O."/>
  </r>
  <r>
    <n v="20260279"/>
    <s v="Prestación de servicios para la gestión administrativa y documental realizando los reportes requeridos para el desarrollo de los programas a cargo de la Subdirección Operativa-S.O."/>
    <s v="09 - contratación directa"/>
    <x v="0"/>
    <s v="26 - contrato de prestacion de servicios de apoyo a la gestion"/>
    <s v="ENERO"/>
    <n v="9"/>
    <n v="0"/>
    <n v="2961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79-TH-8173-2-Prestación de servicios para la gestión administrativa y documental realizando los reportes requeridos para el desarrollo de los programas a cargo de la Subdirección Operativa-S.O."/>
  </r>
  <r>
    <n v="20260280"/>
    <s v="Prestación de servicios profesionales para atender las actividades de bienestar de los caninos y los animales rescatados o recuperados que  atiende el grupo BRAE, para el desarrollo de los programas a cargo de la Subdirección Operativa-S.O."/>
    <s v="09 - contratación directa"/>
    <x v="0"/>
    <s v="25 - contrato de prestacion de servicios profesionales"/>
    <s v="ENERO"/>
    <n v="9"/>
    <n v="0"/>
    <n v="45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80-TH-8173-2-Prestación de servicios profesionales para atender las actividades de bienestar de los caninos y los animales rescatados o recuperados que  atiende el grupo BRAE, para el desarrollo de los programas a cargo de la Subdirección Operativa-S.O."/>
  </r>
  <r>
    <n v="20260281"/>
    <s v="Prestación de servicios profesionales para atender las actividades de bienestar de los caninos y los animales rescatados o recuperados que  atiende el grupo BRAE, para el desarrollo de los programas a cargo de la Subdirección Operativa-S.O."/>
    <s v="09 - contratación directa"/>
    <x v="0"/>
    <s v="25 - contrato de prestacion de servicios profesionales"/>
    <s v="ENERO"/>
    <n v="9"/>
    <n v="0"/>
    <n v="45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81-TH-8173-2-Prestación de servicios profesionales para atender las actividades de bienestar de los caninos y los animales rescatados o recuperados que  atiende el grupo BRAE, para el desarrollo de los programas a cargo de la Subdirección Operativa-S.O."/>
  </r>
  <r>
    <n v="20260282"/>
    <s v="Prestación de servicios de apoyo para desarrollar y mantener las condiciones básicas de bienestar de los caninos y  animales rescatados o recuperados que atiende el grupo BRAE, para la gestión de los programas a cargo de la Subdirección Operativa-S.O."/>
    <s v="09 - contratación directa"/>
    <x v="0"/>
    <s v="26 - contrato de prestacion de servicios de apoyo a la gestion"/>
    <s v="ENERO"/>
    <n v="9"/>
    <n v="0"/>
    <n v="333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82-TH-8173-2-Prestación de servicios de apoyo para desarrollar y mantener las condiciones básicas de bienestar de los caninos y  animales rescatados o recuperados que atiende el grupo BRAE, para la gestión de los programas a cargo de la Subdirección Operativa-S.O."/>
  </r>
  <r>
    <n v="20260283"/>
    <s v="Prestación de servicios de apoyo para desarrollar y mantener las condiciones básicas de bienestar de los caninos y  animales rescatados o recuperados que atiende el grupo BRAE, para la gestión de los programas a cargo de la Subdirección Operativa-S.O."/>
    <s v="09 - contratación directa"/>
    <x v="0"/>
    <s v="26 - contrato de prestacion de servicios de apoyo a la gestion"/>
    <s v="ENERO"/>
    <n v="9"/>
    <n v="0"/>
    <n v="333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83-TH-8173-2-Prestación de servicios de apoyo para desarrollar y mantener las condiciones básicas de bienestar de los caninos y  animales rescatados o recuperados que atiende el grupo BRAE, para la gestión de los programas a cargo de la Subdirección Operativa-S.O."/>
  </r>
  <r>
    <n v="20260284"/>
    <s v="ADICIÓN Y PRÓRROGA al contrato de prestación de servicios # 540-2025, cuyo objeto es: &quot;Prestación de servicios de apoyo a la gestión para ejecutar actividades administrativas y asistenciales, así como el diligenciamiento y seguimiento de las solicitudes en las herramientas de gestión de los procedimientos a cargo de la subdirección operativa -s.o&quot;."/>
    <s v="09 - contratación directa"/>
    <x v="0"/>
    <s v="26 - contrato de prestacion de servicios de apoyo a la gestion"/>
    <s v="ENERO"/>
    <n v="3"/>
    <n v="15"/>
    <n v="154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284-TH-8173-2-ADICIÓN Y PRÓRROGA al contrato de prestación de servicios # 540-2025, cuyo objeto es: &quot;Prestación de servicios de apoyo a la gestión para ejecutar actividades administrativas y asistenciales, así como el diligenciamiento y seguimiento de las solicitudes en las herramientas de gestión de los procedimientos a cargo de la subdirección operativa -s.o&quot;."/>
  </r>
  <r>
    <n v="20260285"/>
    <s v="ADICIÓN Y PRÓRROGA al contrato de prestación de servicios # 118-2025, cuyo objeto es: &quot;prestación de servicios profesionales para generar información de valor e instrumentos de seguimiento y control a partir de los datos asociados a la ejecución de los procesos, planes y proyectos adelantados en la dependencia. s.o.&quot;"/>
    <s v="09 - contratación directa"/>
    <x v="0"/>
    <s v="25 - contrato de prestacion de servicios profesionales"/>
    <s v="ENERO"/>
    <n v="5"/>
    <n v="15"/>
    <n v="5225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285-TH-8173-2-ADICIÓN Y PRÓRROGA al contrato de prestación de servicios # 118-2025, cuyo objeto es: &quot;prestación de servicios profesionales para generar información de valor e instrumentos de seguimiento y control a partir de los datos asociados a la ejecución de los procesos, planes y proyectos adelantados en la dependencia. s.o.&quot;"/>
  </r>
  <r>
    <n v="20260286"/>
    <s v="Prestación de servicios profesionales para el fortalecimiento de los procesos de comunicaciones y  en articulación con otras dependencias de la entidad y de los procesos y programas a cargo de la Subdirección  Operativa-S.O."/>
    <s v="09 - contratación directa"/>
    <x v="0"/>
    <s v="25 - contrato de prestacion de servicios profesionales"/>
    <s v="ENERO"/>
    <n v="10"/>
    <n v="0"/>
    <n v="80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86-TH-8173-2-Prestación de servicios profesionales para el fortalecimiento de los procesos de comunicaciones y  en articulación con otras dependencias de la entidad y de los procesos y programas a cargo de la Subdirección  Operativa-S.O."/>
  </r>
  <r>
    <n v="20260287"/>
    <s v="Prestación de servicios profesionales para realizar seguimiento y verificación  de las actividades relacionadas con la Subdirección Logística en los procesos, procedimientos y programas a cargo de la Subdirección Operativa-S.O."/>
    <s v="09 - contratación directa"/>
    <x v="0"/>
    <s v="25 - contrato de prestacion de servicios profesionales"/>
    <s v="ENERO"/>
    <n v="10"/>
    <n v="0"/>
    <n v="495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87-TH-8173-2-Prestación de servicios profesionales para realizar seguimiento y verificación  de las actividades relacionadas con la Subdirección Logística en los procesos, procedimientos y programas a cargo de la Subdirección Operativa-S.O."/>
  </r>
  <r>
    <n v="20260288"/>
    <s v="Prestación de servicios profesionales para apoyar en el análisis de información, reportes, documentos técnicos y demás productos relacionados con la atención de emergencias de la entidad y  de los  programas a cargo de la Subdirección  Operativa-S.O."/>
    <s v="09 - contratación directa"/>
    <x v="0"/>
    <s v="25 - contrato de prestacion de servicios profesionales"/>
    <s v="ENERO"/>
    <n v="7"/>
    <n v="0"/>
    <n v="476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88-TH-8173-2-Prestación de servicios profesionales para apoyar en el análisis de información, reportes, documentos técnicos y demás productos relacionados con la atención de emergencias de la entidad y  de los  programas a cargo de la Subdirección  Operativa-S.O."/>
  </r>
  <r>
    <n v="20260289"/>
    <s v="Prestación de servicios profesionales para apoyar el fortalecimiento de la dependencia y la articulación con entidades externas, para el desarrollo de los programas a cargo de la Subdirección Operativa-S. O."/>
    <s v="09 - contratación directa"/>
    <x v="0"/>
    <s v="25 - contrato de prestacion de servicios profesionales"/>
    <s v="JULIO"/>
    <n v="6"/>
    <n v="0"/>
    <n v="432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89-TH-8173-2-Prestación de servicios profesionales para apoyar el fortalecimiento de la dependencia y la articulación con entidades externas, para el desarrollo de los programas a cargo de la Subdirección Operativa-S. O."/>
  </r>
  <r>
    <n v="20260290"/>
    <s v="Prestación de servicios profesionales para brindar el apoyo administrativo de las gestiones  de la Subdirección, así como proyectar las respuestas a las solicitudes de carácter interno o externo para  el desarrollo de los programas a cargo de la Subdirección Operativa-S.O."/>
    <s v="09 - contratación directa"/>
    <x v="0"/>
    <s v="25 - contrato de prestacion de servicios profesionales"/>
    <s v="ENERO"/>
    <n v="8"/>
    <n v="0"/>
    <n v="412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90-TH-8173-2-Prestación de servicios profesionales para brindar el apoyo administrativo de las gestiones  de la Subdirección, así como proyectar las respuestas a las solicitudes de carácter interno o externo para  el desarrollo de los programas a cargo de la Subdirección Operativa-S.O."/>
  </r>
  <r>
    <n v="20260291"/>
    <s v="Prestación de servicios profesionales para ejecutar los aspectos jurídicos en las diferentes modalidades de contratación que requiera la Subdirección operativa para el cumplimiento de su misionalidad y de los programas a cargo-S.O."/>
    <s v="09 - contratación directa"/>
    <x v="0"/>
    <s v="25 - contrato de prestacion de servicios profesionales"/>
    <s v="ENERO"/>
    <n v="10"/>
    <n v="0"/>
    <n v="67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91-TH-8173-2-Prestación de servicios profesionales para ejecutar los aspectos jurídicos en las diferentes modalidades de contratación que requiera la Subdirección operativa para el cumplimiento de su misionalidad y de los programas a cargo-S.O."/>
  </r>
  <r>
    <n v="20260292"/>
    <s v="Prestación de servicios profesionales para apoyar las gestiones de carácter contractual en sus diferentes etapas y las gestiones administrativas a cargo, para el desarrollo de los programas de la Subdirección operativa-S.O."/>
    <s v="09 - contratación directa"/>
    <x v="0"/>
    <s v="25 - contrato de prestacion de servicios profesionales"/>
    <s v="ENERO"/>
    <n v="8"/>
    <n v="0"/>
    <n v="656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92-TH-8173-2-Prestación de servicios profesionales para apoyar las gestiones de carácter contractual en sus diferentes etapas y las gestiones administrativas a cargo, para el desarrollo de los programas de la Subdirección operativa-S.O."/>
  </r>
  <r>
    <n v="20260293"/>
    <s v="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s v="09 - contratación directa"/>
    <x v="0"/>
    <s v="25 - contrato de prestacion de servicios profesionales"/>
    <s v="ENERO"/>
    <n v="10"/>
    <n v="0"/>
    <n v="72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93-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r>
  <r>
    <n v="20260294"/>
    <s v="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
    <s v="09 - contratación directa"/>
    <x v="0"/>
    <s v="25 - contrato de prestacion de servicios profesionales"/>
    <s v="ENERO"/>
    <n v="10"/>
    <n v="0"/>
    <n v="97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94-TH-8173-2-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
  </r>
  <r>
    <n v="20260295"/>
    <s v="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s v="09 - contratación directa"/>
    <x v="0"/>
    <s v="25 - contrato de prestacion de servicios profesionales"/>
    <s v="ENERO"/>
    <n v="10"/>
    <n v="0"/>
    <n v="72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295-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r>
  <r>
    <n v="20260296"/>
    <s v="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
    <s v="09 - contratación directa"/>
    <x v="0"/>
    <s v="25 - contrato de prestacion de servicios profesionales"/>
    <s v="ENERO"/>
    <n v="5"/>
    <n v="0"/>
    <n v="325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296-TH-8173-2-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
  </r>
  <r>
    <n v="20260297"/>
    <s v="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
    <s v="09 - contratación directa"/>
    <x v="0"/>
    <s v="25 - contrato de prestacion de servicios profesionales"/>
    <s v="ENERO"/>
    <n v="4"/>
    <n v="15"/>
    <n v="4275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297-TH-8173-2-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
  </r>
  <r>
    <n v="20260298"/>
    <s v="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
    <s v="09 - contratación directa"/>
    <x v="0"/>
    <s v="25 - contrato de prestacion de servicios profesionales"/>
    <s v="ENERO"/>
    <n v="4"/>
    <n v="15"/>
    <n v="4275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298-TH-8173-2-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
  </r>
  <r>
    <n v="20260299"/>
    <s v="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
    <s v="09 - contratación directa"/>
    <x v="0"/>
    <s v="25 - contrato de prestacion de servicios profesionales"/>
    <s v="ENERO"/>
    <n v="3"/>
    <n v="0"/>
    <n v="285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299-TH-8173-2-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
  </r>
  <r>
    <n v="20260300"/>
    <s v="Prestación de servicios profesionales para apoyar jurídicamente los proyectos, procesos y procedimientos, para e desarrollo de los programas de la subdirección operativa-S.O"/>
    <s v="09 - contratación directa"/>
    <x v="0"/>
    <s v="25 - contrato de prestacion de servicios profesionales"/>
    <s v="ENERO"/>
    <n v="8"/>
    <n v="0"/>
    <n v="72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00-TH-8173-2-Prestación de servicios profesionales para apoyar jurídicamente los proyectos, procesos y procedimientos, para e desarrollo de los programas de la subdirección operativa-S.O"/>
  </r>
  <r>
    <n v="20260301"/>
    <s v="Prestar servicios profesionales  para apoyar el fortalecimiento, articulación, seguimiento y gestión de los proyectos de inversión,  planes e indicadores de gestión, para el desarrollo de los programas de la Subdirección Operativa-S.O."/>
    <s v="09 - contratación directa"/>
    <x v="0"/>
    <s v="25 - contrato de prestacion de servicios profesionales"/>
    <s v="ENERO"/>
    <n v="10"/>
    <n v="0"/>
    <n v="97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01-TH-8173-2-Prestar servicios profesionales  para apoyar el fortalecimiento, articulación, seguimiento y gestión de los proyectos de inversión,  planes e indicadores de gestión, para el desarrollo de los programas de la Subdirección Operativa-S.O."/>
  </r>
  <r>
    <n v="20260302"/>
    <s v="Prestación de servicios profesionales para realizar el seguimiento, verificación, control y  diligenciamiento de los requerimientos propios, en los sistemas de información de la Entidad, para el desarrollo de los programas de la Subdirección Operativa-S.O."/>
    <s v="09 - contratación directa"/>
    <x v="0"/>
    <s v="25 - contrato de prestacion de servicios profesionales"/>
    <s v="ENERO"/>
    <n v="8"/>
    <n v="0"/>
    <n v="376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02-TH-8173-2-Prestación de servicios profesionales para realizar el seguimiento, verificación, control y  diligenciamiento de los requerimientos propios, en los sistemas de información de la Entidad, para el desarrollo de los programas de la Subdirección Operativa-S.O."/>
  </r>
  <r>
    <n v="20260303"/>
    <s v="Prestación de servicios profesionales para liderar y gestionar los temas operativos, incluyendo  el trabajo articulado con tecnología para implementar el sistema de información   de emergencias,  para el desarrollo de los programas  de la Subdirección Operativa-S.O."/>
    <s v="09 - contratación directa"/>
    <x v="0"/>
    <s v="25 - contrato de prestacion de servicios profesionales"/>
    <s v="ENERO"/>
    <n v="10"/>
    <n v="0"/>
    <n v="97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03-TH-8173-2-Prestación de servicios profesionales para liderar y gestionar los temas operativos, incluyendo  el trabajo articulado con tecnología para implementar el sistema de información   de emergencias,  para el desarrollo de los programas  de la Subdirección Operativa-S.O."/>
  </r>
  <r>
    <n v="20260304"/>
    <s v="Prestación de servicios profesionales para la elaboración, diagramación de piezas gráficas con estilos de textos e informes requeridos frente a los procesos y procedimientos, para el desarrollo de los programas de la Subdirección Operativa-S.O."/>
    <s v="09 - contratación directa"/>
    <x v="0"/>
    <s v="25 - contrato de prestacion de servicios profesionales"/>
    <s v="ENERO"/>
    <n v="8"/>
    <n v="0"/>
    <n v="448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04-TH-8173-2-Prestación de servicios profesionales para la elaboración, diagramación de piezas gráficas con estilos de textos e informes requeridos frente a los procesos y procedimientos, para el desarrollo de los programas de la Subdirección Operativa-S.O."/>
  </r>
  <r>
    <n v="20260305"/>
    <s v="Prestación de servicios de apoyo para ejecutar las actividades administrativas, trámite, seguimiento y verificación de solicitudes recibidas en el canal de comunicación de gestión operativa para el desarrollo de los programas de la Subdirección Operativa-S.O."/>
    <s v="09 - contratación directa"/>
    <x v="0"/>
    <s v="25 - contrato de prestacion de servicios profesionales"/>
    <s v="ENERO"/>
    <n v="9"/>
    <n v="0"/>
    <n v="297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05-TH-8173-2-Prestación de servicios de apoyo para ejecutar las actividades administrativas, trámite, seguimiento y verificación de solicitudes recibidas en el canal de comunicación de gestión operativa para el desarrollo de los programas de la Subdirección Operativa-S.O."/>
  </r>
  <r>
    <n v="20260306"/>
    <s v="Prestación de servicios profesionales para ejecutar las actividades relacionadas con el sistema de gestión de calidad, el sistema ambiental y el sistema de control interno, para el desarrollo los programas de la Subdireccion Operativa-S.O."/>
    <s v="09 - contratación directa"/>
    <x v="0"/>
    <s v="25 - contrato de prestacion de servicios profesionales"/>
    <s v="ENERO"/>
    <n v="10"/>
    <n v="0"/>
    <n v="67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06-TH-8173-2-Prestación de servicios profesionales para ejecutar las actividades relacionadas con el sistema de gestión de calidad, el sistema ambiental y el sistema de control interno, para el desarrollo los programas de la Subdireccion Operativa-S.O."/>
  </r>
  <r>
    <n v="20260307"/>
    <s v="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
    <s v="09 - contratación directa"/>
    <x v="0"/>
    <s v="25 - contrato de prestacion de servicios profesionales"/>
    <s v="ENERO"/>
    <n v="10"/>
    <n v="0"/>
    <n v="67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07-TH-8173-2-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
  </r>
  <r>
    <n v="20260308"/>
    <s v="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
    <s v="09 - contratación directa"/>
    <x v="0"/>
    <s v="25 - contrato de prestacion de servicios profesionales"/>
    <s v="ENERO"/>
    <n v="4"/>
    <n v="15"/>
    <n v="2925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308-TH-8173-2-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
  </r>
  <r>
    <n v="20260309"/>
    <s v="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
    <s v="09 - contratación directa"/>
    <x v="0"/>
    <s v="25 - contrato de prestacion de servicios profesionales"/>
    <s v="ENERO"/>
    <n v="4"/>
    <n v="15"/>
    <n v="315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309-TH-8173-2-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
  </r>
  <r>
    <n v="20260310"/>
    <s v="Prestación de servicios profesionales para la elaboración de informes o documentos técnicos, infografías, reportes y consolidación de indicadores relacionados con los procesos, y procedimientos, para el desarrollo de los programas de la Subdirección Operativa-S.O."/>
    <s v="09 - contratación directa"/>
    <x v="0"/>
    <s v="25 - contrato de prestacion de servicios profesionales"/>
    <s v="ENERO"/>
    <n v="8"/>
    <n v="0"/>
    <n v="576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10-TH-8173-2-Prestación de servicios profesionales para la elaboración de informes o documentos técnicos, infografías, reportes y consolidación de indicadores relacionados con los procesos, y procedimientos, para el desarrollo de los programas de la Subdirección Operativa-S.O."/>
  </r>
  <r>
    <n v="20260311"/>
    <s v="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
    <s v="09 - contratación directa"/>
    <x v="0"/>
    <s v="25 - contrato de prestacion de servicios profesionales"/>
    <s v="ENERO"/>
    <n v="4"/>
    <n v="15"/>
    <n v="315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311-TH-8173-2-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
  </r>
  <r>
    <n v="20260312"/>
    <s v="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
    <s v="09 - contratación directa"/>
    <x v="0"/>
    <s v="25 - contrato de prestacion de servicios profesionales"/>
    <s v="ENERO"/>
    <n v="5"/>
    <n v="0"/>
    <n v="40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312-TH-8173-2-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
  </r>
  <r>
    <n v="20260313"/>
    <s v="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
    <s v="09 - contratación directa"/>
    <x v="0"/>
    <s v="25 - contrato de prestacion de servicios profesionales"/>
    <s v="ENERO"/>
    <n v="9"/>
    <n v="0"/>
    <n v="675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13-TH-8173-2-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
  </r>
  <r>
    <n v="20260314"/>
    <s v="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
    <s v="09 - contratación directa"/>
    <x v="0"/>
    <s v="25 - contrato de prestacion de servicios profesionales"/>
    <s v="ENERO"/>
    <n v="5"/>
    <n v="0"/>
    <n v="475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314-TH-8173-2-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
  </r>
  <r>
    <n v="20260315"/>
    <s v="ADICIÓN Y PRÓRROGA al contrato de prestación de servicios # 313-2025, cuyo objeto es: Prestación de servicios profesionales para apoyar los procesos contractuales de la Subdirección Operativa en todas sus etapas y apoyo técnico en los proyectos y procesos de la dependencia S.O."/>
    <s v="09 - contratación directa"/>
    <x v="0"/>
    <s v="25 - contrato de prestacion de servicios profesionales"/>
    <s v="ENERO"/>
    <n v="5"/>
    <n v="0"/>
    <n v="35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315-TH-8173-2-ADICIÓN Y PRÓRROGA al contrato de prestación de servicios # 313-2025, cuyo objeto es: Prestación de servicios profesionales para apoyar los procesos contractuales de la Subdirección Operativa en todas sus etapas y apoyo técnico en los proyectos y procesos de la dependencia S.O."/>
  </r>
  <r>
    <n v="20260316"/>
    <s v="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
    <s v="09 - contratación directa"/>
    <x v="0"/>
    <s v="25 - contrato de prestacion de servicios profesionales"/>
    <s v="ENERO"/>
    <n v="9"/>
    <n v="0"/>
    <n v="80715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16-TH-8173-2-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
  </r>
  <r>
    <n v="20260317"/>
    <s v="Pago pasivo exigible Subdirección Operativa"/>
    <s v="91 - n/a acto administrativo (resolución, decreto, acuerdo, etc.)"/>
    <x v="1"/>
    <s v="12 - resolucion"/>
    <s v="ENERO"/>
    <n v="12"/>
    <n v="0"/>
    <n v="6914369000"/>
    <s v="NO"/>
    <s v="Sub. Operativa"/>
    <s v="Yenire Yohansy Lozano Ascanio"/>
    <x v="2"/>
    <s v="Subdirector@ de Gestión del Riesgo"/>
    <x v="2"/>
    <n v="80111600"/>
    <s v="8173 3-Desarrollar un programa de renovación de vehículos de la Unidad Administrativa Cuerpo Oficial de Bomberos de Bogotá."/>
    <s v="8173"/>
    <s v="3"/>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1010030208 Otra maquinaria para usos especiales y sus partes y piezas"/>
    <s v="No Secop"/>
    <s v="20260317-BS-8173-3-Pago pasivo exigible Subdirección Operativa"/>
  </r>
  <r>
    <n v="20260318"/>
    <s v="Prestación de servicios profesionales para atender las actividades de seguimiento, verificación y control de los procesos y procedimientos, para el desarrollo de los programas a cargo de la Subdirección Operativa-S.O."/>
    <s v="09 - contratación directa"/>
    <x v="0"/>
    <s v="25 - contrato de prestacion de servicios profesionales"/>
    <s v="JULIO"/>
    <n v="12"/>
    <n v="0"/>
    <n v="59989966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201002092929012 Partes y accesorios para artículos de protección personal"/>
    <s v="Si Secop "/>
    <s v="20260318-TH-8173-2-Prestación de servicios profesionales para atender las actividades de seguimiento, verificación y control de los procesos y procedimientos, para el desarrollo de los programas a cargo de la Subdirección Operativa-S.O."/>
  </r>
  <r>
    <n v="20260319"/>
    <s v="Adquisición de equipos, herramientas y accesorios (E.H.A.)  para la atención de emergencias de la UAE Cuerpo Oficial de Bomberos de Bogota, S.O."/>
    <s v="01 - licitación pública"/>
    <x v="1"/>
    <s v="06 - contrato de compraventa"/>
    <s v="JULIO"/>
    <n v="12"/>
    <n v="0"/>
    <n v="600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Si Secop "/>
    <s v="20260319-BS-8173-2-Adquisición de equipos, herramientas y accesorios (E.H.A.)  para la atención de emergencias de la UAE Cuerpo Oficial de Bomberos de Bogota, S.O."/>
  </r>
  <r>
    <n v="20260320"/>
    <s v="Prestación de servicios de apoyo a la gestión para ejecutar actividades administrativas y asistenciales para el diligenciamiento y seguimiento de las solicitudes en las herramientas de gestión de los procedimientos, para el desarrollo de los programas de la Subdirección Operativa-S.O."/>
    <s v="09 - contratación directa"/>
    <x v="0"/>
    <s v="26 - contrato de prestacion de servicios de apoyo a la gestion"/>
    <s v="JULIO"/>
    <n v="5"/>
    <n v="15"/>
    <n v="24915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0-TH-8173-2-Prestación de servicios de apoyo a la gestión para ejecutar actividades administrativas y asistenciales para el diligenciamiento y seguimiento de las solicitudes en las herramientas de gestión de los procedimientos, para el desarrollo de los programas de la Subdirección Operativa-S.O."/>
  </r>
  <r>
    <n v="20260321"/>
    <s v="Prestación de servicios profesionales liderando la elaboración de informes estadísticos a partir de los datos asociados a los incidentes atendidos en el marco de la misionalidad de la UAECOB, para el acompañamiento de los programas de la Subdirección Operativa."/>
    <s v="09 - contratación directa"/>
    <x v="0"/>
    <s v="25 - contrato de prestacion de servicios profesionales"/>
    <s v="JULIO"/>
    <n v="5"/>
    <n v="0"/>
    <n v="485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1-TH-8173-2-Prestación de servicios profesionales liderando la elaboración de informes estadísticos a partir de los datos asociados a los incidentes atendidos en el marco de la misionalidad de la UAECOB, para el acompañamiento de los programas de la Subdirección Operativa."/>
  </r>
  <r>
    <n v="20260322"/>
    <s v="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
    <s v="09 - contratación directa"/>
    <x v="0"/>
    <s v="25 - contrato de prestacion de servicios profesionales"/>
    <s v="JULIO"/>
    <n v="4"/>
    <n v="0"/>
    <n v="264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2-TH-8173-2-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
  </r>
  <r>
    <n v="20260323"/>
    <s v="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
    <s v="09 - contratación directa"/>
    <x v="0"/>
    <s v="25 - contrato de prestacion de servicios profesionales"/>
    <s v="JULIO"/>
    <n v="5"/>
    <n v="0"/>
    <n v="485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3-TH-8173-2-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
  </r>
  <r>
    <n v="20260324"/>
    <s v="Prestación de servicios profesionales jurídicos para  realizar el seguimiento y control de las actividades de gestión propias de los procesos y procedimientos, para el acompañamiento de los programas de la Subdirección Operativa-S.O."/>
    <s v="09 - contratación directa"/>
    <x v="0"/>
    <s v="25 - contrato de prestacion de servicios profesionales"/>
    <s v="JULIO"/>
    <n v="5"/>
    <n v="0"/>
    <n v="485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4-TH-8173-2-Prestación de servicios profesionales jurídicos para  realizar el seguimiento y control de las actividades de gestión propias de los procesos y procedimientos, para el acompañamiento de los programas de la Subdirección Operativa-S.O."/>
  </r>
  <r>
    <n v="20260325"/>
    <s v="Prestación de servicios profesionales jurídicos para  realizar el seguimiento y control de las actividades de gestión propias de los procesos y procedimientos, para el acompañamiento de los programas de la subdirección operativa y de las respuestas a Entes de control-S.O."/>
    <s v="09 - contratación directa"/>
    <x v="0"/>
    <s v="25 - contrato de prestacion de servicios profesionales"/>
    <s v="JULIO"/>
    <n v="5"/>
    <n v="0"/>
    <n v="485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5-TH-8173-2-Prestación de servicios profesionales jurídicos para  realizar el seguimiento y control de las actividades de gestión propias de los procesos y procedimientos, para el acompañamiento de los programas de la subdirección operativa y de las respuestas a Entes de control-S.O."/>
  </r>
  <r>
    <n v="20260326"/>
    <s v="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de la Subdireccion Operativa-S.O."/>
    <s v="09 - contratación directa"/>
    <x v="0"/>
    <s v="25 - contrato de prestacion de servicios profesionales"/>
    <s v="JULIO"/>
    <n v="5"/>
    <n v="0"/>
    <n v="335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6-TH-8173-2-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de la Subdireccion Operativa-S.O."/>
  </r>
  <r>
    <n v="20260327"/>
    <s v="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de la Subdirección Operativa-S.O."/>
    <s v="09 - contratación directa"/>
    <x v="0"/>
    <s v="25 - contrato de prestacion de servicios profesionales"/>
    <s v="JULIO"/>
    <n v="5"/>
    <n v="0"/>
    <n v="36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7-TH-8173-2-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de la Subdirección Operativa-S.O."/>
  </r>
  <r>
    <n v="20260328"/>
    <s v="Prestación de servicios profesionales para realizar la consolidación, seguimiento financiero, control y reporte de los planes y proyectos de inversión e indicadores, para el apoyo de los programas de la Subdirección Operativa-S.O."/>
    <s v="09 - contratación directa"/>
    <x v="0"/>
    <s v="25 - contrato de prestacion de servicios profesionales"/>
    <s v="JULIO"/>
    <n v="5"/>
    <n v="0"/>
    <n v="425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8-TH-8173-2-Prestación de servicios profesionales para realizar la consolidación, seguimiento financiero, control y reporte de los planes y proyectos de inversión e indicadores, para el apoyo de los programas de la Subdirección Operativa-S.O."/>
  </r>
  <r>
    <n v="20260329"/>
    <s v="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
    <s v="09 - contratación directa"/>
    <x v="0"/>
    <s v="25 - contrato de prestacion de servicios profesionales"/>
    <s v="JULIO"/>
    <n v="5"/>
    <n v="0"/>
    <n v="485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29-TH-8173-2-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
  </r>
  <r>
    <n v="20260330"/>
    <s v="Prestación de servicios de apoyo a la gestión en las actividades documentales, administrativas y manejo de las herramientas de gestión, para el acompañamiento de los programas de la Subdirección Operativa S.O."/>
    <s v="09 - contratación directa"/>
    <x v="0"/>
    <s v="26 - contrato de prestacion de servicios de apoyo a la gestion"/>
    <s v="JULIO"/>
    <n v="6"/>
    <n v="0"/>
    <n v="189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30-TH-8173-2-Prestación de servicios de apoyo a la gestión en las actividades documentales, administrativas y manejo de las herramientas de gestión, para el acompañamiento de los programas de la Subdirección Operativa S.O."/>
  </r>
  <r>
    <n v="20260331"/>
    <s v="Adquisición de uniformes para el personal operativo de la UAECOB"/>
    <s v="03 - selec. abrev. subasta inversa"/>
    <x v="1"/>
    <s v="06 - contrato de compraventa"/>
    <s v="JULIO"/>
    <n v="6"/>
    <n v="0"/>
    <n v="245725876"/>
    <s v="NO"/>
    <s v="Sub. Operativa"/>
    <s v="Yenire Yohansy Lozano Ascanio"/>
    <x v="1"/>
    <s v="Subdirector@ de Gestión Corporativa"/>
    <x v="1"/>
    <n v="53102710"/>
    <s v="No aplica"/>
    <s v="No a"/>
    <s v="l"/>
    <s v="NA"/>
    <s v="NA"/>
    <s v="NA"/>
    <s v="N/A"/>
    <s v="N/A"/>
    <s v="N/A-N/A"/>
    <s v="N/A"/>
    <s v="N/A"/>
    <s v="N/A_N/A"/>
    <s v="N/A-N/A N/A_N/A"/>
    <s v="NANANAN/AN/A"/>
    <s v="N/A"/>
    <s v="O2120201002082823609    Uniformes de trabajo"/>
    <s v="Si Secop "/>
    <s v="20260331-BS-No a-l-Adquisición de uniformes para el personal operativo de la UAECOB"/>
  </r>
  <r>
    <n v="20260332"/>
    <s v="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
    <s v="09 - contratación directa"/>
    <x v="0"/>
    <s v="25 - contrato de prestacion de servicios profesionales"/>
    <s v="JULIO"/>
    <n v="3"/>
    <n v="0"/>
    <n v="216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332-TH-8173-2-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
  </r>
  <r>
    <n v="20260333"/>
    <s v="Prestar servicios de apoyo como conductor a las acciones misionales de la Subdirección de Gestión del Riesgo."/>
    <s v="09 - contratación directa"/>
    <x v="0"/>
    <s v="26 - contrato de prestacion de servicios de apoyo a la gestion"/>
    <s v="ENERO"/>
    <n v="10"/>
    <n v="0"/>
    <n v="375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33-TH-8173-1-Prestar servicios de apoyo como conductor a las acciones misionales de la Subdirección de Gestión del Riesgo."/>
  </r>
  <r>
    <n v="20260334"/>
    <s v="Prestar servicios profesionales para apoyar la planeación y gestión de las  estrategias de reducción y/o conocimiento del riesgo  para la Subdirección de Gestión del Riesgo._SGR"/>
    <s v="09 - contratación directa"/>
    <x v="0"/>
    <s v="25 - contrato de prestacion de servicios profesionales"/>
    <s v="ENERO"/>
    <n v="10"/>
    <n v="0"/>
    <n v="6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34-TH-8173-1-Prestar servicios profesionales para apoyar la planeación y gestión de las  estrategias de reducción y/o conocimiento del riesgo  para la Subdirección de Gestión del Riesgo._SGR"/>
  </r>
  <r>
    <n v="20260335"/>
    <s v="Prestar servicios profesionales en  los componentes tecnológicos e informáticos relacionados con los aspectos misionales de la Subdirección de Gestión del Riesgo._SGR"/>
    <s v="09 - contratación directa"/>
    <x v="0"/>
    <s v="25 - contrato de prestacion de servicios profesionales"/>
    <s v="ENERO"/>
    <n v="8"/>
    <n v="0"/>
    <n v="4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35-TH-8173-1-Prestar servicios profesionales en  los componentes tecnológicos e informáticos relacionados con los aspectos misionales de la Subdirección de Gestión del Riesgo._SGR"/>
  </r>
  <r>
    <n v="20260336"/>
    <s v="Prestar servicios de apoyo para el seguimiento y respuesta de requerimientos ciudadanos relacionados con la misionalidad de la Subdirección de Gestión del Riesgo_SGR"/>
    <s v="09 - contratación directa"/>
    <x v="0"/>
    <s v="26 - contrato de prestacion de servicios de apoyo a la gestion"/>
    <s v="ENERO"/>
    <n v="8"/>
    <n v="0"/>
    <n v="32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36-TH-8173-1-Prestar servicios de apoyo para el seguimiento y respuesta de requerimientos ciudadanos relacionados con la misionalidad de la Subdirección de Gestión del Riesgo_SGR"/>
  </r>
  <r>
    <n v="20260337"/>
    <s v="Prestar servicios profesionales en la gestión misional mediante el  análisis y seguimiento financiero de la Subdirección de Gestión del Riesgo_SGR"/>
    <s v="09 - contratación directa"/>
    <x v="0"/>
    <s v="25 - contrato de prestacion de servicios profesionales"/>
    <s v="ENERO"/>
    <n v="7"/>
    <n v="15"/>
    <n v="536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37-TH-8173-1-Prestar servicios profesionales en la gestión misional mediante el  análisis y seguimiento financiero de la Subdirección de Gestión del Riesgo_SGR"/>
  </r>
  <r>
    <n v="20260338"/>
    <s v="Prestar servicios profesionales para la gestión misional  mediante la estructuración y seguimiento de procesos contractuales y asuntos jurídicos de la Subdirección de Gestión del Riesgo_SGR"/>
    <s v="09 - contratación directa"/>
    <x v="0"/>
    <s v="25 - contrato de prestacion de servicios profesionales"/>
    <s v="ENERO"/>
    <n v="10"/>
    <n v="0"/>
    <n v="7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38-TH-8173-1-Prestar servicios profesionales para la gestión misional  mediante la estructuración y seguimiento de procesos contractuales y asuntos jurídicos de la Subdirección de Gestión del Riesgo_SGR"/>
  </r>
  <r>
    <n v="20260340"/>
    <s v="Prestar servicios profesionales para la gestión misional en sus componentes técnico, administrativo y financiero de la Subdirección de Gestión del Riesgo_SGR. "/>
    <s v="09 - contratación directa"/>
    <x v="0"/>
    <s v="25 - contrato de prestacion de servicios profesionales"/>
    <s v="ENERO"/>
    <n v="10"/>
    <n v="0"/>
    <n v="7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40-TH-8173-1-Prestar servicios profesionales para la gestión misional en sus componentes técnico, administrativo y financiero de la Subdirección de Gestión del Riesgo_SGR. "/>
  </r>
  <r>
    <n v="20260341"/>
    <s v="Prestar servicios profesionales  liderando las actividades del proceso de inspecciones técnicas de la subdireccion de gestion del riesgo.._SGR"/>
    <s v="09 - contratación directa"/>
    <x v="0"/>
    <s v="25 - contrato de prestacion de servicios profesionales"/>
    <s v="ENERO"/>
    <n v="8"/>
    <n v="0"/>
    <n v="728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1-TH-8173-1-Prestar servicios profesionales  liderando las actividades del proceso de inspecciones técnicas de la subdireccion de gestion del riesgo.._SGR"/>
  </r>
  <r>
    <n v="20260342"/>
    <s v="Prestar  servicios profesionales en las actividades relacionadas con la emision de conceptos a cargo de la Subdirección de Gestión del Riesgo._SGR"/>
    <s v="09 - contratación directa"/>
    <x v="0"/>
    <s v="25 - contrato de prestacion de servicios profesionales"/>
    <s v="ENERO"/>
    <n v="10"/>
    <n v="0"/>
    <n v="5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2-TH-8173-1-Prestar  servicios profesionales en las actividades relacionadas con la emision de conceptos a cargo de la Subdirección de Gestión del Riesgo._SGR"/>
  </r>
  <r>
    <n v="20260343"/>
    <s v="Prestar  servicios profesionales en las actividades relacionadas con la emision de conceptos a cargo de la Subdirección de Gestión del Riesgo._SGR"/>
    <s v="09 - contratación directa"/>
    <x v="0"/>
    <s v="25 - contrato de prestacion de servicios profesionales"/>
    <s v="ENERO"/>
    <n v="9"/>
    <n v="0"/>
    <n v="454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3-TH-8173-1-Prestar  servicios profesionales en las actividades relacionadas con la emision de conceptos a cargo de la Subdirección de Gestión del Riesgo._SGR"/>
  </r>
  <r>
    <n v="20260344"/>
    <s v="Prestarservicios profesionales en las actividades relacionadas con la emision de conceptos a cargo de la Subdirección de Gestión del Riesgo._SGR"/>
    <s v="09 - contratación directa"/>
    <x v="0"/>
    <s v="25 - contrato de prestacion de servicios profesionales"/>
    <s v="ENERO"/>
    <n v="8"/>
    <n v="0"/>
    <n v="48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4-TH-8173-1-Prestarservicios profesionales en las actividades relacionadas con la emision de conceptos a cargo de la Subdirección de Gestión del Riesgo._SGR"/>
  </r>
  <r>
    <n v="20260345"/>
    <s v="Prestarservicios profesionales en las actividades relacionadas con la emision de conceptos a cargo de la Subdirección de Gestión del Riesgo._SGR"/>
    <s v="09 - contratación directa"/>
    <x v="0"/>
    <s v="25 - contrato de prestacion de servicios profesionales"/>
    <s v="ENERO"/>
    <n v="8"/>
    <n v="0"/>
    <n v="48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5-TH-8173-1-Prestarservicios profesionales en las actividades relacionadas con la emision de conceptos a cargo de la Subdirección de Gestión del Riesgo._SGR"/>
  </r>
  <r>
    <n v="20260346"/>
    <s v="Prestarservicios profesionales en las actividades relacionadas con la emision de conceptos a cargo de la Subdirección de Gestión del Riesgo._SGR"/>
    <s v="09 - contratación directa"/>
    <x v="0"/>
    <s v="25 - contrato de prestacion de servicios profesionales"/>
    <s v="ENERO"/>
    <n v="8"/>
    <n v="0"/>
    <n v="48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6-TH-8173-1-Prestarservicios profesionales en las actividades relacionadas con la emision de conceptos a cargo de la Subdirección de Gestión del Riesgo._SGR"/>
  </r>
  <r>
    <n v="20260347"/>
    <s v="Prestarservicios profesionales en las actividades relacionadas con la emision de conceptos a cargo de la Subdirección de Gestión del Riesgo._SGR"/>
    <s v="09 - contratación directa"/>
    <x v="0"/>
    <s v="25 - contrato de prestacion de servicios profesionales"/>
    <s v="ENERO"/>
    <n v="10"/>
    <n v="0"/>
    <n v="7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7-TH-8173-1-Prestarservicios profesionales en las actividades relacionadas con la emision de conceptos a cargo de la Subdirección de Gestión del Riesgo._SGR"/>
  </r>
  <r>
    <n v="20260348"/>
    <s v="Prestarservicios profesionales en las actividades relacionadas con la emision de conceptos a cargo de la Subdirección de Gestión del Riesgo._SGR"/>
    <s v="09 - contratación directa"/>
    <x v="0"/>
    <s v="25 - contrato de prestacion de servicios profesionales"/>
    <s v="ENERO"/>
    <n v="10"/>
    <n v="0"/>
    <n v="7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8-TH-8173-1-Prestarservicios profesionales en las actividades relacionadas con la emision de conceptos a cargo de la Subdirección de Gestión del Riesgo._SGR"/>
  </r>
  <r>
    <n v="20260349"/>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5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49-TH-8173-1-Prestar  servicios de apoyo tecnico para realizar las inspecciones relacionadas con la emision de conceptos a cargo de la Subdirección de Gestión del Riesgo._SGR"/>
  </r>
  <r>
    <n v="20260350"/>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0-TH-8173-1-Prestar  servicios de apoyo tecnico para realizar las inspecciones relacionadas con la emision de conceptos a cargo de la Subdirección de Gestión del Riesgo._SGR"/>
  </r>
  <r>
    <n v="20260351"/>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1-TH-8173-1-Prestar  servicios de apoyo tecnico para realizar las inspecciones relacionadas con la emision de conceptos a cargo de la Subdirección de Gestión del Riesgo._SGR"/>
  </r>
  <r>
    <n v="20260352"/>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2-TH-8173-1-Prestar  servicios de apoyo tecnico para realizar las inspecciones relacionadas con la emision de conceptos a cargo de la Subdirección de Gestión del Riesgo._SGR"/>
  </r>
  <r>
    <n v="20260353"/>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3-TH-8173-1-Prestar  servicios de apoyo tecnico para realizar las inspecciones relacionadas con la emision de conceptos a cargo de la Subdirección de Gestión del Riesgo._SGR"/>
  </r>
  <r>
    <n v="20260354"/>
    <s v="  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4-TH-8173-1-  Prestar  servicios de apoyo tecnico para realizar las inspecciones relacionadas con la emision de conceptos a cargo de la Subdirección de Gestión del Riesgo._SGR"/>
  </r>
  <r>
    <n v="20260355"/>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5-TH-8173-1-Prestar  servicios de apoyo tecnico para realizar las inspecciones relacionadas con la emision de conceptos a cargo de la Subdirección de Gestión del Riesgo._SGR"/>
  </r>
  <r>
    <n v="20260356"/>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6-TH-8173-1-Prestar  servicios de apoyo tecnico para realizar las inspecciones relacionadas con la emision de conceptos a cargo de la Subdirección de Gestión del Riesgo._SGR"/>
  </r>
  <r>
    <n v="20260357"/>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7-TH-8173-1-Prestar  servicios de apoyo tecnico para realizar las inspecciones relacionadas con la emision de conceptos a cargo de la Subdirección de Gestión del Riesgo._SGR"/>
  </r>
  <r>
    <n v="20260358"/>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8-TH-8173-1-Prestar  servicios de apoyo tecnico para realizar las inspecciones relacionadas con la emision de conceptos a cargo de la Subdirección de Gestión del Riesgo._SGR"/>
  </r>
  <r>
    <n v="20260359"/>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59-TH-8173-1-Prestar  servicios de apoyo tecnico para realizar las inspecciones relacionadas con la emision de conceptos a cargo de la Subdirección de Gestión del Riesgo._SGR"/>
  </r>
  <r>
    <n v="20260360"/>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60-TH-8173-1-Prestar  servicios de apoyo tecnico para realizar las inspecciones relacionadas con la emision de conceptos a cargo de la Subdirección de Gestión del Riesgo._SGR"/>
  </r>
  <r>
    <n v="20260361"/>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61-TH-8173-1-Prestar  servicios de apoyo tecnico para realizar las inspecciones relacionadas con la emision de conceptos a cargo de la Subdirección de Gestión del Riesgo._SGR"/>
  </r>
  <r>
    <n v="20260362"/>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62-TH-8173-1-Prestar  servicios de apoyo tecnico para realizar las inspecciones relacionadas con la emision de conceptos a cargo de la Subdirección de Gestión del Riesgo._SGR"/>
  </r>
  <r>
    <n v="20260363"/>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63-TH-8173-1-Prestar  servicios de apoyo tecnico para realizar las inspecciones relacionadas con la emision de conceptos a cargo de la Subdirección de Gestión del Riesgo._SGR"/>
  </r>
  <r>
    <n v="20260364"/>
    <s v="Prestar  servicios de apoyo tecnico para realizar las inspecciones relacionadas con la emision de conceptos a cargo de la Subdirección de Gestión del Riesgo._SGR"/>
    <s v="09 - contratación directa"/>
    <x v="0"/>
    <s v="26 - contrato de prestacion de servicios de apoyo a la gestion"/>
    <s v="ENERO"/>
    <n v="10"/>
    <n v="0"/>
    <n v="4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991191 Servicios administrativos relacionados con los trabajadores estatales"/>
    <s v="Si Secop "/>
    <s v="20260364-TH-8173-1-Prestar  servicios de apoyo tecnico para realizar las inspecciones relacionadas con la emision de conceptos a cargo de la Subdirección de Gestión del Riesgo._SGR"/>
  </r>
  <r>
    <n v="20260365"/>
    <s v="Prestar servicios profesionales para la gestión misional  mediante la estructuración y seguimiento de procesos contractuales y asuntos jurídicos de la Subdirección de Gestión del Riesgo_SGR"/>
    <s v="09 - contratación directa"/>
    <x v="0"/>
    <s v="25 - contrato de prestacion de servicios profesionales"/>
    <s v="ENERO"/>
    <n v="7"/>
    <n v="0"/>
    <n v="49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65-TH-8173-1-Prestar servicios profesionales para la gestión misional  mediante la estructuración y seguimiento de procesos contractuales y asuntos jurídicos de la Subdirección de Gestión del Riesgo_SGR"/>
  </r>
  <r>
    <n v="20260366"/>
    <s v="Prestar servicios profesionales en las actividades de monitoreo del riesgo para la Subdirección de Gestión del Riesgo._SGR"/>
    <s v="09 - contratación directa"/>
    <x v="0"/>
    <s v="25 - contrato de prestacion de servicios profesionales"/>
    <s v="ENERO"/>
    <n v="10"/>
    <n v="0"/>
    <n v="55000000"/>
    <s v="NO"/>
    <s v="Sub. Gestión Riesgos"/>
    <s v="William Tovar Segura"/>
    <x v="2"/>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66-TH-8173-6-Prestar servicios profesionales en las actividades de monitoreo del riesgo para la Subdirección de Gestión del Riesgo._SGR"/>
  </r>
  <r>
    <n v="20260367"/>
    <s v="Prestar servicios profesionales liderando las actividades de Programas y Campañas de Prevención para la Subdirección de Gestión del Riesgo._SGR"/>
    <s v="09 - contratación directa"/>
    <x v="0"/>
    <s v="25 - contrato de prestacion de servicios profesionales"/>
    <s v="ENERO"/>
    <n v="10"/>
    <n v="0"/>
    <n v="8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67-TH-8173-1-Prestar servicios profesionales liderando las actividades de Programas y Campañas de Prevención para la Subdirección de Gestión del Riesgo._SGR"/>
  </r>
  <r>
    <n v="20260368"/>
    <s v="Prestar servicios profesionales en las actividades de Programas y Campañas de Prevención para la Subdirección de Gestión del Riesgo._SGR"/>
    <s v="09 - contratación directa"/>
    <x v="0"/>
    <s v="25 - contrato de prestacion de servicios profesionales"/>
    <s v="ENERO"/>
    <n v="10"/>
    <n v="0"/>
    <n v="6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68-TH-8173-1-Prestar servicios profesionales en las actividades de Programas y Campañas de Prevención para la Subdirección de Gestión del Riesgo._SGR"/>
  </r>
  <r>
    <n v="20260369"/>
    <s v="Prestar servicios profesionales en las actividades de Programas y Campañas de Prevención para la Subdirección de Gestión del Riesgo._SGR"/>
    <s v="09 - contratación directa"/>
    <x v="0"/>
    <s v="25 - contrato de prestacion de servicios profesionales"/>
    <s v="ENERO"/>
    <n v="10"/>
    <n v="0"/>
    <n v="6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69-TH-8173-1-Prestar servicios profesionales en las actividades de Programas y Campañas de Prevención para la Subdirección de Gestión del Riesgo._SGR"/>
  </r>
  <r>
    <n v="20260370"/>
    <s v="Prestar servicios de apoyo en las actividades de Programas y Campañas de Prevención para la Subdirección de Gestión del Riesgo. _SGR"/>
    <s v="09 - contratación directa"/>
    <x v="0"/>
    <s v="25 - contrato de prestacion de servicios profesionales"/>
    <s v="ENERO"/>
    <n v="10"/>
    <n v="0"/>
    <n v="4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70-TH-8173-1-Prestar servicios de apoyo en las actividades de Programas y Campañas de Prevención para la Subdirección de Gestión del Riesgo. _SGR"/>
  </r>
  <r>
    <n v="20260371"/>
    <s v="Prestar servicios de apoyo en las actividades de Programas y Campañas de Prevención para la Subdirección de Gestión del Riesgo. _SGR"/>
    <s v="09 - contratación directa"/>
    <x v="0"/>
    <s v="25 - contrato de prestacion de servicios profesionales"/>
    <s v="ENERO"/>
    <n v="10"/>
    <n v="0"/>
    <n v="375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71-TH-8173-1-Prestar servicios de apoyo en las actividades de Programas y Campañas de Prevención para la Subdirección de Gestión del Riesgo. _SGR"/>
  </r>
  <r>
    <n v="20260372"/>
    <s v="Prestar servicios apoyo técnico para el desarrollo de los contenidos graficos, piezas comunicativa y de imagen institucional para la Subdirección de Gestión del riesgo._SGR"/>
    <s v="09 - contratación directa"/>
    <x v="0"/>
    <s v="25 - contrato de prestacion de servicios profesionales"/>
    <s v="ENERO"/>
    <n v="10"/>
    <n v="0"/>
    <n v="38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72-TH-8173-1-Prestar servicios apoyo técnico para el desarrollo de los contenidos graficos, piezas comunicativa y de imagen institucional para la Subdirección de Gestión del riesgo._SGR"/>
  </r>
  <r>
    <n v="20260373"/>
    <s v="Prestar servicios profesionales  liderando los procesos de formacion y capacitacion de la subdirección de gestión del riesgo._SGR"/>
    <s v="09 - contratación directa"/>
    <x v="0"/>
    <s v="25 - contrato de prestacion de servicios profesionales"/>
    <s v="ENERO"/>
    <n v="8"/>
    <n v="0"/>
    <n v="64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73-TH-8173-1-Prestar servicios profesionales  liderando los procesos de formacion y capacitacion de la subdirección de gestión del riesgo._SGR"/>
  </r>
  <r>
    <n v="20260374"/>
    <s v="Prestar servicios profesionales en los procesos de formacion y capacitacion de la subdirección de gestión del riesgo._SGR"/>
    <s v="09 - contratación directa"/>
    <x v="0"/>
    <s v="25 - contrato de prestacion de servicios profesionales"/>
    <s v="ENERO"/>
    <n v="10"/>
    <n v="0"/>
    <n v="7000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374-TH-8173-1-Prestar servicios profesionales en los procesos de formacion y capacitacion de la subdirección de gestión del riesgo._SGR"/>
  </r>
  <r>
    <n v="20260375"/>
    <s v="Prestar servicios profesionales liderando las actividades de identificacion y caracterizacion  de escenarios  de riesgos a cargo de la Subdirección de Gestión del Riesgo._SGR"/>
    <s v="09 - contratación directa"/>
    <x v="0"/>
    <s v="25 - contrato de prestacion de servicios profesionales"/>
    <s v="ENERO"/>
    <n v="10"/>
    <n v="0"/>
    <n v="70000000"/>
    <s v="NO"/>
    <s v="Sub. Gestión Riesgos"/>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75-TH-8173-5-Prestar servicios profesionales liderando las actividades de identificacion y caracterizacion  de escenarios  de riesgos a cargo de la Subdirección de Gestión del Riesgo._SGR"/>
  </r>
  <r>
    <n v="20260376"/>
    <s v="Prestar servicios profesionales en las actividades de identificacion y caracterizacion  de escenarios  de riesgos a cargo de la Subdirección de Gestión del Riesgo._SGR"/>
    <s v="09 - contratación directa"/>
    <x v="0"/>
    <s v="25 - contrato de prestacion de servicios profesionales"/>
    <s v="ENERO"/>
    <n v="10"/>
    <n v="0"/>
    <n v="55000000"/>
    <s v="NO"/>
    <s v="Sub. Gestión Riesgos"/>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76-TH-8173-5-Prestar servicios profesionales en las actividades de identificacion y caracterizacion  de escenarios  de riesgos a cargo de la Subdirección de Gestión del Riesgo._SGR"/>
  </r>
  <r>
    <n v="20260377"/>
    <s v="Prestar servicios profesionales en las actividades de identificacion y caracterizacion  de escenarios  de riesgos a cargo de la Subdirección de Gestión del Riesgo._SGR"/>
    <s v="09 - contratación directa"/>
    <x v="0"/>
    <s v="25 - contrato de prestacion de servicios profesionales"/>
    <s v="ENERO"/>
    <n v="10"/>
    <n v="0"/>
    <n v="55000000"/>
    <s v="NO"/>
    <s v="Sub. Gestión Riesgos"/>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77-TH-8173-5-Prestar servicios profesionales en las actividades de identificacion y caracterizacion  de escenarios  de riesgos a cargo de la Subdirección de Gestión del Riesgo._SGR"/>
  </r>
  <r>
    <n v="20260378"/>
    <s v="Prestar servicios profesionales en las actividades de identificacion y caracterizacion  de escenarios  de riesgos a cargo de la Subdirección de Gestión del Riesgo._SGR"/>
    <s v="09 - contratación directa"/>
    <x v="0"/>
    <s v="25 - contrato de prestacion de servicios profesionales"/>
    <s v="ENERO"/>
    <n v="10"/>
    <n v="0"/>
    <n v="55000000"/>
    <s v="NO"/>
    <s v="Sub. Gestión Riesgos"/>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78-TH-8173-5-Prestar servicios profesionales en las actividades de identificacion y caracterizacion  de escenarios  de riesgos a cargo de la Subdirección de Gestión del Riesgo._SGR"/>
  </r>
  <r>
    <n v="20260379"/>
    <s v="prestar servicios profesionales liderando las actividades de monitoreo del riesgo de la subdirecion  de gestión del riesgo_SGR"/>
    <s v="09 - contratación directa"/>
    <x v="0"/>
    <s v="25 - contrato de prestacion de servicios profesionales"/>
    <s v="ENERO"/>
    <n v="8"/>
    <n v="0"/>
    <n v="72800000"/>
    <s v="NO"/>
    <s v="Sub. Gestión Riesgos"/>
    <s v="William Tovar Segura"/>
    <x v="2"/>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79-TH-8173-6-prestar servicios profesionales liderando las actividades de monitoreo del riesgo de la subdirecion  de gestión del riesgo_SGR"/>
  </r>
  <r>
    <n v="20260380"/>
    <s v="Prestar servicios profesionales en las actividades de monitoreo del riesgo para la Subdirección de Gestión del Riesgo._SGR"/>
    <s v="09 - contratación directa"/>
    <x v="0"/>
    <s v="25 - contrato de prestacion de servicios profesionales"/>
    <s v="ENERO"/>
    <n v="10"/>
    <n v="0"/>
    <n v="55000000"/>
    <s v="NO"/>
    <s v="Sub. Gestión Riesgos"/>
    <s v="William Tovar Segura"/>
    <x v="2"/>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80-TH-8173-6-Prestar servicios profesionales en las actividades de monitoreo del riesgo para la Subdirección de Gestión del Riesgo._SGR"/>
  </r>
  <r>
    <n v="20260381"/>
    <s v="Prestar servicios profesionales en las actividades de monitoreo del riesgo para la Subdirección de Gestión del Riesgo._SGR"/>
    <s v="09 - contratación directa"/>
    <x v="0"/>
    <s v="25 - contrato de prestacion de servicios profesionales"/>
    <s v="ENERO"/>
    <n v="10"/>
    <n v="0"/>
    <n v="60000000"/>
    <s v="NO"/>
    <s v="Sub. Gestión Riesgos"/>
    <s v="William Tovar Segura"/>
    <x v="2"/>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81-TH-8173-6-Prestar servicios profesionales en las actividades de monitoreo del riesgo para la Subdirección de Gestión del Riesgo._SGR"/>
  </r>
  <r>
    <n v="20260382"/>
    <s v="Prestar servicios  de apoyo en las actividades de monitoreo del riesgo para la Subdirección de Gestión del Riesgo._SGR"/>
    <s v="09 - contratación directa"/>
    <x v="0"/>
    <s v="26 - contrato de prestacion de servicios de apoyo a la gestion"/>
    <s v="ENERO"/>
    <n v="10"/>
    <n v="0"/>
    <n v="40000000"/>
    <s v="NO"/>
    <s v="Sub. Gestión Riesgos"/>
    <s v="William Tovar Segura"/>
    <x v="2"/>
    <s v="Subdirector@ de Gestión del Riesgo"/>
    <x v="0"/>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82-TH-8173-6-Prestar servicios  de apoyo en las actividades de monitoreo del riesgo para la Subdirección de Gestión del Riesgo._SGR"/>
  </r>
  <r>
    <n v="20260383"/>
    <s v="Prestar  servicios profesionales  liderando las actividades de proyeccion e innovacion para la Subdirección de Gestión del Riesgo._SGR"/>
    <s v="09 - contratación directa"/>
    <x v="0"/>
    <s v="25 - contrato de prestacion de servicios profesionales"/>
    <s v="ENERO"/>
    <n v="8"/>
    <n v="0"/>
    <n v="72800000"/>
    <s v="NO"/>
    <s v="Sub. Gestión Riesgos"/>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83-TH-8173-5-Prestar  servicios profesionales  liderando las actividades de proyeccion e innovacion para la Subdirección de Gestión del Riesgo._SGR"/>
  </r>
  <r>
    <n v="20260384"/>
    <s v="Prestar  servicios profesionales  en las actividades de proyeccion e innovacion para la Subdirección de Gestión del Riesgo._SGR"/>
    <s v="09 - contratación directa"/>
    <x v="0"/>
    <s v="25 - contrato de prestacion de servicios profesionales"/>
    <s v="ENERO"/>
    <n v="10"/>
    <n v="0"/>
    <n v="80000000"/>
    <s v="NO"/>
    <s v="Sub. Gestión Riesgos"/>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84-TH-8173-5-Prestar  servicios profesionales  en las actividades de proyeccion e innovacion para la Subdirección de Gestión del Riesgo._SGR"/>
  </r>
  <r>
    <n v="20260385"/>
    <s v="Prestar  servicios profesionales  en las actividades de proyeccion e innovacion para la Subdirección de Gestión del Riesgo._SGR"/>
    <s v="09 - contratación directa"/>
    <x v="0"/>
    <s v="25 - contrato de prestacion de servicios profesionales"/>
    <s v="ENERO"/>
    <n v="8"/>
    <n v="0"/>
    <n v="48000000"/>
    <s v="NO"/>
    <s v="Sub. Gestión Riesgos"/>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85-TH-8173-5-Prestar  servicios profesionales  en las actividades de proyeccion e innovacion para la Subdirección de Gestión del Riesgo._SGR"/>
  </r>
  <r>
    <n v="20260386"/>
    <s v="Prestar  servicios profesionales  en las actividades de proyeccion e innovacion para la Subdirección de Gestión del Riesgo._SGR"/>
    <s v="09 - contratación directa"/>
    <x v="0"/>
    <s v="25 - contrato de prestacion de servicios profesionales"/>
    <s v="ENERO"/>
    <n v="6"/>
    <n v="0"/>
    <n v="54000000"/>
    <s v="NO"/>
    <s v="Sub. Gestión Riesgos"/>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386-TH-8173-5-Prestar  servicios profesionales  en las actividades de proyeccion e innovacion para la Subdirección de Gestión del Riesgo._SGR"/>
  </r>
  <r>
    <n v="20260387"/>
    <s v="Contratar los servicios de recolección, manipulación, almacenamiento temporal, transporte y disposición final (destrucción o devolución) de pólvora, fuegos artificiales, globos y demás artículos pirotécnicos incautados por las autoridades competentes en el Distrito Capital_SGR."/>
    <s v="01 - licitación pública"/>
    <x v="1"/>
    <s v="11 - orden de prestacion de servicios"/>
    <s v="JUNIO "/>
    <n v="8"/>
    <n v="0"/>
    <n v="817611040"/>
    <s v="NO"/>
    <s v="Sub. Gestión Riesgos"/>
    <s v="William Tovar Segura"/>
    <x v="2"/>
    <s v="Subdirector@ de Gestión del Riesgo"/>
    <x v="0"/>
    <s v="78121600;78131800;92111600;_x000a_721415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667230 Servicio de almacenamiento para mercancías voluminosas"/>
    <s v="Si Secop "/>
    <s v="20260387-BS-8173-1-Contratar los servicios de recolección, manipulación, almacenamiento temporal, transporte y disposición final (destrucción o devolución) de pólvora, fuegos artificiales, globos y demás artículos pirotécnicos incautados por las autoridades competentes en el Distrito Capital_SGR."/>
  </r>
  <r>
    <n v="20260388"/>
    <s v="Adquisición de suministros y elementos de identificación institucional para el fortalecimiento de los procesos misionales de la Subdirección de Gestión del Riesgo_SGR"/>
    <s v="06 - contrato de compraventa"/>
    <x v="1"/>
    <s v="06 - contrato de compraventa"/>
    <s v="MARZO"/>
    <n v="3"/>
    <n v="0"/>
    <n v="50000000"/>
    <s v="NO"/>
    <s v="Sub. Gestión Riesgos"/>
    <s v="William Tovar Segura"/>
    <x v="2"/>
    <s v="Subdirector@ de Gestión del Riesgo"/>
    <x v="0"/>
    <s v="60121200;60121000;60121500;_x000a_6012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8215 Servicios de confección de artículos con materiales textiles"/>
    <s v="Si Secop "/>
    <s v="20260388-BS-8173-1-Adquisición de suministros y elementos de identificación institucional para el fortalecimiento de los procesos misionales de la Subdirección de Gestión del Riesgo_SGR"/>
  </r>
  <r>
    <n v="20260389"/>
    <s v="Adquisición de materiales y elementos especializados para el desarrollo de actividades de reduccion del riesgo adelantados por la Subdirección de Gestión del Riesgo_SGR"/>
    <s v="06 - contrato de compraventa"/>
    <x v="1"/>
    <s v="06 - contrato de compraventa"/>
    <s v="MARZO"/>
    <n v="3"/>
    <n v="0"/>
    <n v="50000000"/>
    <s v="NO"/>
    <s v="Sub. Gestión Riesgos"/>
    <s v="William Tovar Segura"/>
    <x v="2"/>
    <s v="Subdirector@ de Gestión del Riesgo"/>
    <x v="0"/>
    <s v="42301500;46191500;462010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21 Servicios de la administración pública relacionados con la educación"/>
    <s v="Si Secop "/>
    <s v="20260389-BS-8173-1-Adquisición de materiales y elementos especializados para el desarrollo de actividades de reduccion del riesgo adelantados por la Subdirección de Gestión del Riesgo_SGR"/>
  </r>
  <r>
    <n v="20260390"/>
    <s v="Adquisición de insumos y materias primas para la producción de materiales impresos en artes gráficas_ SGR."/>
    <s v="06 - contrato de compraventa"/>
    <x v="1"/>
    <s v="08 - contrato de suministro"/>
    <s v="MARZO"/>
    <n v="3"/>
    <n v="0"/>
    <n v="50000000"/>
    <s v="NO"/>
    <s v="Sub. Gestión Riesgos"/>
    <s v="William Tovar Segura"/>
    <x v="2"/>
    <s v="Subdirector@ de Gestión del Riesgo"/>
    <x v="0"/>
    <n v="141115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10033899920 Artículos varios de publicidad y propaganda"/>
    <s v="Si Secop "/>
    <s v="20260390-BS-8173-1-Adquisición de insumos y materias primas para la producción de materiales impresos en artes gráficas_ SGR."/>
  </r>
  <r>
    <n v="20260391"/>
    <s v="Adquisición de elementos y equipos necesarios para fortalecer las capacidades técnicas y operativas de los equipos especializados de la subdirecion de gestion del riesgo_SGR."/>
    <s v="06 - contrato de compraventa"/>
    <x v="1"/>
    <s v="06 - contrato de compraventa"/>
    <s v="MARZO"/>
    <n v="3"/>
    <n v="0"/>
    <n v="50000000"/>
    <s v="NO"/>
    <s v="Sub. Gestión Riesgos"/>
    <s v="William Tovar Segura"/>
    <x v="2"/>
    <s v="Subdirector@ de Gestión del Riesgo"/>
    <x v="0"/>
    <s v="53103100;531025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1010030208 Otra maquinaria para usos especiales y sus partes y piezas"/>
    <s v="Si Secop "/>
    <s v="20260391-BS-8173-1-Adquisición de elementos y equipos necesarios para fortalecer las capacidades técnicas y operativas de los equipos especializados de la subdirecion de gestion del riesgo_SGR."/>
  </r>
  <r>
    <n v="20260392"/>
    <s v="Prestar el servicio de vigilancia y seguridad privada en la modalidad de vigilancia fija, según especificaciones técnicas, en las instalaciones donde la UAE Especial Cuerpo Oficial de Bomberos requiera-SGC"/>
    <s v="01 - licitación pública"/>
    <x v="1"/>
    <s v="03 - contrato de prestacion de servicios"/>
    <s v="ENERO"/>
    <n v="12"/>
    <n v="0"/>
    <n v="1447882000"/>
    <s v="SI"/>
    <s v="Sub. Gestión Corporativa"/>
    <s v="Fatima Veronica Quintero Nuñez"/>
    <x v="0"/>
    <s v="Subdirector@ de Gestión Corporativa"/>
    <x v="0"/>
    <s v="921215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250 Servicios de protección (guardas de seguridad)"/>
    <s v="Si Secop "/>
    <s v="20260392-BS-8126-8-Prestar el servicio de vigilancia y seguridad privada en la modalidad de vigilancia fija, según especificaciones técnicas, en las instalaciones donde la UAE Especial Cuerpo Oficial de Bomberos requiera-SGC"/>
  </r>
  <r>
    <n v="20260393"/>
    <s v="Construcción de la estación de bomberos Caobos Salazar  B13 - de la UAE Cuerpo Oficial de Bomberos de Bogotá – SGC"/>
    <s v="01 - licitación pública"/>
    <x v="1"/>
    <s v="05 - contrato de obra"/>
    <s v="ENERO"/>
    <n v="18"/>
    <n v="0"/>
    <n v="4336206000"/>
    <s v="SI"/>
    <s v="Sub. Gestión Corporativa"/>
    <s v="Fatima Veronica Quintero Nuñez"/>
    <x v="2"/>
    <s v="Subdirector@ de Gestión del Riesgo"/>
    <x v="3"/>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5040554590 Otros servicios especializados de la construcción"/>
    <s v="Si Secop "/>
    <s v="20260393-BS-8173-7-Construcción de la estación de bomberos Caobos Salazar  B13 - de la UAE Cuerpo Oficial de Bomberos de Bogotá – SGC"/>
  </r>
  <r>
    <n v="20260394"/>
    <s v="Interventoría técnica, administrativa, financiera, contable, jurídica y ambiental para la elaboración de estudios y diseños técnicos para la construcción de la estación de bomberos Caobos Salazar  B13- de la UAE Cuerpo Oficial de Bomberos de Bogotá – SGC"/>
    <s v="06 - concurso de méritos abierto"/>
    <x v="1"/>
    <s v="14 - contrato de interventoria"/>
    <s v="ENERO"/>
    <n v="18"/>
    <n v="0"/>
    <n v="831592000"/>
    <s v="SI"/>
    <s v="Sub. Gestión Corporativa"/>
    <s v="Fatima Veronica Quintero Nuñez"/>
    <x v="2"/>
    <s v="Subdirector@ de Gestión del Riesgo"/>
    <x v="3"/>
    <s v="81101500; 80101600; 72121400; 951217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5040554590 Otros servicios especializados de la construcción"/>
    <s v="Si Secop "/>
    <s v="20260394-BS-8173-7-Interventoría técnica, administrativa, financiera, contable, jurídica y ambiental para la elaboración de estudios y diseños técnicos para la construcción de la estación de bomberos Caobos Salazar  B13- de la UAE Cuerpo Oficial de Bomberos de Bogotá – SGC"/>
  </r>
  <r>
    <n v="20260395"/>
    <s v="Prestación de servicios profesionales para apoyar a la supervisión con las actividades técnicas del Área de Infraestructura de la Subdirección de Gestión Corporativa-SGC"/>
    <s v="09 - contratación directa"/>
    <x v="0"/>
    <s v="25 - contrato de prestacion de servicios profesionales"/>
    <s v="ENERO"/>
    <n v="11"/>
    <n v="0"/>
    <n v="81104000"/>
    <s v="NO"/>
    <s v="Sub. Gestión Corporativa"/>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395-TH-8173-7-Prestación de servicios profesionales para apoyar a la supervisión con las actividades técnicas del Área de Infraestructura de la Subdirección de Gestión Corporativa-SGC"/>
  </r>
  <r>
    <n v="20260396"/>
    <s v="Prestación de servicios profesionales para apoyar las actividades de estructuración de procesos contractuales del Área de Infraestructura de la Subdirección de Gestión Corporativa-SGC"/>
    <s v="09 - contratación directa"/>
    <x v="0"/>
    <s v="25 - contrato de prestacion de servicios profesionales"/>
    <s v="ENERO"/>
    <n v="11"/>
    <n v="0"/>
    <n v="99000000"/>
    <s v="NO"/>
    <s v="Sub. Gestión Corporativa"/>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396-TH-8173-7-Prestación de servicios profesionales para apoyar las actividades de estructuración de procesos contractuales del Área de Infraestructura de la Subdirección de Gestión Corporativa-SGC"/>
  </r>
  <r>
    <n v="20260397"/>
    <s v="Prestar los servicios profesionales en las actividades asociadas del área de infraestructura que contribuyan para la implementación de procesos y procedimientos para la adecuada prestación del servicio-SGC."/>
    <s v="09 - contratación directa"/>
    <x v="0"/>
    <s v="25 - contrato de prestacion de servicios profesionales"/>
    <s v="ENERO"/>
    <n v="11"/>
    <n v="0"/>
    <n v="56772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397-TH-8126-8-Prestar los servicios profesionales en las actividades asociadas del área de infraestructura que contribuyan para la implementación de procesos y procedimientos para la adecuada prestación del servicio-SGC."/>
  </r>
  <r>
    <n v="20260398"/>
    <s v="Prestar los servicios profesionales para el acompañamiento y el seguimiento de los comodatos y demás actividades relacionadas con los procesos y procedimientos de inventarios de la Subdireccion de Gestión Corporativa-SGC"/>
    <s v="09 - contratación directa"/>
    <x v="0"/>
    <s v="25 - contrato de prestacion de servicios profesionales"/>
    <s v="ENERO"/>
    <n v="10"/>
    <n v="0"/>
    <n v="70000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398-TH-8126-9-Prestar los servicios profesionales para el acompañamiento y el seguimiento de los comodatos y demás actividades relacionadas con los procesos y procedimientos de inventarios de la Subdireccion de Gestión Corporativa-SGC"/>
  </r>
  <r>
    <n v="20260399"/>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399-TH-8126-9-Prestación de servicios de apoyo a la gestión en la ejecución de los planes y programas de servicio al ciudadano a cargo de la Subdirección de Gestión Corporativa.-SGC"/>
  </r>
  <r>
    <n v="20260400"/>
    <s v="Prestación de servicios profesionales para articular la gestión en la ejecución de los planes y programas de servicio al ciudadano a cargo de la Subdirección de Gestión Corporativa.-SGC"/>
    <s v="09 - contratación directa"/>
    <x v="0"/>
    <s v="25 - contrato de prestacion de servicios profesionales"/>
    <s v="ENERO"/>
    <n v="11"/>
    <n v="0"/>
    <n v="100272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0-TH-8126-9-Prestación de servicios profesionales para articular la gestión en la ejecución de los planes y programas de servicio al ciudadano a cargo de la Subdirección de Gestión Corporativa.-SGC"/>
  </r>
  <r>
    <n v="20260401"/>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1-TH-8126-9-Prestación de servicios de apoyo a la gestión en la ejecución de los planes y programas de servicio al ciudadano a cargo de la Subdirección de Gestión Corporativa.-SGC"/>
  </r>
  <r>
    <n v="20260402"/>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2-TH-8126-9-Prestación de servicios de apoyo a la gestión en la ejecución de los planes y programas de servicio al ciudadano a cargo de la Subdirección de Gestión Corporativa.-SGC"/>
  </r>
  <r>
    <n v="20260403"/>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3-TH-8126-9-Prestación de servicios de apoyo a la gestión en la ejecución de los planes y programas de servicio al ciudadano a cargo de la Subdirección de Gestión Corporativa.-SGC"/>
  </r>
  <r>
    <n v="20260404"/>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4-TH-8126-9-Prestación de servicios de apoyo a la gestión en la ejecución de los planes y programas de servicio al ciudadano a cargo de la Subdirección de Gestión Corporativa.-SGC"/>
  </r>
  <r>
    <n v="20260405"/>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5-TH-8126-9-Prestación de servicios de apoyo a la gestión en la ejecución de los planes y programas de servicio al ciudadano a cargo de la Subdirección de Gestión Corporativa.-SGC"/>
  </r>
  <r>
    <n v="20260406"/>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6-TH-8126-9-Prestación de servicios de apoyo a la gestión en la ejecución de los planes y programas de servicio al ciudadano a cargo de la Subdirección de Gestión Corporativa.-SGC"/>
  </r>
  <r>
    <n v="20260407"/>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7-TH-8126-9-Prestación de servicios de apoyo a la gestión en la ejecución de los planes y programas de servicio al ciudadano a cargo de la Subdirección de Gestión Corporativa.-SGC"/>
  </r>
  <r>
    <n v="20260408"/>
    <s v="Prestación de servicios profesionales en la Subdirección de Gestión Corporativa adelantando las actividades necesarias para la ejecución del programa y los procesos de seguros de la Entidad-SGC"/>
    <s v="09 - contratación directa"/>
    <x v="0"/>
    <s v="25 - contrato de prestacion de servicios profesionales"/>
    <s v="ENERO"/>
    <n v="11"/>
    <n v="0"/>
    <n v="88000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8-TH-8126-9-Prestación de servicios profesionales en la Subdirección de Gestión Corporativa adelantando las actividades necesarias para la ejecución del programa y los procesos de seguros de la Entidad-SGC"/>
  </r>
  <r>
    <n v="20260409"/>
    <s v="Prestación de servicios de apoyo en la gestión de seguros de la Subdirección de Gestión Corporativa. –SGC"/>
    <s v="09 - contratación directa"/>
    <x v="0"/>
    <s v="26 - contrato de prestacion de servicios de apoyo a la gestion"/>
    <s v="ENERO"/>
    <n v="11"/>
    <n v="0"/>
    <n v="47187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09-TH-8126-9-Prestación de servicios de apoyo en la gestión de seguros de la Subdirección de Gestión Corporativa. –SGC"/>
  </r>
  <r>
    <n v="20260410"/>
    <s v="Prestación de servicios profesionales para apoyar a la Subdirección de Gestión Corporativa aplicando los procesos y procedimientos de seguros e inventarios -SGC"/>
    <s v="09 - contratación directa"/>
    <x v="0"/>
    <s v="25 - contrato de prestacion de servicios profesionales"/>
    <s v="ENERO"/>
    <n v="11"/>
    <n v="0"/>
    <n v="56772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0-TH-8126-9-Prestación de servicios profesionales para apoyar a la Subdirección de Gestión Corporativa aplicando los procesos y procedimientos de seguros e inventarios -SGC"/>
  </r>
  <r>
    <n v="20260411"/>
    <s v="Prestación de servicios de apoyo a la gestión de seguros de la Subdirección de Gestión Corporativa. –SGC"/>
    <s v="09 - contratación directa"/>
    <x v="0"/>
    <s v="26 - contrato de prestacion de servicios de apoyo a la gestion"/>
    <s v="ENERO"/>
    <n v="11"/>
    <n v="0"/>
    <n v="36128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1-TH-8126-9-Prestación de servicios de apoyo a la gestión de seguros de la Subdirección de Gestión Corporativa. –SGC"/>
  </r>
  <r>
    <n v="20260412"/>
    <s v="Prestación de servicios profesionales en la Subdirección de Gestión Corporativa en las actividades relacionadas con MIPG-SGC"/>
    <s v="09 - contratación directa"/>
    <x v="0"/>
    <s v="25 - contrato de prestacion de servicios profesionales"/>
    <s v="ENERO"/>
    <n v="4"/>
    <n v="0"/>
    <n v="29491924"/>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2-TH-8126-9-Prestación de servicios profesionales en la Subdirección de Gestión Corporativa en las actividades relacionadas con MIPG-SGC"/>
  </r>
  <r>
    <n v="20260414"/>
    <s v="Prestación de servicios de apoyo a la gestión del proceso de inventarios de la Subdirección de Gestión Corporativa.-SGC"/>
    <s v="09 - contratación directa"/>
    <x v="0"/>
    <s v="26 - contrato de prestacion de servicios de apoyo a la gestion"/>
    <s v="ENERO"/>
    <n v="11"/>
    <n v="0"/>
    <n v="30966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4-TH-8126-9-Prestación de servicios de apoyo a la gestión del proceso de inventarios de la Subdirección de Gestión Corporativa.-SGC"/>
  </r>
  <r>
    <n v="20260415"/>
    <s v="Prestación de servicios de apoyo a la gestión del proceso de inventarios de la Subdirección de Gestión Corporativa.-SGC"/>
    <s v="09 - contratación directa"/>
    <x v="0"/>
    <s v="26 - contrato de prestacion de servicios de apoyo a la gestion"/>
    <s v="ENERO"/>
    <n v="11"/>
    <n v="0"/>
    <n v="30966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5-TH-8126-9-Prestación de servicios de apoyo a la gestión del proceso de inventarios de la Subdirección de Gestión Corporativa.-SGC"/>
  </r>
  <r>
    <n v="20260416"/>
    <s v="Prestación de servicios de apoyo a la gestión del proceso de inventarios de la Subdirección de Gestión Corporativa.-SGC"/>
    <s v="09 - contratación directa"/>
    <x v="0"/>
    <s v="26 - contrato de prestacion de servicios de apoyo a la gestion"/>
    <s v="ENERO"/>
    <n v="11"/>
    <n v="0"/>
    <n v="30966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6-TH-8126-9-Prestación de servicios de apoyo a la gestión del proceso de inventarios de la Subdirección de Gestión Corporativa.-SGC"/>
  </r>
  <r>
    <n v="20260417"/>
    <s v="Prestar servicios profesionales en la Subdirección de Gestión Corporativa en lo relacionado con los procesos de inventarios, almacén y bajas-SGC"/>
    <s v="09 - contratación directa"/>
    <x v="0"/>
    <s v="25 - contrato de prestacion de servicios profesionales"/>
    <s v="ENERO"/>
    <n v="11"/>
    <n v="0"/>
    <n v="102034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7-TH-8126-9-Prestar servicios profesionales en la Subdirección de Gestión Corporativa en lo relacionado con los procesos de inventarios, almacén y bajas-SGC"/>
  </r>
  <r>
    <n v="20260418"/>
    <s v="Prestar servicios profesionales para desarrollar e implementar sistemas de información, brindar soporte, mantenimiento y generar interoperabilidad con la Subdirección de Gestión Corporativa -SGC"/>
    <s v="09 - contratación directa"/>
    <x v="0"/>
    <s v="25 - contrato de prestacion de servicios profesionales"/>
    <s v="ENERO"/>
    <n v="11"/>
    <n v="0"/>
    <n v="82390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8-TH-8126-9-Prestar servicios profesionales para desarrollar e implementar sistemas de información, brindar soporte, mantenimiento y generar interoperabilidad con la Subdirección de Gestión Corporativa -SGC"/>
  </r>
  <r>
    <n v="20260419"/>
    <s v="Prestación de servicios profesionales para la ejecución de los procesos contables que se desarrollan en el Área Financiera de la UAE Cuerpo Oficial de Bomberos asignados. -SGC"/>
    <s v="09 - contratación directa"/>
    <x v="0"/>
    <s v="25 - contrato de prestacion de servicios profesionales"/>
    <s v="ENERO"/>
    <n v="11"/>
    <n v="0"/>
    <n v="75204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19-TH-8126-9-Prestación de servicios profesionales para la ejecución de los procesos contables que se desarrollan en el Área Financiera de la UAE Cuerpo Oficial de Bomberos asignados. -SGC"/>
  </r>
  <r>
    <n v="20260420"/>
    <s v="Prestación de servicios de apoyo a la gestión documental de la Subdirección de Gestión Corporativa de la Unidad.-SGC."/>
    <s v="09 - contratación directa"/>
    <x v="0"/>
    <s v="26 - contrato de prestacion de servicios de apoyo a la gestion"/>
    <s v="ENERO"/>
    <n v="11"/>
    <n v="0"/>
    <n v="30966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0-TH-8126-9-Prestación de servicios de apoyo a la gestión documental de la Subdirección de Gestión Corporativa de la Unidad.-SGC."/>
  </r>
  <r>
    <n v="20260422"/>
    <s v="Prestación de servicios de apoyo a la gestión documental de la Subdirección de Gestión Corporativa de la Unidad.-SGC"/>
    <s v="09 - contratación directa"/>
    <x v="0"/>
    <s v="26 - contrato de prestacion de servicios de apoyo a la gestion"/>
    <s v="ENERO"/>
    <n v="11"/>
    <n v="0"/>
    <n v="40551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2-TH-8126-9-Prestación de servicios de apoyo a la gestión documental de la Subdirección de Gestión Corporativa de la Unidad.-SGC"/>
  </r>
  <r>
    <n v="20260423"/>
    <s v="Prestación de servicios de apoyo a la gestión documental de la Subdirección de Gestión Corporativa de la Unidad.-SGC"/>
    <s v="09 - contratación directa"/>
    <x v="0"/>
    <s v="26 - contrato de prestacion de servicios de apoyo a la gestion"/>
    <s v="ENERO"/>
    <n v="11"/>
    <n v="0"/>
    <n v="30966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3-TH-8126-9-Prestación de servicios de apoyo a la gestión documental de la Subdirección de Gestión Corporativa de la Unidad.-SGC"/>
  </r>
  <r>
    <n v="20260424"/>
    <s v="Prestación de servicios de apoyo a la gestión documental de la Subdirección de Gestión Corporativa de la Unidad.-SGC"/>
    <s v="09 - contratación directa"/>
    <x v="0"/>
    <s v="26 - contrato de prestacion de servicios de apoyo a la gestion"/>
    <s v="ENERO"/>
    <n v="11"/>
    <n v="0"/>
    <n v="34100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4-TH-8126-9-Prestación de servicios de apoyo a la gestión documental de la Subdirección de Gestión Corporativa de la Unidad.-SGC"/>
  </r>
  <r>
    <n v="20260425"/>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x v="0"/>
    <s v="25 - contrato de prestacion de servicios profesionales"/>
    <s v="ENERO"/>
    <n v="11"/>
    <n v="0"/>
    <n v="56772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5-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426"/>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x v="0"/>
    <s v="25 - contrato de prestacion de servicios profesionales"/>
    <s v="ENERO"/>
    <n v="11"/>
    <n v="0"/>
    <n v="56772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6-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427"/>
    <s v="Prestar los servicios profesionales para la gestión administrativa y operativa de la Subdirección de Gestión Corporativa en el proceso de adquisición de bienes y servicios - SGC"/>
    <s v="09 - contratación directa"/>
    <x v="0"/>
    <s v="25 - contrato de prestacion de servicios profesionales"/>
    <s v="ENERO"/>
    <n v="11"/>
    <n v="0"/>
    <n v="75204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7-TH-8126-9-Prestar los servicios profesionales para la gestión administrativa y operativa de la Subdirección de Gestión Corporativa en el proceso de adquisición de bienes y servicios - SGC"/>
  </r>
  <r>
    <n v="20260428"/>
    <s v="Prestar los servicios como conductor de la Subdirección de Gestión Corporativa -SGC"/>
    <s v="09 - contratación directa"/>
    <x v="0"/>
    <s v="26 - contrato de prestacion de servicios de apoyo a la gestion"/>
    <s v="ENERO"/>
    <n v="11"/>
    <n v="0"/>
    <n v="38060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8-TH-8126-9-Prestar los servicios como conductor de la Subdirección de Gestión Corporativa -SGC"/>
  </r>
  <r>
    <n v="20260429"/>
    <s v="Prestar servicios profesionales en la Subdirección de Gestión Corporativa en el marco de las actividades administrativas de la Dependencia.-SGC"/>
    <s v="09 - contratación directa"/>
    <x v="0"/>
    <s v="25 - contrato de prestacion de servicios profesionales"/>
    <s v="ENERO"/>
    <n v="11"/>
    <n v="0"/>
    <n v="75204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29-TH-8126-9-Prestar servicios profesionales en la Subdirección de Gestión Corporativa en el marco de las actividades administrativas de la Dependencia.-SGC"/>
  </r>
  <r>
    <n v="20260430"/>
    <s v="Prestación de servicios profesionales para apoyar las actividades de estructuración de procesos contractuales del Área de Infraestructura de la Subdirección de Gestión Corporativa-SGC"/>
    <s v="09 - contratación directa"/>
    <x v="0"/>
    <s v="25 - contrato de prestacion de servicios profesionales"/>
    <s v="ENERO"/>
    <n v="11"/>
    <n v="0"/>
    <n v="99000000"/>
    <s v="NO"/>
    <s v="Sub. Gestión Corporativa"/>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30-TH-8173-7-Prestación de servicios profesionales para apoyar las actividades de estructuración de procesos contractuales del Área de Infraestructura de la Subdirección de Gestión Corporativa-SGC"/>
  </r>
  <r>
    <n v="20260431"/>
    <s v="Prestar servicios profesionales para realizar acompañamiento juridico en la elaboración de los procesos contractuales adelantados por la Subdirección Gestión Corporativa -SGC"/>
    <s v="09 - contratación directa"/>
    <x v="0"/>
    <s v="25 - contrato de prestacion de servicios profesionales"/>
    <s v="ENERO"/>
    <n v="11"/>
    <n v="0"/>
    <n v="81103000"/>
    <s v="NO"/>
    <s v="Sub. Gestión Corporativa"/>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31-TH-8173-7-Prestar servicios profesionales para realizar acompañamiento juridico en la elaboración de los procesos contractuales adelantados por la Subdirección Gestión Corporativa -SGC"/>
  </r>
  <r>
    <n v="20260432"/>
    <s v="Prestación de servicios profesionales para adelantar actividades técnicas y trámites administrativos del Área de Infraestructura de la Subdirección de Gestión Corporativa-SGC"/>
    <s v="09 - contratación directa"/>
    <x v="0"/>
    <s v="25 - contrato de prestacion de servicios profesionales"/>
    <s v="ENERO"/>
    <n v="11"/>
    <n v="0"/>
    <n v="81103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32-TH-8126-8-Prestación de servicios profesionales para adelantar actividades técnicas y trámites administrativos del Área de Infraestructura de la Subdirección de Gestión Corporativa-SGC"/>
  </r>
  <r>
    <n v="20260433"/>
    <s v="Prestación de servicios profesionales especializados para articular y revisar los procesos y procedimientos del área de infraestructura, así como en el apoyo a la supervisión de los contratos que le sean asignados-SGC"/>
    <s v="09 - contratación directa"/>
    <x v="0"/>
    <s v="25 - contrato de prestacion de servicios profesionales"/>
    <s v="ENERO"/>
    <n v="11"/>
    <n v="0"/>
    <n v="99000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33-TH-8126-8-Prestación de servicios profesionales especializados para articular y revisar los procesos y procedimientos del área de infraestructura, así como en el apoyo a la supervisión de los contratos que le sean asignados-SGC"/>
  </r>
  <r>
    <n v="20260434"/>
    <s v="Prestación de Servicios Profesionales para la formulación, seguimiento y ejecución de procesos presupuestales y financieros a cargo del área de infraestructura de la Subdirección de Gestión Corporativa -SGC"/>
    <s v="09 - contratación directa"/>
    <x v="0"/>
    <s v="25 - contrato de prestacion de servicios profesionales"/>
    <s v="ENERO"/>
    <n v="11"/>
    <n v="0"/>
    <n v="102035000"/>
    <s v="NO"/>
    <s v="Sub. Gestión Corporativa"/>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34-TH-8173-7-Prestación de Servicios Profesionales para la formulación, seguimiento y ejecución de procesos presupuestales y financieros a cargo del área de infraestructura de la Subdirección de Gestión Corporativa -SGC"/>
  </r>
  <r>
    <n v="20260435"/>
    <s v="Prestación de servicios profesionales para atender las necesidades de mantenimiento de las instalaciones y las actividades técnicas y administrativas de competencia del Área de Infraestructura de la Subdirección de Gestión Corporativa-SGC"/>
    <s v="09 - contratación directa"/>
    <x v="0"/>
    <s v="25 - contrato de prestacion de servicios profesionales"/>
    <s v="ENERO"/>
    <n v="11"/>
    <n v="0"/>
    <n v="75204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35-TH-8126-8-Prestación de servicios profesionales para atender las necesidades de mantenimiento de las instalaciones y las actividades técnicas y administrativas de competencia del Área de Infraestructura de la Subdirección de Gestión Corporativa-SGC"/>
  </r>
  <r>
    <n v="20260436"/>
    <s v="Prestación de Servicios Profesionales en temas financieros, administrativas y misionales para apoyar los proyectos de infraestructura de la Subdirección de Gestión Corporativa.- SGC"/>
    <s v="09 - contratación directa"/>
    <x v="0"/>
    <s v="25 - contrato de prestacion de servicios profesionales"/>
    <s v="ENERO"/>
    <n v="11"/>
    <n v="0"/>
    <n v="75204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36-TH-8126-8-Prestación de Servicios Profesionales en temas financieros, administrativas y misionales para apoyar los proyectos de infraestructura de la Subdirección de Gestión Corporativa.- SGC"/>
  </r>
  <r>
    <n v="20260437"/>
    <s v="Prestar servicios profesionales especializados para acompañar jurídicamente los procesos y procedimientos del área de infraestructura de la Subdirección de Gestión Corporativa. SGC"/>
    <s v="09 - contratación directa"/>
    <x v="0"/>
    <s v="25 - contrato de prestacion de servicios profesionales"/>
    <s v="ENERO"/>
    <n v="11"/>
    <n v="0"/>
    <n v="102034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37-TH-8126-8-Prestar servicios profesionales especializados para acompañar jurídicamente los procesos y procedimientos del área de infraestructura de la Subdirección de Gestión Corporativa. SGC"/>
  </r>
  <r>
    <n v="20260438"/>
    <s v="Prestación de servicios profesionales para apoyar las actividades técnicas del Área de Infraestructura de la Subdirección de Gestión Corporativa-SGC"/>
    <s v="09 - contratación directa"/>
    <x v="0"/>
    <s v="25 - contrato de prestacion de servicios profesionales"/>
    <s v="ENERO"/>
    <n v="11"/>
    <n v="0"/>
    <n v="81103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38-TH-8126-8-Prestación de servicios profesionales para apoyar las actividades técnicas del Área de Infraestructura de la Subdirección de Gestión Corporativa-SGC"/>
  </r>
  <r>
    <n v="20260439"/>
    <s v="Prestar servicios profesionales con el fin de atender los trámites ambientales y los demás que requiera el área de Infraestructura de la Subdirección de Gestión Corporativa. SGC"/>
    <s v="09 - contratación directa"/>
    <x v="0"/>
    <s v="25 - contrato de prestacion de servicios profesionales"/>
    <s v="ENERO"/>
    <n v="10"/>
    <n v="0"/>
    <n v="51611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39-TH-8126-8-Prestar servicios profesionales con el fin de atender los trámites ambientales y los demás que requiera el área de Infraestructura de la Subdirección de Gestión Corporativa. SGC"/>
  </r>
  <r>
    <n v="20260440"/>
    <s v="Prestar los servicios como conductor del  Area de Infraestructura a fin de atender las actividades propias asociadas al mantenimiento de las sedes de UAECOB de la Subdirección de Gestión Corporativa -SGC"/>
    <s v="09 - contratación directa"/>
    <x v="0"/>
    <s v="26 - contrato de prestacion de servicios de apoyo a la gestion"/>
    <s v="ENERO"/>
    <n v="11"/>
    <n v="0"/>
    <n v="38060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0-TH-8126-8-Prestar los servicios como conductor del  Area de Infraestructura a fin de atender las actividades propias asociadas al mantenimiento de las sedes de UAECOB de la Subdirección de Gestión Corporativa -SGC"/>
  </r>
  <r>
    <n v="20260441"/>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0"/>
    <n v="0"/>
    <n v="32843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1-TH-8126-8-Prestación de servicios de apoyo a la gestión, en la Subdirección de Gestión Corporativa en temas de infraestructura para el sostenimiento y mejoramiento de los equipamientos de la Unidad Administrativa Especial Cuerpo Oficial de Bomberos de Bogotá-SGC"/>
  </r>
  <r>
    <n v="20260442"/>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0"/>
    <n v="0"/>
    <n v="32843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2-TH-8126-8-Prestación de servicios de apoyo a la gestión, en la Subdirección de Gestión Corporativa en temas de infraestructura para el sostenimiento y mejoramiento de los equipamientos de la Unidad Administrativa Especial Cuerpo Oficial de Bomberos de Bogotá-SGC"/>
  </r>
  <r>
    <n v="20260443"/>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0"/>
    <n v="0"/>
    <n v="32843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3-TH-8126-8-Prestación de servicios de apoyo a la gestión, en la Subdirección de Gestión Corporativa en temas de infraestructura para el sostenimiento y mejoramiento de los equipamientos de la Unidad Administrativa Especial Cuerpo Oficial de Bomberos de Bogotá-SGC"/>
  </r>
  <r>
    <n v="20260444"/>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1"/>
    <n v="0"/>
    <n v="36128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4-TH-8126-8-Prestación de servicios de apoyo a la gestión, en la Subdirección de Gestión Corporativa en temas de infraestructura para el sostenimiento y mejoramiento de los equipamientos de la Unidad Administrativa Especial Cuerpo Oficial de Bomberos de Bogotá-SGC"/>
  </r>
  <r>
    <n v="20260445"/>
    <s v="Prestación de servicios profesionales al área Financiera de la Subdirección de Gestión Corporativa--SGC"/>
    <s v="09 - contratación directa"/>
    <x v="0"/>
    <s v="25 - contrato de prestacion de servicios profesionales"/>
    <s v="ENERO"/>
    <n v="11"/>
    <n v="0"/>
    <n v="66357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5-TH-8126-9-Prestación de servicios profesionales al área Financiera de la Subdirección de Gestión Corporativa--SGC"/>
  </r>
  <r>
    <n v="20260446"/>
    <s v="Prestación de servicios profesionales al área Financiera de la Subdirección de Gestión Corporativa--SGC"/>
    <s v="09 - contratación directa"/>
    <x v="0"/>
    <s v="25 - contrato de prestacion de servicios profesionales"/>
    <s v="ENERO"/>
    <n v="11"/>
    <n v="0"/>
    <n v="66357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6-TH-8126-9-Prestación de servicios profesionales al área Financiera de la Subdirección de Gestión Corporativa--SGC"/>
  </r>
  <r>
    <n v="20260447"/>
    <s v="Prestación de servicios de apoyo a la gestión del área Financiera de la Subdirección de Gestión Corporativa.-SGC"/>
    <s v="09 - contratación directa"/>
    <x v="0"/>
    <s v="26 - contrato de prestacion de servicios de apoyo a la gestion"/>
    <s v="ENERO"/>
    <n v="11"/>
    <n v="0"/>
    <n v="49399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7-TH-8126-9-Prestación de servicios de apoyo a la gestión del área Financiera de la Subdirección de Gestión Corporativa.-SGC"/>
  </r>
  <r>
    <n v="20260448"/>
    <s v="Prestación de servicios profesionales para el seguimiento, ejecución de los procesos de gestión de pagos que se desarrollan en el área Financiera de la UAE Cuerpo Oficial de Bomberos asignados. -SGC"/>
    <s v="09 - contratación directa"/>
    <x v="0"/>
    <s v="25 - contrato de prestacion de servicios profesionales"/>
    <s v="ENERO"/>
    <n v="11"/>
    <n v="0"/>
    <n v="66357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8-TH-8126-9-Prestación de servicios profesionales para el seguimiento, ejecución de los procesos de gestión de pagos que se desarrollan en el área Financiera de la UAE Cuerpo Oficial de Bomberos asignados. -SGC"/>
  </r>
  <r>
    <n v="20260449"/>
    <s v="Prestación de servicios profesionales especializados para apoyar las actividades de seguimiento técnico del Área de Infraestructura de la Subdirección de Gestión Corporativa-SGC"/>
    <s v="09 - contratación directa"/>
    <x v="0"/>
    <s v="25 - contrato de prestacion de servicios profesionales"/>
    <s v="ENERO"/>
    <n v="11"/>
    <n v="0"/>
    <n v="102034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49-TH-8126-8-Prestación de servicios profesionales especializados para apoyar las actividades de seguimiento técnico del Área de Infraestructura de la Subdirección de Gestión Corporativa-SGC"/>
  </r>
  <r>
    <n v="20260450"/>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1"/>
    <n v="0"/>
    <n v="36128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50-TH-8126-8-Prestación de servicios de apoyo a la gestión, en la Subdirección de Gestión Corporativa en temas de infraestructura para el sostenimiento y mejoramiento de los equipamientos de la Unidad Administrativa Especial Cuerpo Oficial de Bomberos de Bogotá-SGC"/>
  </r>
  <r>
    <n v="20260451"/>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1"/>
    <n v="0"/>
    <n v="36128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51-TH-8126-8-Prestación de servicios de apoyo a la gestión, en la Subdirección de Gestión Corporativa en temas de infraestructura para el sostenimiento y mejoramiento de los equipamientos de la Unidad Administrativa Especial Cuerpo Oficial de Bomberos de Bogotá-SGC"/>
  </r>
  <r>
    <n v="20260452"/>
    <s v="Prestación de servicios profesionales en la proyección y el seguimiento financiero a los proyectos del área de infraestructura de la Subdirección de Gestión Corporativa -SGC"/>
    <s v="09 - contratación directa"/>
    <x v="0"/>
    <s v="25 - contrato de prestacion de servicios profesionales"/>
    <s v="ENERO"/>
    <n v="11"/>
    <n v="0"/>
    <n v="57200000"/>
    <s v="NO"/>
    <s v="Sub. Gestión Corporativa"/>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52-TH-8173-7-Prestación de servicios profesionales en la proyección y el seguimiento financiero a los proyectos del área de infraestructura de la Subdirección de Gestión Corporativa -SGC"/>
  </r>
  <r>
    <n v="20260453"/>
    <s v="Prestación de servicios profesionales con el fin de gestionar trámites de carácter técnico, administrativo y operativamente en el desarrollo de los proyectos de inversión  de la entidad-SGC"/>
    <s v="09 - contratación directa"/>
    <x v="0"/>
    <s v="25 - contrato de prestacion de servicios profesionales"/>
    <s v="ENERO"/>
    <n v="10"/>
    <n v="0"/>
    <n v="60324000"/>
    <s v="NO"/>
    <s v="Sub. Gestión Corporativa"/>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53-TH-8173-7-Prestación de servicios profesionales con el fin de gestionar trámites de carácter técnico, administrativo y operativamente en el desarrollo de los proyectos de inversión  de la entidad-SGC"/>
  </r>
  <r>
    <n v="20260454"/>
    <s v="Prestar servicios profesionales para realizar acompañamiento juridico en la elaboración de los procesos contractuales adelantados por la Subdirección Gestión Corporativa -SGC"/>
    <s v="09 - contratación directa"/>
    <x v="0"/>
    <s v="25 - contrato de prestacion de servicios profesionales"/>
    <s v="ENERO"/>
    <n v="11"/>
    <n v="0"/>
    <n v="81103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54-TH-8126-9-Prestar servicios profesionales para realizar acompañamiento juridico en la elaboración de los procesos contractuales adelantados por la Subdirección Gestión Corporativa -SGC"/>
  </r>
  <r>
    <n v="20260455"/>
    <s v="Prestación de servicios profesionales especializados para articular y revisar los procesos y procedimientos del área de infraestructura, así como en el apoyo a la supervisión de los contratos que le sean asignados-SGC"/>
    <s v="09 - contratación directa"/>
    <x v="0"/>
    <s v="25 - contrato de prestacion de servicios profesionales"/>
    <s v="ENERO"/>
    <n v="11"/>
    <n v="0"/>
    <n v="99000000"/>
    <s v="NO"/>
    <s v="Sub. Gestión Corporativa"/>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55-TH-8173-7-Prestación de servicios profesionales especializados para articular y revisar los procesos y procedimientos del área de infraestructura, así como en el apoyo a la supervisión de los contratos que le sean asignados-SGC"/>
  </r>
  <r>
    <n v="20260456"/>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0"/>
    <n v="0"/>
    <n v="32843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56-TH-8126-8-Prestación de servicios de apoyo a la gestión, en la Subdirección de Gestión Corporativa en temas de infraestructura para el sostenimiento y mejoramiento de los equipamientos de la Unidad Administrativa Especial Cuerpo Oficial de Bomberos de Bogotá-SGC"/>
  </r>
  <r>
    <n v="20260457"/>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1"/>
    <n v="0"/>
    <n v="36128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57-TH-8126-8-Prestación de servicios de apoyo a la gestión, en la Subdirección de Gestión Corporativa en temas de infraestructura para el sostenimiento y mejoramiento de los equipamientos de la Unidad Administrativa Especial Cuerpo Oficial de Bomberos de Bogotá-SGC"/>
  </r>
  <r>
    <n v="20260458"/>
    <s v="Prestación de servicios profesionales especializados para articular y revisar los procesos y procedimientos de la gestión administrativa a cargo de la Subdirección de Gestión Corporativa.- SGC"/>
    <s v="09 - contratación directa"/>
    <x v="0"/>
    <s v="25 - contrato de prestacion de servicios profesionales"/>
    <s v="ENERO"/>
    <n v="11"/>
    <n v="0"/>
    <n v="102034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58-TH-8126-9-Prestación de servicios profesionales especializados para articular y revisar los procesos y procedimientos de la gestión administrativa a cargo de la Subdirección de Gestión Corporativa.- SGC"/>
  </r>
  <r>
    <n v="20260459"/>
    <s v="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s v="09 - contratación directa"/>
    <x v="0"/>
    <s v="25 - contrato de prestacion de servicios profesionales"/>
    <s v="ENERO"/>
    <n v="10"/>
    <n v="0"/>
    <n v="73730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59-TH-8126-9-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r>
  <r>
    <n v="20260460"/>
    <s v="Prestar los servicios profesionales especializados para acompañar las actividades jurídicas relacionadas con la gestión contractual en las etapas precontractual, contractual y postcontractual del área administrativa de la Subdirección de Gestión Corporativa -SGC"/>
    <s v="09 - contratación directa"/>
    <x v="0"/>
    <s v="25 - contrato de prestacion de servicios profesionales"/>
    <s v="ENERO"/>
    <n v="11"/>
    <n v="0"/>
    <n v="102034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60-TH-8126-9-Prestar los servicios profesionales especializados para acompañar las actividades jurídicas relacionadas con la gestión contractual en las etapas precontractual, contractual y postcontractual del área administrativa de la Subdirección de Gestión Corporativa -SGC"/>
  </r>
  <r>
    <n v="20260461"/>
    <s v="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s v="09 - contratación directa"/>
    <x v="0"/>
    <s v="26 - contrato de prestacion de servicios de apoyo a la gestion"/>
    <s v="ENERO"/>
    <n v="10"/>
    <n v="0"/>
    <n v="42897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61-TH-8126-9-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r>
  <r>
    <n v="20260462"/>
    <s v="Prestación de servicios profesionales especializados para apoyar las actividades técnicas y gestión predial del Área de Infraestructura de la Subdirección de Gestión Corporativa-SGC"/>
    <s v="09 - contratación directa"/>
    <x v="0"/>
    <s v="25 - contrato de prestacion de servicios profesionales"/>
    <s v="ENERO"/>
    <n v="11"/>
    <n v="0"/>
    <n v="100272000"/>
    <s v="NO"/>
    <s v="Sub. Gestión Corporativa"/>
    <s v="Fatima Veronica Quintero Nuñez"/>
    <x v="2"/>
    <s v="Subdirector@ de Gestión del Riesgo"/>
    <x v="0"/>
    <s v="801116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s v="O23011745032024025514015"/>
    <s v="PM/0131/0114/45030150255"/>
    <s v="O232020200991191 Servicios administrativos relacionados con los trabajadores estatales"/>
    <s v="Si Secop "/>
    <s v="20260462-TH-8173-8-Prestación de servicios profesionales especializados para apoyar las actividades técnicas y gestión predial del Área de Infraestructura de la Subdirección de Gestión Corporativa-SGC"/>
  </r>
  <r>
    <n v="20260463"/>
    <s v="Prestación de servicios de apoyo en las actividades asociadas a los procesos de almacén de la Subdirección de Gestión Corporativa SGC"/>
    <s v="09 - contratación directa"/>
    <x v="0"/>
    <s v="26 - contrato de prestacion de servicios de apoyo a la gestion"/>
    <s v="ENERO"/>
    <n v="11"/>
    <n v="0"/>
    <n v="36128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63-TH-8126-9-Prestación de servicios de apoyo en las actividades asociadas a los procesos de almacén de la Subdirección de Gestión Corporativa SGC"/>
  </r>
  <r>
    <n v="20260464"/>
    <s v="Prestación de servicios profesionales para atender las actividades financieras, a cargo de la Subdirección de Gestión Corporativa-SGC"/>
    <s v="09 - contratación directa"/>
    <x v="0"/>
    <s v="25 - contrato de prestacion de servicios profesionales"/>
    <s v="ENERO"/>
    <n v="10"/>
    <n v="0"/>
    <n v="60324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64-TH-8126-9-Prestación de servicios profesionales para atender las actividades financieras, a cargo de la Subdirección de Gestión Corporativa-SGC"/>
  </r>
  <r>
    <n v="20260465"/>
    <s v="Prestación de servicios de apoyo a la gestión de los procesos contractuales en la plataforma SECOP II a cargo de la Subdirección de Gestión Corporativa-SGC"/>
    <s v="09 - contratación directa"/>
    <x v="0"/>
    <s v="26 - contrato de prestacion de servicios de apoyo a la gestion"/>
    <s v="ENERO"/>
    <n v="11"/>
    <n v="0"/>
    <n v="47187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65-TH-8126-9-Prestación de servicios de apoyo a la gestión de los procesos contractuales en la plataforma SECOP II a cargo de la Subdirección de Gestión Corporativa-SGC"/>
  </r>
  <r>
    <n v="20260466"/>
    <s v="Prestación de servicios profesionales en el marco de las actividades administrativas de la Subdirección de Gestión Corporativa--SGC"/>
    <s v="09 - contratación directa"/>
    <x v="0"/>
    <s v="25 - contrato de prestacion de servicios profesionales"/>
    <s v="ENERO"/>
    <n v="10"/>
    <n v="0"/>
    <n v="73730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66-TH-8126-9-Prestación de servicios profesionales en el marco de las actividades administrativas de la Subdirección de Gestión Corporativa--SGC"/>
  </r>
  <r>
    <n v="20260467"/>
    <s v="Prestar los servicios profesionales de la gestión administrativa, así como la adquisición de bienes y servicios de la Subdirección de Gestión Corporativa  SGC"/>
    <s v="09 - contratación directa"/>
    <x v="0"/>
    <s v="25 - contrato de prestacion de servicios profesionales"/>
    <s v="ENERO"/>
    <n v="11"/>
    <n v="0"/>
    <n v="56772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67-TH-8126-9-Prestar los servicios profesionales de la gestión administrativa, así como la adquisición de bienes y servicios de la Subdirección de Gestión Corporativa  SGC"/>
  </r>
  <r>
    <n v="20260468"/>
    <s v="Prestar servicios profesionales para realizar acompañamiento en los procesos contractuales adelantados por la Subdirección Gestión Corporativa -SGC"/>
    <s v="09 - contratación directa"/>
    <x v="0"/>
    <s v="25 - contrato de prestacion de servicios profesionales"/>
    <s v="ENERO"/>
    <n v="11"/>
    <n v="0"/>
    <n v="75204000"/>
    <s v="NO"/>
    <s v="Sub. Gestión Corporativa"/>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68-TH-8173-7-Prestar servicios profesionales para realizar acompañamiento en los procesos contractuales adelantados por la Subdirección Gestión Corporativa -SGC"/>
  </r>
  <r>
    <n v="20260469"/>
    <s v="Prestar los servicios profesionales jurídicos para apoyar las actividades propias, en procesos prediales que contribuyan al desarrollo de la infraestructura requerida por la entidad para la adecuada prestación del servicio-SGC"/>
    <s v="09 - contratación directa"/>
    <x v="0"/>
    <s v="25 - contrato de prestacion de servicios profesionales"/>
    <s v="ENERO"/>
    <n v="11"/>
    <n v="0"/>
    <n v="75204000"/>
    <s v="NO"/>
    <s v="Sub. Gestión Corporativa"/>
    <s v="Fatima Veronica Quintero Nuñez"/>
    <x v="2"/>
    <s v="Subdirector@ de Gestión del Riesgo"/>
    <x v="0"/>
    <s v="801116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s v="O23011745032024025514015"/>
    <s v="PM/0131/0114/45030150255"/>
    <s v="O232020200991191 Servicios administrativos relacionados con los trabajadores estatales"/>
    <s v="Si Secop "/>
    <s v="20260469-TH-8173-8-Prestar los servicios profesionales jurídicos para apoyar las actividades propias, en procesos prediales que contribuyan al desarrollo de la infraestructura requerida por la entidad para la adecuada prestación del servicio-SGC"/>
  </r>
  <r>
    <n v="20260470"/>
    <s v="Prestar los servicios profesionales técnicos para apoyar las actividades propias que contribuyan al desarrollo de la infraestructura requerida por la entidad para la adecuada prestación del servicio-SGC"/>
    <s v="09 - contratación directa"/>
    <x v="0"/>
    <s v="25 - contrato de prestacion de servicios profesionales"/>
    <s v="ENERO"/>
    <n v="11"/>
    <n v="0"/>
    <n v="75204000"/>
    <s v="NO"/>
    <s v="Sub. Gestión Corporativa"/>
    <s v="Fatima Veronica Quintero Nuñez"/>
    <x v="2"/>
    <s v="Subdirector@ de Gestión del Riesgo"/>
    <x v="0"/>
    <s v="80111600;"/>
    <s v="8173 10-Realizar 2 documentos de lineamientos técnicos para la construcción de estaciones de bomberos"/>
    <s v="8173"/>
    <s v="1"/>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s v="O23011745032024025508031_"/>
    <s v="PM/0131/0108/45030310255"/>
    <s v="O232020200991191 Servicios administrativos relacionados con los trabajadores estatales"/>
    <s v="Si Secop "/>
    <s v="20260470-TH-8173-1-Prestar los servicios profesionales técnicos para apoyar las actividades propias que contribuyan al desarrollo de la infraestructura requerida por la entidad para la adecuada prestación del servicio-SGC"/>
  </r>
  <r>
    <n v="20260471"/>
    <s v="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s v="09 - contratación directa"/>
    <x v="0"/>
    <s v="25 - contrato de prestacion de servicios profesionales"/>
    <s v="ENERO"/>
    <n v="11"/>
    <n v="0"/>
    <n v="66357000"/>
    <s v="NO"/>
    <s v="Sub. Gestión Corporativa"/>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71-TH-8173-7-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r>
  <r>
    <n v="20260472"/>
    <s v="Prestar servicios profesionales como ingeniero mecanico para apoyar las actividades propias que contribuyan al desarrollo de la infraestructura requerida por la entidad para la adecuada prestación del servicio-SGC"/>
    <s v="09 - contratación directa"/>
    <x v="0"/>
    <s v="25 - contrato de prestacion de servicios profesionales"/>
    <s v="ENERO"/>
    <n v="11"/>
    <n v="0"/>
    <n v="82500000"/>
    <s v="NO"/>
    <s v="Sub. Gestión Corporativa"/>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472-TH-8173-7-Prestar servicios profesionales como ingeniero mecanico para apoyar las actividades propias que contribuyan al desarrollo de la infraestructura requerida por la entidad para la adecuada prestación del servicio-SGC"/>
  </r>
  <r>
    <n v="20260473"/>
    <s v="Prestación de servicios de apoyo a la gestión del proceso de inventarios de la Subdirección de Gestión Corporativa.-SGC"/>
    <s v="09 - contratación directa"/>
    <x v="0"/>
    <s v="26 - contrato de prestacion de servicios de apoyo a la gestion"/>
    <s v="ENERO"/>
    <n v="11"/>
    <n v="0"/>
    <n v="30966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73-TH-8126-9-Prestación de servicios de apoyo a la gestión del proceso de inventarios de la Subdirección de Gestión Corporativa.-SGC"/>
  </r>
  <r>
    <n v="20260474"/>
    <s v="Prestación de servicios de apoyo a la gestión del proceso de inventarios de la Subdirección de Gestión Corporativa.-SGC"/>
    <s v="09 - contratación directa"/>
    <x v="0"/>
    <s v="26 - contrato de prestacion de servicios de apoyo a la gestion"/>
    <s v="ENERO"/>
    <n v="10"/>
    <n v="0"/>
    <n v="28151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74-TH-8126-9-Prestación de servicios de apoyo a la gestión del proceso de inventarios de la Subdirección de Gestión Corporativa.-SGC"/>
  </r>
  <r>
    <n v="20260475"/>
    <s v="Prestación de servicios de apoyo a la gestión documental de la Subdirección de Gestión Corporativa de la Unidad.-SGC"/>
    <s v="09 - contratación directa"/>
    <x v="0"/>
    <s v="26 - contrato de prestacion de servicios de apoyo a la gestion"/>
    <s v="ENERO"/>
    <n v="11"/>
    <n v="0"/>
    <n v="30966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75-TH-8126-9-Prestación de servicios de apoyo a la gestión documental de la Subdirección de Gestión Corporativa de la Unidad.-SGC"/>
  </r>
  <r>
    <n v="20260476"/>
    <s v="Prestación de servicios de apoyo a la gestión documental de la Subdirección de Gestión Corporativa de la Unidad.-SGC"/>
    <s v="09 - contratación directa"/>
    <x v="0"/>
    <s v="26 - contrato de prestacion de servicios de apoyo a la gestion"/>
    <s v="ENERO"/>
    <n v="11"/>
    <n v="0"/>
    <n v="42026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76-TH-8126-9-Prestación de servicios de apoyo a la gestión documental de la Subdirección de Gestión Corporativa de la Unidad.-SGC"/>
  </r>
  <r>
    <n v="20260477"/>
    <s v="Prestación de servicios de apoyo en las actividades asociadas a los procesos de gestión de inventarios de la Subdirección de Gestión Corporativa.-SGC"/>
    <s v="09 - contratación directa"/>
    <x v="0"/>
    <s v="26 - contrato de prestacion de servicios de apoyo a la gestion"/>
    <s v="ENERO"/>
    <n v="11"/>
    <n v="0"/>
    <n v="30967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77-TH-8126-9-Prestación de servicios de apoyo en las actividades asociadas a los procesos de gestión de inventarios de la Subdirección de Gestión Corporativa.-SGC"/>
  </r>
  <r>
    <n v="20260478"/>
    <s v="Prestación de servicios de apoyo técnico en la gestión documental de la Subdirección de Gestión Corporativa de la Unidad-SGC"/>
    <s v="09 - contratación directa"/>
    <x v="0"/>
    <s v="26 - contrato de prestacion de servicios de apoyo a la gestion"/>
    <s v="ENERO"/>
    <n v="11"/>
    <n v="0"/>
    <n v="47187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78-TH-8126-9-Prestación de servicios de apoyo técnico en la gestión documental de la Subdirección de Gestión Corporativa de la Unidad-SGC"/>
  </r>
  <r>
    <n v="20260479"/>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79-TH-8126-9-Prestación de servicios de apoyo a la gestión en la ejecución de los planes y programas de servicio al ciudadano a cargo de la Subdirección de Gestión Corporativa.-SGC"/>
  </r>
  <r>
    <n v="20260480"/>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0-TH-8126-9-Prestación de servicios de apoyo a la gestión en la ejecución de los planes y programas de servicio al ciudadano a cargo de la Subdirección de Gestión Corporativa.-SGC"/>
  </r>
  <r>
    <n v="20260481"/>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1-TH-8126-9-Prestación de servicios de apoyo a la gestión en la ejecución de los planes y programas de servicio al ciudadano a cargo de la Subdirección de Gestión Corporativa.-SGC"/>
  </r>
  <r>
    <n v="20260482"/>
    <s v="Prestación de servicios de apoyo a la gestión en la ejecución de los planes y programas de servicio al ciudadano a cargo de la Subdirección de Gestión Corporativa.-SGC"/>
    <s v="09 - contratación directa"/>
    <x v="0"/>
    <s v="26 - contrato de prestacion de servicios de apoyo a la gestion"/>
    <s v="ENERO"/>
    <n v="11"/>
    <n v="0"/>
    <n v="36128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2-TH-8126-9-Prestación de servicios de apoyo a la gestión en la ejecución de los planes y programas de servicio al ciudadano a cargo de la Subdirección de Gestión Corporativa.-SGC"/>
  </r>
  <r>
    <n v="20260483"/>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1"/>
    <n v="0"/>
    <n v="36128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3-TH-8126-8-Prestación de servicios de apoyo a la gestión, en la Subdirección de Gestión Corporativa en temas de infraestructura para el sostenimiento y mejoramiento de los equipamientos de la Unidad Administrativa Especial Cuerpo Oficial de Bomberos de Bogotá-SGC"/>
  </r>
  <r>
    <n v="20260484"/>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1"/>
    <n v="0"/>
    <n v="36128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4-TH-8126-8-Prestación de servicios de apoyo a la gestión, en la Subdirección de Gestión Corporativa en temas de infraestructura para el sostenimiento y mejoramiento de los equipamientos de la Unidad Administrativa Especial Cuerpo Oficial de Bomberos de Bogotá-SGC"/>
  </r>
  <r>
    <n v="20260485"/>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11"/>
    <n v="0"/>
    <n v="36128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5-TH-8126-8-Prestación de servicios de apoyo a la gestión, en la Subdirección de Gestión Corporativa en temas de infraestructura para el sostenimiento y mejoramiento de los equipamientos de la Unidad Administrativa Especial Cuerpo Oficial de Bomberos de Bogotá-SGC"/>
  </r>
  <r>
    <n v="20260486"/>
    <s v="Prestar los servicios profesionales para el acompañamiento y seguimiento de los planes y proyectos del area de inventarios de la Subdireccion de Gestión Corporativa-SGC"/>
    <s v="09 - contratación directa"/>
    <x v="0"/>
    <s v="25 - contrato de prestacion de servicios profesionales"/>
    <s v="ENERO"/>
    <n v="11"/>
    <n v="0"/>
    <n v="100273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6-TH-8126-9-Prestar los servicios profesionales para el acompañamiento y seguimiento de los planes y proyectos del area de inventarios de la Subdireccion de Gestión Corporativa-SGC"/>
  </r>
  <r>
    <n v="20260487"/>
    <s v="Prestar los servicios profesionales en el area de inventarios de la Subdireccion de Gestión Corporativa-SGC"/>
    <s v="09 - contratación directa"/>
    <x v="0"/>
    <s v="25 - contrato de prestacion de servicios profesionales"/>
    <s v="ENERO"/>
    <n v="11"/>
    <n v="0"/>
    <n v="56772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7-TH-8126-9-Prestar los servicios profesionales en el area de inventarios de la Subdireccion de Gestión Corporativa-SGC"/>
  </r>
  <r>
    <n v="20260488"/>
    <s v="Prestación de servicios de apoyo en las actividades asociadas a los procesos administrativo de la Subdirección de Gestión Corporativa- SGC"/>
    <s v="09 - contratación directa"/>
    <x v="0"/>
    <s v="26 - contrato de prestacion de servicios de apoyo a la gestion"/>
    <s v="ENERO"/>
    <n v="10"/>
    <n v="0"/>
    <n v="38205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8-TH-8126-9-Prestación de servicios de apoyo en las actividades asociadas a los procesos administrativo de la Subdirección de Gestión Corporativa- SGC"/>
  </r>
  <r>
    <n v="20260489"/>
    <s v="Prestar los servicios profesionales para el acompañamiento y seguimiento de los planes y proyectos del grupo del almacén de la Subdireccion de Gestión Corporativa-SGC"/>
    <s v="09 - contratación directa"/>
    <x v="0"/>
    <s v="25 - contrato de prestacion de servicios profesionales"/>
    <s v="ENERO"/>
    <n v="11"/>
    <n v="0"/>
    <n v="77000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89-TH-8126-9-Prestar los servicios profesionales para el acompañamiento y seguimiento de los planes y proyectos del grupo del almacén de la Subdireccion de Gestión Corporativa-SGC"/>
  </r>
  <r>
    <n v="20260490"/>
    <s v="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s v="09 - contratación directa"/>
    <x v="0"/>
    <s v="25 - contrato de prestacion de servicios profesionales"/>
    <s v="ENERO"/>
    <n v="11"/>
    <n v="0"/>
    <n v="56772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90-TH-8126-8-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r>
  <r>
    <n v="20260491"/>
    <s v="Prestación de servicios profesionales en el acompañamiento y asistencia al proceso de gestión documental de la UAE Cuerpo oficial de Bomberos. -SGC"/>
    <s v="09 - contratación directa"/>
    <x v="0"/>
    <s v="25 - contrato de prestacion de servicios profesionales"/>
    <s v="ENERO"/>
    <n v="6"/>
    <n v="0"/>
    <n v="42000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91-TH-8126-9-Prestación de servicios profesionales en el acompañamiento y asistencia al proceso de gestión documental de la UAE Cuerpo oficial de Bomberos. -SGC"/>
  </r>
  <r>
    <n v="20260492"/>
    <s v="Prestación de servicios profesionales especializados para desarrollar las actividades técnicas y administrativas del Área de Infraestructura de la Subdirección de Gestión Corporativa-SGC."/>
    <s v="09 - contratación directa"/>
    <x v="0"/>
    <s v="25 - contrato de prestacion de servicios profesionales"/>
    <s v="ENERO"/>
    <n v="11"/>
    <n v="0"/>
    <n v="77000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92-TH-8126-8-Prestación de servicios profesionales especializados para desarrollar las actividades técnicas y administrativas del Área de Infraestructura de la Subdirección de Gestión Corporativa-SGC."/>
  </r>
  <r>
    <n v="20260493"/>
    <s v="Prestación de servicios profesionales especializados para desarrollar las actividades técnicas y administrativas del Área de Infraestructura de la Subdirección de Gestión Corporativa-SGC"/>
    <s v="09 - contratación directa"/>
    <x v="0"/>
    <s v="25 - contrato de prestacion de servicios profesionales"/>
    <s v="ENERO"/>
    <n v="11"/>
    <n v="0"/>
    <n v="77000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93-TH-8126-8-Prestación de servicios profesionales especializados para desarrollar las actividades técnicas y administrativas del Área de Infraestructura de la Subdirección de Gestión Corporativa-SGC"/>
  </r>
  <r>
    <n v="20260494"/>
    <s v="Prestar servicios profesionales especializados como ingeniero electrónico para apoyar las actividades propias que contribuyan al desarrollo de la infraestructura requerida por la entidad para la adecuada prestación del servicio-SGC"/>
    <s v="09 - contratación directa"/>
    <x v="0"/>
    <s v="25 - contrato de prestacion de servicios profesionales"/>
    <s v="ENERO"/>
    <n v="6"/>
    <n v="0"/>
    <n v="42000000"/>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494-TH-8126-8-Prestar servicios profesionales especializados como ingeniero electrónico para apoyar las actividades propias que contribuyan al desarrollo de la infraestructura requerida por la entidad para la adecuada prestación del servicio-SGC"/>
  </r>
  <r>
    <n v="20260495"/>
    <s v="Contratar la prestación del servicio de aseo y cafetería incluido insumos para la Unidad Administrativa Especial Cuerpo Oficial de Bomberos Bogotá -SGC"/>
    <s v="17 - acuerdo marco de precios"/>
    <x v="1"/>
    <s v="03 - contrato de prestacion de servicios"/>
    <s v="FEBRERO"/>
    <n v="10"/>
    <n v="0"/>
    <n v="355000000"/>
    <s v="NO"/>
    <s v="Sub. Gestión Corporativa"/>
    <s v="Fatima Veronica Quintero Nuñez"/>
    <x v="0"/>
    <s v="Subdirector@ de Gestión Corporativa"/>
    <x v="0"/>
    <s v="44121700;_x000a_44121800;_x000a_44121900;_x000a_44122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330 Servicios de limpieza general"/>
    <s v="Si Secop "/>
    <s v="20260495-BS-8126-8-Contratar la prestación del servicio de aseo y cafetería incluido insumos para la Unidad Administrativa Especial Cuerpo Oficial de Bomberos Bogotá -SGC"/>
  </r>
  <r>
    <n v="20260496"/>
    <s v="Prestar el servicio y mantenimiento de equipos de higienización, desodorización y aromatización para la Unidad Administrativa Especial Cuerpo Oficial de Bomberos Bogotá-SGC"/>
    <s v="04 - contratación mínima cuantía"/>
    <x v="1"/>
    <s v="08 - contrato de suministro"/>
    <s v="MAYO"/>
    <n v="8"/>
    <n v="0"/>
    <n v="16000000"/>
    <s v="NO"/>
    <s v="Sub. Gestión Corporativa"/>
    <s v="Fatima Veronica Quintero Nuñez"/>
    <x v="0"/>
    <s v="Subdirector@ de Gestión Corporativa"/>
    <x v="0"/>
    <s v="76101501;_x000a_47131829;"/>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330 Servicios de limpieza general"/>
    <s v="Si Secop "/>
    <s v="20260496-BS-8126-8-Prestar el servicio y mantenimiento de equipos de higienización, desodorización y aromatización para la Unidad Administrativa Especial Cuerpo Oficial de Bomberos Bogotá-SGC"/>
  </r>
  <r>
    <n v="20260497"/>
    <s v="Mantenimiento preventivo y/o correctivo, y suministros de repuestos de los equipos gasodomésticos y solares y adecuaciones de las redes de gas natural para las Estaciones de la Unidad Administrativa Especial Cuerpo Oficial de Bomberos Bogotá -SGC"/>
    <s v="02 - selec. abrev. menor cuantía"/>
    <x v="1"/>
    <s v="17 - contrato de mantenimiento"/>
    <s v="MAYO"/>
    <n v="8"/>
    <n v="0"/>
    <n v="50000000"/>
    <s v="NO"/>
    <s v="Sub. Gestión Corporativa"/>
    <s v="Fatima Veronica Quintero Nuñez"/>
    <x v="0"/>
    <s v="Subdirector@ de Gestión Corporativa"/>
    <x v="0"/>
    <s v="72151000;_x000a_72101500;_x000a_72153200;_x000a_ 72154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208 Otra maquinaria para usos especiales y sus partes y piezas"/>
    <s v="Si Secop "/>
    <s v="20260497-BS-8126-8-Mantenimiento preventivo y/o correctivo, y suministros de repuestos de los equipos gasodomésticos y solares y adecuaciones de las redes de gas natural para las Estaciones de la Unidad Administrativa Especial Cuerpo Oficial de Bomberos Bogotá -SGC"/>
  </r>
  <r>
    <n v="20260498"/>
    <s v="Mantenimiento preventivo y/o correctivo, y suministro de repuestos de los equipos de gimnasio de las diferentes instalaciones a cargo de la Unidad Administrativa Especial Cuerpo Oficial de Bomberos Bogotá -SGC"/>
    <s v="02 - selec. abrev. menor cuantía"/>
    <x v="1"/>
    <s v="17 - contrato de mantenimiento"/>
    <s v="MAYO"/>
    <n v="8"/>
    <n v="0"/>
    <n v="50000000"/>
    <s v="NO"/>
    <s v="Sub. Gestión Corporativa"/>
    <s v="Fatima Veronica Quintero Nuñez"/>
    <x v="0"/>
    <s v="Subdirector@ de Gestión Corporativa"/>
    <x v="0"/>
    <n v="721518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208 Otra maquinaria para usos especiales y sus partes y piezas"/>
    <s v="Si Secop "/>
    <s v="20260498-BS-8126-8-Mantenimiento preventivo y/o correctivo, y suministro de repuestos de los equipos de gimnasio de las diferentes instalaciones a cargo de la Unidad Administrativa Especial Cuerpo Oficial de Bomberos Bogotá -SGC"/>
  </r>
  <r>
    <n v="20260499"/>
    <s v="Suministro  de muebles, enseres y demàs elementos requeridos para la Unidad Administrativa Especial Cuerpo Oficial de Bomberos Bogotá -SGC"/>
    <s v="03 - selec. abrev. subasta inversa"/>
    <x v="1"/>
    <s v="22 - contrato de adquisicion de bienes"/>
    <s v="MAYO"/>
    <n v="4"/>
    <n v="0"/>
    <n v="670000000"/>
    <s v="NO"/>
    <s v="Sub. Gestión Corporativa"/>
    <s v="Fatima Veronica Quintero Nuñez"/>
    <x v="2"/>
    <s v="Subdirector@ de Gestión del Riesgo"/>
    <x v="0"/>
    <s v="56101500; _x000a_56101700; _x000a_56101900; _x000a_56111500; _x000a_48101800;_x000a_48101915;_x000a_24112601;_x000a_49121509;"/>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101004010102 Muebles del tipo utilizado en la oficina"/>
    <s v="Si Secop "/>
    <s v="20260499-BS-8173-1-Suministro  de muebles, enseres y demàs elementos requeridos para la Unidad Administrativa Especial Cuerpo Oficial de Bomberos Bogotá -SGC"/>
  </r>
  <r>
    <n v="20260500"/>
    <s v="Mantenimiento preventivo y/o correctivo, suministros y repuestos de los electrodomésticos de las instalaciones a cargo de la UAE Cuerpo Oficial de Bomberos Bogotá-SGC"/>
    <s v="04 - contratación mínima cuantía"/>
    <x v="1"/>
    <s v="17 - contrato de mantenimiento"/>
    <s v="MAYO"/>
    <n v="11"/>
    <n v="0"/>
    <n v="20000000"/>
    <s v="NO"/>
    <s v="Sub. Gestión Corporativa"/>
    <s v="Fatima Veronica Quintero Nuñez"/>
    <x v="0"/>
    <s v="Subdirector@ de Gestión Corporativa"/>
    <x v="0"/>
    <s v="73152108;"/>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1 Servicios de mantenimiento y reparación de electrodomésticos"/>
    <s v="Si Secop "/>
    <s v="20260500-BS-8126-8-Mantenimiento preventivo y/o correctivo, suministros y repuestos de los electrodomésticos de las instalaciones a cargo de la UAE Cuerpo Oficial de Bomberos Bogotá-SGC"/>
  </r>
  <r>
    <n v="20260501"/>
    <s v="Mantenimiento preventivo y correctivo, que incluye el suministro de insumos y repuestos de las plantas eléctricas ubicadas en los diferentes edificios de la Unidad Administrativa Especial Cuerpo Oficial de Bomberos Bogotá -SGC"/>
    <s v="02 - selec. abrev. menor cuantía"/>
    <x v="1"/>
    <s v="17 - contrato de mantenimiento"/>
    <s v="MARZO"/>
    <n v="11"/>
    <n v="0"/>
    <n v="120000000"/>
    <s v="NO"/>
    <s v="Sub. Gestión Corporativa"/>
    <s v="Fatima Veronica Quintero Nuñez"/>
    <x v="0"/>
    <s v="Subdirector@ de Gestión Corporativa"/>
    <x v="0"/>
    <s v="72151800;_x000a_72151500;_x000a_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401 Motores, generadores y transformadores eléctricos y sus partes y piezas"/>
    <s v="Si Secop "/>
    <s v="20260501-BS-8126-8-Mantenimiento preventivo y correctivo, que incluye el suministro de insumos y repuestos de las plantas eléctricas ubicadas en los diferentes edificios de la Unidad Administrativa Especial Cuerpo Oficial de Bomberos Bogotá -SGC"/>
  </r>
  <r>
    <n v="20260502"/>
    <s v="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
    <s v="02 - selec. abrev. menor cuantía"/>
    <x v="1"/>
    <s v="17 - contrato de mantenimiento"/>
    <s v="ABRIL"/>
    <n v="10"/>
    <n v="0"/>
    <n v="180000000"/>
    <s v="NO"/>
    <s v="Sub. Gestión Corporativa"/>
    <s v="Fatima Veronica Quintero Nuñez"/>
    <x v="0"/>
    <s v="Subdirector@ de Gestión Corporativa"/>
    <x v="0"/>
    <s v="72154100;_x000a_ 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602 Servicio de mantenimiento y reparación de equipos de fuerza hidráulica y de potencia neumática, bombas, compresores y válvulas"/>
    <s v="Si Secop "/>
    <s v="20260502-BS-8126-8-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
  </r>
  <r>
    <n v="20260503"/>
    <s v="Mantenimiento preventivo y correctivo de la red contraincendios  y sistemas de detención de alarmas contra incendios de las estaciones de bomberos de la  Unidad Administrativa Especial Cuerpo Oficial de Bomberos Bogotá -SGC"/>
    <s v="02 - selec. abrev. menor cuantía"/>
    <x v="1"/>
    <s v="17 - contrato de mantenimiento"/>
    <s v="MARZO"/>
    <n v="10"/>
    <n v="0"/>
    <n v="180000000"/>
    <s v="NO"/>
    <s v="Sub. Gestión Corporativa"/>
    <s v="Fatima Veronica Quintero Nuñez"/>
    <x v="0"/>
    <s v="Subdirector@ de Gestión Corporativa"/>
    <x v="0"/>
    <s v="72101500; _x000a_92101600; _x000a_951217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5040654612 Servicios de instalación de alarmas contra incendios"/>
    <s v="Si Secop "/>
    <s v="20260503-BS-8126-8-Mantenimiento preventivo y correctivo de la red contraincendios  y sistemas de detención de alarmas contra incendios de las estaciones de bomberos de la  Unidad Administrativa Especial Cuerpo Oficial de Bomberos Bogotá -SGC"/>
  </r>
  <r>
    <n v="20260505"/>
    <s v="Realizar el mantenimiento predictivo, preventivo, correctivo y mejoras a las instalaciones de las dependencias de la Unidad Administrativa Especial Cuerpo Oficial de Bomberos Bogotá -SGC"/>
    <s v="01 - licitación pública"/>
    <x v="1"/>
    <s v="05 - contrato de obra"/>
    <s v="MAYO"/>
    <n v="10"/>
    <n v="0"/>
    <n v="800472500"/>
    <s v="NO"/>
    <s v="Sub. Gestión Corporativa"/>
    <s v="Fatima Veronica Quintero Nuñez"/>
    <x v="0"/>
    <s v="Subdirector@ de Gestión Corporativa"/>
    <x v="0"/>
    <s v="72102900; _x000a_72121400; _x000a_72151700;_x000a_72154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5040554590 Otros servicios especializados de la construcción"/>
    <s v="Si Secop "/>
    <s v="20260505-BS-8126-8-Realizar el mantenimiento predictivo, preventivo, correctivo y mejoras a las instalaciones de las dependencias de la Unidad Administrativa Especial Cuerpo Oficial de Bomberos Bogotá -SGC"/>
  </r>
  <r>
    <n v="20260506"/>
    <s v="Interventoría técnica, administrativa, financiera, contable, jurídica y ambiental  para la realización del mantenimiento predictivo, preventivo, correctivo y mejoras a las instalaciones de las dependencias de la Unidad Administrativa Especial Cuerpo Oficial de Bomberos Bogotá -SGC"/>
    <s v="06 - concurso de méritos abierto"/>
    <x v="1"/>
    <s v="14 - contrato de interventoria"/>
    <s v="MAYO"/>
    <n v="10"/>
    <n v="0"/>
    <n v="200000000"/>
    <s v="NO"/>
    <s v="Sub. Gestión Corporativa"/>
    <s v="Fatima Veronica Quintero Nuñez"/>
    <x v="0"/>
    <s v="Subdirector@ de Gestión Corporativa"/>
    <x v="0"/>
    <s v="80101600; _x000a_81101500; _x000a_72101500; _x000a_721214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5040554590 Otros servicios especializados de la construcción"/>
    <s v="Si Secop "/>
    <s v="20260506-BS-8126-8-Interventoría técnica, administrativa, financiera, contable, jurídica y ambiental  para la realización del mantenimiento predictivo, preventivo, correctivo y mejoras a las instalaciones de las dependencias de la Unidad Administrativa Especial Cuerpo Oficial de Bomberos Bogotá -SGC"/>
  </r>
  <r>
    <n v="20260508"/>
    <s v="Mantenimiento preventivo y correctivo, que incluye el suministro de insumos y repuestos de las lavadoras y secadoras industriales ubicadas en las estaciones de bomberos de la UAE Cuerpo Oficial de Bomberos de Bogotá-SGC"/>
    <s v="02 - selec. abrev. menor cuantía"/>
    <x v="1"/>
    <s v="17 - contrato de mantenimiento"/>
    <s v="ABRIL"/>
    <n v="10"/>
    <n v="0"/>
    <n v="127000000"/>
    <s v="NO"/>
    <s v="Sub. Gestión Corporativa"/>
    <s v="Fatima Veronica Quintero Nuñez"/>
    <x v="0"/>
    <s v="Subdirector@ de Gestión Corporativa"/>
    <x v="0"/>
    <s v="47111500;_x000a_73151800;_x000a_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1 Servicios de mantenimiento y reparación de electrodomésticos"/>
    <s v="Si Secop "/>
    <s v="20260508-BS-8126-8-Mantenimiento preventivo y correctivo, que incluye el suministro de insumos y repuestos de las lavadoras y secadoras industriales ubicadas en las estaciones de bomberos de la UAE Cuerpo Oficial de Bomberos de Bogotá-SGC"/>
  </r>
  <r>
    <n v="20260509"/>
    <s v="Proceso para amparar el Pago de Pasivos exigibles "/>
    <s v="91 - n/a acto administrativo (resolución, decreto, acuerdo, etc.)"/>
    <x v="1"/>
    <s v="12 - resolucion"/>
    <s v="MAYO"/>
    <n v="0"/>
    <n v="0"/>
    <n v="60990220"/>
    <s v="NO"/>
    <s v="Sub. Gestión Corporativa"/>
    <s v="Fatima Veronica Quintero Nuñez"/>
    <x v="0"/>
    <s v="Subdirector@ de Gestión Corporativa"/>
    <x v="0"/>
    <s v="N/A"/>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330 Servicios de limpieza general"/>
    <s v="No Secop"/>
    <s v="20260509-BS-8126-8-Proceso para amparar el Pago de Pasivos exigibles "/>
  </r>
  <r>
    <n v="20260510"/>
    <s v="Realizar el mantenimiento preventivo, correctivo de puertas automatizadas para las salas de máquinas de las estaciones de la UAE Cuerpo Oficial de Bomberos-SGC"/>
    <s v="02 - selec. abrev. menor cuantía"/>
    <x v="1"/>
    <s v="17 - contrato de mantenimiento"/>
    <s v="JUNIO"/>
    <n v="9"/>
    <n v="0"/>
    <n v="250000000"/>
    <s v="NO"/>
    <s v="Sub. Gestión Corporativa"/>
    <s v="Fatima Veronica Quintero Nuñez"/>
    <x v="0"/>
    <s v="Subdirector@ de Gestión Corporativa"/>
    <x v="0"/>
    <s v="72121400;_x000a_72151700;_x000a_72154109;_x000a_951217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208 Otra maquinaria para usos especiales y sus partes y piezas"/>
    <s v="Si Secop "/>
    <s v="20260510-BS-8126-8-Realizar el mantenimiento preventivo, correctivo de puertas automatizadas para las salas de máquinas de las estaciones de la UAE Cuerpo Oficial de Bomberos-SGC"/>
  </r>
  <r>
    <n v="20260511"/>
    <s v="Construcción de la estación  Ferias  B-7  UAE Cuerpo Oficial de Bomberos de Bogotá – SGC"/>
    <s v="01 - licitación pública"/>
    <x v="1"/>
    <s v="05 - contrato de obra"/>
    <s v="JULIO"/>
    <n v="15"/>
    <n v="0"/>
    <n v="2865426930"/>
    <s v="NO"/>
    <s v="Sub. Gestión Corporativa"/>
    <s v="Fatima Veronica Quintero Nuñez"/>
    <x v="2"/>
    <s v="Subdirector@ de Gestión del Riesgo"/>
    <x v="0"/>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5040554590 Otros servicios especializados de la construcción"/>
    <s v="Si Secop "/>
    <s v="20260511-BS-8173-7-Construcción de la estación  Ferias  B-7  UAE Cuerpo Oficial de Bomberos de Bogotá – SGC"/>
  </r>
  <r>
    <n v="20260512"/>
    <s v="Construcción de la estación  Ferias  B-7  UAE Cuerpo Oficial de Bomberos de Bogotá – SGC"/>
    <s v="01 - licitación pública"/>
    <x v="1"/>
    <s v="05 - contrato de obra"/>
    <s v="JULIO"/>
    <n v="15"/>
    <n v="0"/>
    <n v="279202000"/>
    <s v="NO"/>
    <s v="Sub. Gestión Corporativa"/>
    <s v="Fatima Veronica Quintero Nuñez"/>
    <x v="2"/>
    <s v="Subdirector@ de Gestión del Riesgo"/>
    <x v="3"/>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5040554590 Otros servicios especializados de la construcción"/>
    <s v="Si Secop "/>
    <s v="20260512-BS-8173-7-Construcción de la estación  Ferias  B-7  UAE Cuerpo Oficial de Bomberos de Bogotá – SGC"/>
  </r>
  <r>
    <n v="20260513"/>
    <s v="Interventoría técnica, administrativa, financiera, contable, jurídica y ambiental para la construcción de la estación de bomberos Ferias B7 UAE Cuerpo Oficial de Bomberos de Bogotá – SGC"/>
    <s v="06 - concurso de méritos abierto"/>
    <x v="1"/>
    <s v="14 - contrato de interventoria"/>
    <s v="JULIO"/>
    <n v="15"/>
    <n v="0"/>
    <n v="303000000"/>
    <s v="NO"/>
    <s v="Sub. Gestión Corporativa"/>
    <s v="Fatima Veronica Quintero Nuñez"/>
    <x v="2"/>
    <s v="Subdirector@ de Gestión del Riesgo"/>
    <x v="3"/>
    <s v="81101500; 80101600; 72121400; 951217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5040554590 Otros servicios especializados de la construcción"/>
    <s v="Si Secop "/>
    <s v="20260513-BS-8173-7-Interventoría técnica, administrativa, financiera, contable, jurídica y ambiental para la construcción de la estación de bomberos Ferias B7 UAE Cuerpo Oficial de Bomberos de Bogotá – SGC"/>
  </r>
  <r>
    <n v="20260514"/>
    <s v="Adecuación de la estación Nueva Estación de la UAE Cuerpo Oficial de Bomberos de Bogotá – SGC"/>
    <s v="01 - licitación pública"/>
    <x v="1"/>
    <s v="05 - contrato de obra"/>
    <s v="JULIO"/>
    <n v="10"/>
    <n v="0"/>
    <n v="900000000"/>
    <s v="NO"/>
    <s v="Sub. Gestión Corporativa"/>
    <s v="Fatima Veronica Quintero Nuñez"/>
    <x v="2"/>
    <s v="Subdirector@ de Gestión del Riesgo"/>
    <x v="3"/>
    <s v="72121400; 72151700; 72151700; 811015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s v="O23011745032024025514015"/>
    <s v="PM/0131/0114/45030150255"/>
    <s v="O2320202005040554590 Otros servicios especializados de la construcción"/>
    <s v="Si Secop "/>
    <s v="20260514-BS-8173-8-Adecuación de la estación Nueva Estación de la UAE Cuerpo Oficial de Bomberos de Bogotá – SGC"/>
  </r>
  <r>
    <n v="20260515"/>
    <s v="Interventoría técnica, administrativa, financiera, contable, jurídica y ambiental para la Adecuación de la Nueva Estación de bomberos de la UAE Cuerpo Oficial de Bomberos de Bogotá – SGC"/>
    <s v="06 - concurso de méritos abierto"/>
    <x v="1"/>
    <s v="14 - contrato de interventoria"/>
    <s v="JULIO"/>
    <n v="10"/>
    <n v="0"/>
    <n v="225000000"/>
    <s v="NO"/>
    <s v="Sub. Gestión Corporativa"/>
    <s v="Fatima Veronica Quintero Nuñez"/>
    <x v="2"/>
    <s v="Subdirector@ de Gestión del Riesgo"/>
    <x v="3"/>
    <s v="81101500; 80101600; 72121400; 951217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s v="O23011745032024025514015"/>
    <s v="PM/0131/0114/45030150255"/>
    <s v="O2320202005040554590 Otros servicios especializados de la construcción"/>
    <s v="Si Secop "/>
    <s v="20260515-BS-8173-8-Interventoría técnica, administrativa, financiera, contable, jurídica y ambiental para la Adecuación de la Nueva Estación de bomberos de la UAE Cuerpo Oficial de Bomberos de Bogotá – SGC"/>
  </r>
  <r>
    <n v="20260516"/>
    <s v="Adecuación de la estación de Bomberos Chapinero B1- de la UAE Cuerpo Oficial de Bomberos de Bogotá – SGC"/>
    <s v="01 - licitación pública"/>
    <x v="1"/>
    <s v="05 - contrato de obra"/>
    <s v="JULIO"/>
    <n v="15"/>
    <n v="0"/>
    <n v="900000000"/>
    <s v="NO"/>
    <s v="Sub. Gestión Corporativa"/>
    <s v="Fatima Veronica Quintero Nuñez"/>
    <x v="2"/>
    <s v="Subdirector@ de Gestión del Riesgo"/>
    <x v="3"/>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5040554590 Otros servicios especializados de la construcción"/>
    <s v="Si Secop "/>
    <s v="20260516-BS-8173-7-Adecuación de la estación de Bomberos Chapinero B1- de la UAE Cuerpo Oficial de Bomberos de Bogotá – SGC"/>
  </r>
  <r>
    <n v="20260517"/>
    <s v="Interventoría técnica, administrativa, financiera, contable, jurídica y ambiental para la Adecuación de la estación de Bomberos Chapinero B1- de la UAE Cuerpo Oficial de Bomberos de Bogotá – SGC"/>
    <s v="06 - concurso de méritos abierto"/>
    <x v="1"/>
    <s v="14 - contrato de interventoria"/>
    <s v="JULIO"/>
    <n v="15"/>
    <n v="0"/>
    <n v="225000000"/>
    <s v="NO"/>
    <s v="Sub. Gestión Corporativa"/>
    <s v="Fatima Veronica Quintero Nuñez"/>
    <x v="2"/>
    <s v="Subdirector@ de Gestión del Riesgo"/>
    <x v="3"/>
    <s v="81101500; 80101600; 72121400; 951217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5040554590 Otros servicios especializados de la construcción"/>
    <s v="Si Secop "/>
    <s v="20260517-BS-8173-7-Interventoría técnica, administrativa, financiera, contable, jurídica y ambiental para la Adecuación de la estación de Bomberos Chapinero B1- de la UAE Cuerpo Oficial de Bomberos de Bogotá – SGC"/>
  </r>
  <r>
    <n v="20260518"/>
    <s v="Contratar el servicio de saneamiento ambiental, corte de césped, jardinería, poda y tala de árboles para las sedes (predios y/o estaciones) de la Unidad Administrativa Especial Cuerpo Oficial de Bomberos de Bogotá – SGC"/>
    <s v="02 - selec. abrev. menor cuantía"/>
    <x v="1"/>
    <s v="03 - contrato de prestacion de servicios"/>
    <s v="ABRIL"/>
    <n v="11"/>
    <n v="0"/>
    <n v="297000000"/>
    <s v="NO"/>
    <s v="Sub. Gestión Corporativa"/>
    <s v="Fatima Veronica Quintero Nuñez"/>
    <x v="1"/>
    <s v="Subdirector@ de Gestión Corporativa"/>
    <x v="1"/>
    <s v="70111500;_x000a_72102100 ;_x000a_72102104;_x000a_76101503;_x000a_72154055;_x000a_70111703;_x000a_70111706;_x000a_70111503;_x000a_72153204;"/>
    <s v="No aplica"/>
    <s v="No a"/>
    <s v="l"/>
    <s v="NA"/>
    <s v="NA"/>
    <s v="NA"/>
    <s v="N/A"/>
    <s v="N/A"/>
    <s v="N/A-N/A"/>
    <s v="N/A"/>
    <s v="N/A"/>
    <s v="N/A_N/A"/>
    <s v="N/A-N/A N/A_N/A"/>
    <s v="NANANAN/AN/A"/>
    <s v="N/A"/>
    <s v="No Aplica"/>
    <s v="Si Secop "/>
    <s v="20260518-BS-No a-l-Contratar el servicio de saneamiento ambiental, corte de césped, jardinería, poda y tala de árboles para las sedes (predios y/o estaciones) de la Unidad Administrativa Especial Cuerpo Oficial de Bomberos de Bogotá – SGC"/>
  </r>
  <r>
    <n v="20260519"/>
    <s v="Prestar el servicio de recolección y disposición final de los residuos sanitarios y aguas no tratadas de las instalaciones de la Unidad Administrativa Especial Cuerpo Oficial de Bomberos de Bogotá – SGC"/>
    <s v="04 - contratación mínima cuantía"/>
    <x v="1"/>
    <s v="03 - contrato de prestacion de servicios"/>
    <s v="MAYO"/>
    <n v="8"/>
    <n v="0"/>
    <n v="30000000"/>
    <s v="NO"/>
    <s v="Sub. Gestión Corporativa"/>
    <s v="Fatima Veronica Quintero Nuñez"/>
    <x v="1"/>
    <s v="Subdirector@ de Gestión Corporativa"/>
    <x v="1"/>
    <s v="81141807;_x000a_40151517;_x000a_76121701;_x000a_83101506;"/>
    <s v="No aplica"/>
    <s v="No a"/>
    <s v="l"/>
    <s v="NA"/>
    <s v="NA"/>
    <s v="NA"/>
    <s v="N/A"/>
    <s v="N/A"/>
    <s v="N/A-N/A"/>
    <s v="N/A"/>
    <s v="N/A"/>
    <s v="N/A_N/A"/>
    <s v="N/A-N/A N/A_N/A"/>
    <s v="NANANAN/AN/A"/>
    <s v="N/A"/>
    <s v="No Aplica"/>
    <s v="Si Secop "/>
    <s v="20260519-BS-No a-l-Prestar el servicio de recolección y disposición final de los residuos sanitarios y aguas no tratadas de las instalaciones de la Unidad Administrativa Especial Cuerpo Oficial de Bomberos de Bogotá – SGC"/>
  </r>
  <r>
    <n v="20260520"/>
    <s v="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
    <s v="04 - contratación mínima cuantía"/>
    <x v="1"/>
    <s v="27 - contrato de prestacion de servicios de mantenimiento"/>
    <s v="ABRIL"/>
    <n v="10"/>
    <n v="0"/>
    <n v="24000000"/>
    <s v="NO"/>
    <s v="Sub. Gestión Corporativa"/>
    <s v="Fatima Veronica Quintero Nuñez"/>
    <x v="1"/>
    <s v="Subdirector@ de Gestión Corporativa"/>
    <x v="1"/>
    <s v="91111602;_x000a_72154302;_x000a_47101568;_x000a_49241712;"/>
    <s v="No aplica"/>
    <s v="No a"/>
    <s v="l"/>
    <s v="NA"/>
    <s v="NA"/>
    <s v="NA"/>
    <s v="N/A"/>
    <s v="N/A"/>
    <s v="N/A-N/A"/>
    <s v="N/A"/>
    <s v="N/A"/>
    <s v="N/A_N/A"/>
    <s v="N/A-N/A N/A_N/A"/>
    <s v="NANANAN/AN/A"/>
    <s v="N/A"/>
    <s v="No Aplica"/>
    <s v="Si Secop "/>
    <s v="20260520-BS-No a-l-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
  </r>
  <r>
    <n v="20260521"/>
    <s v="Adición No. 1 y prórroga No. 2 al contrato 196 de 2025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17 - acuerdo marco de precios"/>
    <x v="1"/>
    <s v="03 - contrato de prestacion de servicios"/>
    <s v="ENERO"/>
    <n v="1"/>
    <n v="0"/>
    <n v="17698013"/>
    <s v="NO"/>
    <s v="Sub. Gestión Corporativa"/>
    <s v="Fatima Veronica Quintero Nuñez"/>
    <x v="1"/>
    <s v="Subdirector@ de Gestión Corporativa"/>
    <x v="1"/>
    <s v="78102206;"/>
    <s v="No aplica"/>
    <s v="No a"/>
    <s v="l"/>
    <s v="NA"/>
    <s v="NA"/>
    <s v="NA"/>
    <s v="N/A"/>
    <s v="N/A"/>
    <s v="N/A-N/A"/>
    <s v="N/A"/>
    <s v="N/A"/>
    <s v="N/A_N/A"/>
    <s v="N/A-N/A N/A_N/A"/>
    <s v="NANANAN/AN/A"/>
    <s v="N/A"/>
    <s v="No Aplica"/>
    <s v="No Secop"/>
    <s v="20260521-BS-No a-l-Adición No. 1 y prórroga No. 2 al contrato 196 de 2025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r>
  <r>
    <n v="20260522"/>
    <s v="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17 - acuerdo marco de precios"/>
    <x v="1"/>
    <s v="03 - contrato de prestacion de servicios"/>
    <s v="MARZO"/>
    <n v="8"/>
    <n v="0"/>
    <n v="88070951"/>
    <s v="NO"/>
    <s v="Sub. Gestión Corporativa"/>
    <s v="Fatima Veronica Quintero Nuñez"/>
    <x v="1"/>
    <s v="Subdirector@ de Gestión Corporativa"/>
    <x v="1"/>
    <s v="78102206;"/>
    <s v="No aplica"/>
    <s v="No a"/>
    <s v="l"/>
    <s v="NA"/>
    <s v="NA"/>
    <s v="NA"/>
    <s v="N/A"/>
    <s v="N/A"/>
    <s v="N/A-N/A"/>
    <s v="N/A"/>
    <s v="N/A"/>
    <s v="N/A_N/A"/>
    <s v="N/A-N/A N/A_N/A"/>
    <s v="NANANAN/AN/A"/>
    <s v="N/A"/>
    <s v="No Aplica"/>
    <s v="Si Secop "/>
    <s v="20260522-BS-No a-l-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r>
  <r>
    <n v="20260523"/>
    <s v="Contratar la prestación del servicio de aseo y cafetería incluido insumos para la Unidad Administrativa Especial Cuerpo Oficial de Bomberos Bogotá -SGC"/>
    <s v="17 - acuerdo marco de precios"/>
    <x v="1"/>
    <s v="03 - contrato de prestacion de servicios"/>
    <s v="FEBRERO"/>
    <n v="10"/>
    <n v="0"/>
    <n v="755000000"/>
    <s v="NO"/>
    <s v="Sub. Gestión Corporativa"/>
    <s v="Fatima Veronica Quintero Nuñez"/>
    <x v="1"/>
    <s v="Subdirector@ de Gestión Corporativa"/>
    <x v="1"/>
    <s v="44121700;_x000a_44121800;_x000a_44121900;_x000a_44122000;"/>
    <s v="No aplica"/>
    <s v="No a"/>
    <s v="l"/>
    <s v="NA"/>
    <s v="NA"/>
    <s v="NA"/>
    <s v="N/A"/>
    <s v="N/A"/>
    <s v="N/A-N/A"/>
    <s v="N/A"/>
    <s v="N/A"/>
    <s v="N/A_N/A"/>
    <s v="N/A-N/A N/A_N/A"/>
    <s v="NANANAN/AN/A"/>
    <s v="N/A"/>
    <s v="No Aplica"/>
    <s v="Si Secop "/>
    <s v="20260523-BS-No a-l-Contratar la prestación del servicio de aseo y cafetería incluido insumos para la Unidad Administrativa Especial Cuerpo Oficial de Bomberos Bogotá -SGC"/>
  </r>
  <r>
    <n v="20260524"/>
    <s v="Contratar la prestación del servicio de aseo y cafetería incluido insumos para la Unidad Administrativa Especial Cuerpo Oficial de Bomberos Bogotá -SGC"/>
    <s v="17 - acuerdo marco de precios"/>
    <x v="1"/>
    <s v="03 - contrato de prestacion de servicios"/>
    <s v="FEBRERO"/>
    <n v="10"/>
    <n v="0"/>
    <n v="388000000"/>
    <s v="NO"/>
    <s v="Sub. Gestión Corporativa"/>
    <s v="Fatima Veronica Quintero Nuñez"/>
    <x v="1"/>
    <s v="Subdirector@ de Gestión Corporativa"/>
    <x v="1"/>
    <s v="44121700;_x000a_44121800;_x000a_44121900;_x000a_44122000;"/>
    <s v="No aplica"/>
    <s v="No a"/>
    <s v="l"/>
    <s v="NA"/>
    <s v="NA"/>
    <s v="NA"/>
    <s v="N/A"/>
    <s v="N/A"/>
    <s v="N/A-N/A"/>
    <s v="N/A"/>
    <s v="N/A"/>
    <s v="N/A_N/A"/>
    <s v="N/A-N/A N/A_N/A"/>
    <s v="NANANAN/AN/A"/>
    <s v="N/A"/>
    <s v="No Aplica"/>
    <s v="Si Secop "/>
    <s v="20260524-BS-No a-l-Contratar la prestación del servicio de aseo y cafetería incluido insumos para la Unidad Administrativa Especial Cuerpo Oficial de Bomberos Bogotá -SGC"/>
  </r>
  <r>
    <n v="20260525"/>
    <s v="Suministro  de implementos  de  papelería y oficina para las dependencias  para la Unidad Administrativa Especial Cuerpo Oficial de Bomberos Bogotá -SGC"/>
    <s v="03 - selec. abrev. subasta inversa"/>
    <x v="1"/>
    <s v="08 - contrato de suministro"/>
    <s v="ABRIL"/>
    <n v="8"/>
    <n v="0"/>
    <n v="85000000"/>
    <s v="NO"/>
    <s v="Sub. Gestión Corporativa"/>
    <s v="Fatima Veronica Quintero Nuñez"/>
    <x v="1"/>
    <s v="Subdirector@ de Gestión Corporativa"/>
    <x v="1"/>
    <s v="14111500;_x000a_14111800;_x000a_44121700; _x000a_44121800; _x000a_44122000; _x000a_44122100;_x000a_44121600;_x000a_60101900;_x000a_27112300;_x000a_60105700;"/>
    <s v="No aplica"/>
    <s v="No a"/>
    <s v="l"/>
    <s v="NA"/>
    <s v="NA"/>
    <s v="NA"/>
    <s v="N/A"/>
    <s v="N/A"/>
    <s v="N/A-N/A"/>
    <s v="N/A"/>
    <s v="N/A"/>
    <s v="N/A_N/A"/>
    <s v="N/A-N/A N/A_N/A"/>
    <s v="NANANAN/AN/A"/>
    <s v="N/A"/>
    <s v="No Aplica"/>
    <s v="Si Secop "/>
    <s v="20260525-BS-No a-l-Suministro  de implementos  de  papelería y oficina para las dependencias  para la Unidad Administrativa Especial Cuerpo Oficial de Bomberos Bogotá -SGC"/>
  </r>
  <r>
    <n v="20260526"/>
    <s v="Suministro de insumos para las impresoras de las dependencias  para la Unidad Administrativa Especial Cuerpo Oficial de Bomberos Bogotá -SGC"/>
    <s v="03 - selec. abrev. subasta inversa"/>
    <x v="1"/>
    <s v="08 - contrato de suministro"/>
    <s v="ABRIL"/>
    <n v="8"/>
    <n v="0"/>
    <n v="205000000"/>
    <s v="NO"/>
    <s v="Sub. Gestión Corporativa"/>
    <s v="Fatima Veronica Quintero Nuñez"/>
    <x v="1"/>
    <s v="Subdirector@ de Gestión Corporativa"/>
    <x v="1"/>
    <s v="14111500; _x000a_24112400; _x000a_44111500; _x000a_44121800; _x000a_31201500; _x000a_27112300; _x000a_44121700; _x000a_44121600"/>
    <s v="No aplica"/>
    <s v="No a"/>
    <s v="l"/>
    <s v="NA"/>
    <s v="NA"/>
    <s v="NA"/>
    <s v="N/A"/>
    <s v="N/A"/>
    <s v="N/A-N/A"/>
    <s v="N/A"/>
    <s v="N/A"/>
    <s v="N/A_N/A"/>
    <s v="N/A-N/A N/A_N/A"/>
    <s v="NANANAN/AN/A"/>
    <s v="N/A"/>
    <s v="No Aplica"/>
    <s v="Si Secop "/>
    <s v="20260526-BS-No a-l-Suministro de insumos para las impresoras de las dependencias  para la Unidad Administrativa Especial Cuerpo Oficial de Bomberos Bogotá -SGC"/>
  </r>
  <r>
    <n v="20260527"/>
    <s v="Prestar el servicio de vigilancia y seguridad privada en la modalidad de vigilancia fija, según especificaciones técnicas, en las instalaciones donde la UAE Especial Cuerpo Oficial de Bomberos requiera-SGC"/>
    <s v="01 - licitación pública"/>
    <x v="1"/>
    <s v="03 - contrato de prestacion de servicios"/>
    <s v="ENERO"/>
    <n v="12"/>
    <n v="0"/>
    <n v="1000000000"/>
    <s v="NO"/>
    <s v="Sub. Gestión Corporativa"/>
    <s v="Fatima Veronica Quintero Nuñez"/>
    <x v="1"/>
    <s v="Subdirector@ de Gestión Corporativa"/>
    <x v="1"/>
    <s v="92121500;"/>
    <s v="No aplica"/>
    <s v="No a"/>
    <s v="l"/>
    <s v="NA"/>
    <s v="NA"/>
    <s v="NA"/>
    <s v="N/A"/>
    <s v="N/A"/>
    <s v="N/A-N/A"/>
    <s v="N/A"/>
    <s v="N/A"/>
    <s v="N/A_N/A"/>
    <s v="N/A-N/A N/A_N/A"/>
    <s v="NANANAN/AN/A"/>
    <s v="N/A"/>
    <s v="No Aplica"/>
    <s v="Si Secop "/>
    <s v="20260527-BS-No a-l-Prestar el servicio de vigilancia y seguridad privada en la modalidad de vigilancia fija, según especificaciones técnicas, en las instalaciones donde la UAE Especial Cuerpo Oficial de Bomberos requiera-SGC"/>
  </r>
  <r>
    <n v="20260528"/>
    <s v="Suministro de insumos para lavandería-SGC"/>
    <s v="04 - contratación mínima cuantía"/>
    <x v="1"/>
    <s v="08 - contrato de suministro"/>
    <s v="MARZO"/>
    <n v="7"/>
    <n v="0"/>
    <n v="48900000"/>
    <s v="NO"/>
    <s v="Sub. Gestión Corporativa"/>
    <s v="Fatima Veronica Quintero Nuñez"/>
    <x v="1"/>
    <s v="Subdirector@ de Gestión Corporativa"/>
    <x v="1"/>
    <s v="56101500; _x000a_56101700; _x000a_56101900; _x000a_56111500; _x000a_48101800;_x000a_48101915;_x000a_24112601;_x000a_49121509;"/>
    <s v="No aplica"/>
    <s v="No a"/>
    <s v="l"/>
    <s v="NA"/>
    <s v="NA"/>
    <s v="NA"/>
    <s v="N/A"/>
    <s v="N/A"/>
    <s v="N/A-N/A"/>
    <s v="N/A"/>
    <s v="N/A"/>
    <s v="N/A_N/A"/>
    <s v="N/A-N/A N/A_N/A"/>
    <s v="NANANAN/AN/A"/>
    <s v="N/A"/>
    <s v="No Aplica"/>
    <s v="Si Secop "/>
    <s v="20260528-BS-No a-l-Suministro de insumos para lavandería-SGC"/>
  </r>
  <r>
    <n v="20260529"/>
    <s v="Arrendamiento de instalaciones estación Ferias-SGC"/>
    <s v="09 - contratación directa"/>
    <x v="1"/>
    <s v="07 - contrato de arrendamiento"/>
    <s v="ENERO"/>
    <n v="12"/>
    <n v="0"/>
    <n v="178000000"/>
    <s v="NO"/>
    <s v="Sub. Gestión Corporativa"/>
    <s v="Fatima Veronica Quintero Nuñez"/>
    <x v="1"/>
    <s v="Subdirector@ de Gestión Corporativa"/>
    <x v="1"/>
    <s v="80131502;"/>
    <s v="No aplica"/>
    <s v="No a"/>
    <s v="l"/>
    <s v="NA"/>
    <s v="NA"/>
    <s v="NA"/>
    <s v="N/A"/>
    <s v="N/A"/>
    <s v="N/A-N/A"/>
    <s v="N/A"/>
    <s v="N/A"/>
    <s v="N/A_N/A"/>
    <s v="N/A-N/A N/A_N/A"/>
    <s v="NANANAN/AN/A"/>
    <s v="N/A"/>
    <s v="No Aplica"/>
    <s v="Si Secop "/>
    <s v="20260529-BS-No a-l-Arrendamiento de instalaciones estación Ferias-SGC"/>
  </r>
  <r>
    <n v="20260530"/>
    <s v="Adición y prórroga No. 1 al contrato 491 de 2025 que tiene como objeto “Mantenimiento ascensor nueva Estación de Bomberos de Fontibón-SGC"/>
    <s v="09 - contratación directa"/>
    <x v="1"/>
    <s v="17 - contrato de mantenimiento"/>
    <s v="MAYO"/>
    <n v="2"/>
    <n v="0"/>
    <n v="2200000"/>
    <s v="NO"/>
    <s v="Sub. Gestión Corporativa"/>
    <s v="Fatima Veronica Quintero Nuñez"/>
    <x v="1"/>
    <s v="Subdirector@ de Gestión Corporativa"/>
    <x v="1"/>
    <s v="72101506;_x000a_72154010;"/>
    <s v="No aplica"/>
    <s v="No a"/>
    <s v="l"/>
    <s v="NA"/>
    <s v="NA"/>
    <s v="NA"/>
    <s v="N/A"/>
    <s v="N/A"/>
    <s v="N/A-N/A"/>
    <s v="N/A"/>
    <s v="N/A"/>
    <s v="N/A_N/A"/>
    <s v="N/A-N/A N/A_N/A"/>
    <s v="NANANAN/AN/A"/>
    <s v="N/A"/>
    <s v="No Aplica"/>
    <s v="No Secop"/>
    <s v="20260530-BS-No a-l-Adición y prórroga No. 1 al contrato 491 de 2025 que tiene como objeto “Mantenimiento ascensor nueva Estación de Bomberos de Fontibón-SGC"/>
  </r>
  <r>
    <n v="20260531"/>
    <s v="Mantenimiento correctivo y preventivo con suministro de repuestos para el ascensor estación de bomberos Fontibón B6 -SGC"/>
    <s v="09 - contratación directa"/>
    <x v="1"/>
    <s v="17 - contrato de mantenimiento"/>
    <s v="AGOSTO"/>
    <n v="6"/>
    <n v="0"/>
    <n v="11700000"/>
    <s v="NO"/>
    <s v="Sub. Gestión Corporativa"/>
    <s v="Fatima Veronica Quintero Nuñez"/>
    <x v="1"/>
    <s v="Subdirector@ de Gestión Corporativa"/>
    <x v="1"/>
    <s v="72101506;_x000a_72154010;"/>
    <s v="No aplica"/>
    <s v="No a"/>
    <s v="l"/>
    <s v="NA"/>
    <s v="NA"/>
    <s v="NA"/>
    <s v="N/A"/>
    <s v="N/A"/>
    <s v="N/A-N/A"/>
    <s v="N/A"/>
    <s v="N/A"/>
    <s v="N/A_N/A"/>
    <s v="N/A-N/A N/A_N/A"/>
    <s v="NANANAN/AN/A"/>
    <s v="N/A"/>
    <s v="No Aplica"/>
    <s v="Si Secop "/>
    <s v="20260531-BS-No a-l-Mantenimiento correctivo y preventivo con suministro de repuestos para el ascensor estación de bomberos Fontibón B6 -SGC"/>
  </r>
  <r>
    <n v="20260532"/>
    <s v="Adición y prórroga No. 1 al contrato 586 de 2025 que tiene como objeto “Mantenimiento correctivo y preventivo con suministro de repuestos para los ascensores edificio comando-SGC"/>
    <s v="09 - contratación directa"/>
    <x v="1"/>
    <s v="17 - contrato de mantenimiento"/>
    <s v="ABRIL"/>
    <n v="2"/>
    <n v="0"/>
    <n v="9235000"/>
    <s v="NO"/>
    <s v="Sub. Gestión Corporativa"/>
    <s v="Fatima Veronica Quintero Nuñez"/>
    <x v="1"/>
    <s v="Subdirector@ de Gestión Corporativa"/>
    <x v="1"/>
    <s v="72101506;_x000a_72154010;"/>
    <s v="No aplica"/>
    <s v="No a"/>
    <s v="l"/>
    <s v="NA"/>
    <s v="NA"/>
    <s v="NA"/>
    <s v="N/A"/>
    <s v="N/A"/>
    <s v="N/A-N/A"/>
    <s v="N/A"/>
    <s v="N/A"/>
    <s v="N/A_N/A"/>
    <s v="N/A-N/A N/A_N/A"/>
    <s v="NANANAN/AN/A"/>
    <s v="N/A"/>
    <s v="No Aplica"/>
    <s v="No Secop"/>
    <s v="20260532-BS-No a-l-Adición y prórroga No. 1 al contrato 586 de 2025 que tiene como objeto “Mantenimiento correctivo y preventivo con suministro de repuestos para los ascensores edificio comando-SGC"/>
  </r>
  <r>
    <n v="20260533"/>
    <s v="Mantenimiento correctivo y preventivo con suministro de repuestos para los ascensores edificio comando-SGC"/>
    <s v="09 - contratación directa"/>
    <x v="1"/>
    <s v="17 - contrato de mantenimiento"/>
    <s v="AGOSTO"/>
    <n v="7"/>
    <n v="0"/>
    <n v="21565000"/>
    <s v="NO"/>
    <s v="Sub. Gestión Corporativa"/>
    <s v="Fatima Veronica Quintero Nuñez"/>
    <x v="1"/>
    <s v="Subdirector@ de Gestión Corporativa"/>
    <x v="1"/>
    <s v="72101506;_x000a_72154010;"/>
    <s v="No aplica"/>
    <s v="No a"/>
    <s v="l"/>
    <s v="NA"/>
    <s v="NA"/>
    <s v="NA"/>
    <s v="N/A"/>
    <s v="N/A"/>
    <s v="N/A-N/A"/>
    <s v="N/A"/>
    <s v="N/A"/>
    <s v="N/A_N/A"/>
    <s v="N/A-N/A N/A_N/A"/>
    <s v="NANANAN/AN/A"/>
    <s v="N/A"/>
    <s v="No Aplica"/>
    <s v="Si Secop "/>
    <s v="20260533-BS-No a-l-Mantenimiento correctivo y preventivo con suministro de repuestos para los ascensores edificio comando-SGC"/>
  </r>
  <r>
    <n v="20260534"/>
    <s v="Adición y prórroga No. 1 al contrato 638 de 2025 que tiene como objeto “Mantenimiento correctivo y preventivo con suministro de repuestos ascensor estación de bomberos Bellavista B-9 - SGC"/>
    <s v="09 - contratación directa"/>
    <x v="1"/>
    <s v="17 - contrato de mantenimiento"/>
    <s v="ABRIL"/>
    <n v="2"/>
    <n v="0"/>
    <n v="3000000"/>
    <s v="NO"/>
    <s v="Sub. Gestión Corporativa"/>
    <s v="Fatima Veronica Quintero Nuñez"/>
    <x v="1"/>
    <s v="Subdirector@ de Gestión Corporativa"/>
    <x v="1"/>
    <s v="72101506;_x000a_72154010;"/>
    <s v="No aplica"/>
    <s v="No a"/>
    <s v="l"/>
    <s v="NA"/>
    <s v="NA"/>
    <s v="NA"/>
    <s v="N/A"/>
    <s v="N/A"/>
    <s v="N/A-N/A"/>
    <s v="N/A"/>
    <s v="N/A"/>
    <s v="N/A_N/A"/>
    <s v="N/A-N/A N/A_N/A"/>
    <s v="NANANAN/AN/A"/>
    <s v="N/A"/>
    <s v="No Aplica"/>
    <s v="No Secop"/>
    <s v="20260534-BS-No a-l-Adición y prórroga No. 1 al contrato 638 de 2025 que tiene como objeto “Mantenimiento correctivo y preventivo con suministro de repuestos ascensor estación de bomberos Bellavista B-9 - SGC"/>
  </r>
  <r>
    <n v="20260535"/>
    <s v="Mantenimiento correctivo y preventivo con suministro de repuestos ascensor estación de bomberos Bellavista B-9 - SGC"/>
    <s v="09 - contratación directa"/>
    <x v="1"/>
    <s v="17 - contrato de mantenimiento"/>
    <s v="AGOSTO"/>
    <n v="7"/>
    <n v="0"/>
    <n v="10800000"/>
    <s v="NO"/>
    <s v="Sub. Gestión Corporativa"/>
    <s v="Fatima Veronica Quintero Nuñez"/>
    <x v="1"/>
    <s v="Subdirector@ de Gestión Corporativa"/>
    <x v="1"/>
    <s v="72101506;_x000a_72154010;"/>
    <s v="No aplica"/>
    <s v="No a"/>
    <s v="l"/>
    <s v="NA"/>
    <s v="NA"/>
    <s v="NA"/>
    <s v="N/A"/>
    <s v="N/A"/>
    <s v="N/A-N/A"/>
    <s v="N/A"/>
    <s v="N/A"/>
    <s v="N/A_N/A"/>
    <s v="N/A-N/A N/A_N/A"/>
    <s v="NANANAN/AN/A"/>
    <s v="N/A"/>
    <s v="No Aplica"/>
    <s v="Si Secop "/>
    <s v="20260535-BS-No a-l-Mantenimiento correctivo y preventivo con suministro de repuestos ascensor estación de bomberos Bellavista B-9 - SGC"/>
  </r>
  <r>
    <n v="20260536"/>
    <s v="Prestación del servicio para inspección y certificación correspondientes a los sistemas de transporte vertical (ascensores) a cargo de la Unidad Administrativa Especial Cuerpo Oficial de Bomberos Bogotá D.C – SGC"/>
    <s v="04 - contratación mínima cuantía"/>
    <x v="1"/>
    <s v="03 - contrato de prestacion de servicios"/>
    <s v="SEPTIEMBRE"/>
    <n v="2"/>
    <n v="0"/>
    <n v="1500000"/>
    <s v="NO"/>
    <s v="Sub. Gestión Corporativa"/>
    <s v="Fatima Veronica Quintero Nuñez"/>
    <x v="1"/>
    <s v="Subdirector@ de Gestión Corporativa"/>
    <x v="1"/>
    <s v="81141503;_x000a_81141804;"/>
    <s v="No aplica"/>
    <s v="No a"/>
    <s v="l"/>
    <s v="NA"/>
    <s v="NA"/>
    <s v="NA"/>
    <s v="N/A"/>
    <s v="N/A"/>
    <s v="N/A-N/A"/>
    <s v="N/A"/>
    <s v="N/A"/>
    <s v="N/A_N/A"/>
    <s v="N/A-N/A N/A_N/A"/>
    <s v="NANANAN/AN/A"/>
    <s v="N/A"/>
    <s v="No Aplica"/>
    <s v="Si Secop "/>
    <s v="20260536-BS-No a-l-Prestación del servicio para inspección y certificación correspondientes a los sistemas de transporte vertical (ascensores) a cargo de la Unidad Administrativa Especial Cuerpo Oficial de Bomberos Bogotá D.C – SGC"/>
  </r>
  <r>
    <n v="20260537"/>
    <s v="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01 - licitación pública"/>
    <x v="1"/>
    <s v="15 - contrato de seguros"/>
    <s v="ABRIL"/>
    <n v="12"/>
    <n v="0"/>
    <n v="6415727800"/>
    <s v="NO"/>
    <s v="Sub. Gestión Corporativa"/>
    <s v="Fatima Veronica Quintero Nuñez"/>
    <x v="1"/>
    <s v="Subdirector@ de Gestión Corporativa"/>
    <x v="1"/>
    <s v="84131501;_x000a_84131503;_x000a_84131504;_x000a_84131512;_x000a_84131513;_x000a_84131515; _x000a_84131601,_x000a_84131603;_x000a_84131607;_x000a_84131515;"/>
    <s v="No aplica"/>
    <s v="No a"/>
    <s v="l"/>
    <s v="NA"/>
    <s v="NA"/>
    <s v="NA"/>
    <s v="N/A"/>
    <s v="N/A"/>
    <s v="N/A-N/A"/>
    <s v="N/A"/>
    <s v="N/A"/>
    <s v="N/A_N/A"/>
    <s v="N/A-N/A N/A_N/A"/>
    <s v="NANANAN/AN/A"/>
    <s v="N/A"/>
    <s v="No Aplica"/>
    <s v="Si Secop "/>
    <s v="20260537-BS-No a-l-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r>
  <r>
    <n v="20260538"/>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x v="0"/>
    <s v="25 - contrato de prestacion de servicios profesionales"/>
    <s v="ENERO"/>
    <n v="11"/>
    <n v="0"/>
    <n v="5677200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38-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539"/>
    <s v="Adquirir máquinas de grabado láser para el plaqueteo y/o marcación de los bienes devolutivos de la UAECOB, con el fin de garantizar el correcto control del inventario mediante rótulos duraderos y resistentes-SGC"/>
    <s v="06 - contrato de compraventa"/>
    <x v="1"/>
    <s v="04 - contratación mínima cuantía"/>
    <s v="MARZO"/>
    <n v="3"/>
    <n v="0"/>
    <n v="62000000"/>
    <s v="NO"/>
    <s v="Sub. Gestión Corporativa"/>
    <s v="Fatima Veronica Quintero Nuñez"/>
    <x v="2"/>
    <s v="Subdirector@ de Gestión del Riesgo"/>
    <x v="0"/>
    <s v="23153602;"/>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1010030208 Otra maquinaria para usos especiales y sus partes y piezas"/>
    <s v="Si Secop "/>
    <s v="20260539-BS-8173-1-Adquirir máquinas de grabado láser para el plaqueteo y/o marcación de los bienes devolutivos de la UAECOB, con el fin de garantizar el correcto control del inventario mediante rótulos duraderos y resistentes-SGC"/>
  </r>
  <r>
    <n v="20260540"/>
    <s v="Prestación de servicios profesionales jurídicos en virtud de las funciones asignadas a la Dirección General de la UAECOB, para apoyar los procesos contractuales y actividades administrativas requeridas."/>
    <s v="09 - contratación directa"/>
    <x v="0"/>
    <s v="25 - contrato de prestacion de servicios profesionales"/>
    <s v="FEBRERO"/>
    <n v="11"/>
    <n v="0"/>
    <n v="61600000"/>
    <s v="NO"/>
    <s v="Dirección"/>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0-TH-8126-9-Prestación de servicios profesionales jurídicos en virtud de las funciones asignadas a la Dirección General de la UAECOB, para apoyar los procesos contractuales y actividades administrativas requeridas."/>
  </r>
  <r>
    <n v="20260541"/>
    <s v="Prestar servicios profesionales a la Dirección General en actividades de articulación interinstitucional entre las diferentes dependencias, entidades del sector, y demás que estén relacionadas con la misionalidad de la UAECOB."/>
    <s v="09 - contratación directa"/>
    <x v="0"/>
    <s v="25 - contrato de prestacion de servicios profesionales"/>
    <s v="FEBRERO"/>
    <n v="11"/>
    <n v="0"/>
    <n v="88000000"/>
    <s v="NO"/>
    <s v="Dirección"/>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1-TH-8126-9-Prestar servicios profesionales a la Dirección General en actividades de articulación interinstitucional entre las diferentes dependencias, entidades del sector, y demás que estén relacionadas con la misionalidad de la UAECOB."/>
  </r>
  <r>
    <n v="20260542"/>
    <s v="Prestar servicios profesionales especializados en el desarrollo de las actividades y de los diferentes procesos que tiene a su cargo y bajo su seguimiento la Dirección General de la UAE Cuerpo Oficial de Bomberos de Bogotá."/>
    <s v="09 - contratación directa"/>
    <x v="0"/>
    <s v="25 - contrato de prestacion de servicios profesionales"/>
    <s v="FEBRERO"/>
    <n v="11"/>
    <n v="0"/>
    <n v="55700000"/>
    <s v="NO"/>
    <s v="Dirección"/>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2-TH-8126-9-Prestar servicios profesionales especializados en el desarrollo de las actividades y de los diferentes procesos que tiene a su cargo y bajo su seguimiento la Dirección General de la UAE Cuerpo Oficial de Bomberos de Bogotá."/>
  </r>
  <r>
    <n v="20260543"/>
    <s v="Prestar servicios profesionales jurídicos en el desarrollo de las actividades y de los diferentes procesos de la Dirección General de la UAE Cuerpo Oficial de Bomberos de Bogotá"/>
    <s v="09 - contratación directa"/>
    <x v="0"/>
    <s v="25 - contrato de prestacion de servicios profesionales"/>
    <s v="FEBRERO"/>
    <n v="11"/>
    <n v="0"/>
    <n v="111100000"/>
    <s v="NO"/>
    <s v="Dirección"/>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3-TH-8126-9-Prestar servicios profesionales jurídicos en el desarrollo de las actividades y de los diferentes procesos de la Dirección General de la UAE Cuerpo Oficial de Bomberos de Bogotá"/>
  </r>
  <r>
    <n v="20260544"/>
    <s v="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s v="09 - contratación directa"/>
    <x v="0"/>
    <s v="25 - contrato de prestacion de servicios profesionales"/>
    <s v="FEBRERO"/>
    <n v="11"/>
    <n v="0"/>
    <n v="61600000"/>
    <s v="NO"/>
    <s v="Dirección"/>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4-TH-8126-9-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r>
  <r>
    <n v="20260545"/>
    <s v="Prestar servicios profesionales jurídicos en la Dirección General de la UAECOB en la revisión, gestión y seguimiento de temas a cargo de la dirección, contratación y estratégicos de la misionalidad de la Entidad"/>
    <s v="09 - contratación directa"/>
    <x v="0"/>
    <s v="25 - contrato de prestacion de servicios profesionales"/>
    <s v="FEBRERO"/>
    <n v="11"/>
    <n v="0"/>
    <n v="90750000"/>
    <s v="NO"/>
    <s v="Dirección"/>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5-TH-8126-9-Prestar servicios profesionales jurídicos en la Dirección General de la UAECOB en la revisión, gestión y seguimiento de temas a cargo de la dirección, contratación y estratégicos de la misionalidad de la Entidad"/>
  </r>
  <r>
    <n v="20260546"/>
    <s v="Prestar servicios de apoyo a la gestión en la UAECOB, en asuntos administrativos y asistenciales requeridos, especificamente en el seguimiento de la información."/>
    <s v="09 - contratación directa"/>
    <x v="0"/>
    <s v="26 - contrato de prestacion de servicios de apoyo a la gestion"/>
    <s v="FEBRERO"/>
    <n v="11"/>
    <n v="0"/>
    <n v="50600000"/>
    <s v="NO"/>
    <s v="Dirección"/>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6-TH-8126-9-Prestar servicios de apoyo a la gestión en la UAECOB, en asuntos administrativos y asistenciales requeridos, especificamente en el seguimiento de la información."/>
  </r>
  <r>
    <n v="20260547"/>
    <s v="Prestar servicios profesionales en el desarrollo de los diferentes procesos que tiene a su cargo la Dirección General de la UAE Cuerpo Oficial de Bomberos de Bogotá."/>
    <s v="09 - contratación directa"/>
    <x v="0"/>
    <s v="25 - contrato de prestacion de servicios profesionales"/>
    <s v="FEBRERO"/>
    <n v="11"/>
    <n v="0"/>
    <n v="90750000"/>
    <s v="NO"/>
    <s v="Dirección"/>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7-TH-8126-9-Prestar servicios profesionales en el desarrollo de los diferentes procesos que tiene a su cargo la Dirección General de la UAE Cuerpo Oficial de Bomberos de Bogotá."/>
  </r>
  <r>
    <n v="20260548"/>
    <s v="Prestar servicios como conductor a la UAECOB, para facilitar el transporte de recursos humanos y demás que le sean indicados en la Dirección General en concordancia al marco de sus funciones"/>
    <s v="09 - contratación directa"/>
    <x v="0"/>
    <s v="26 - contrato de prestacion de servicios de apoyo a la gestion"/>
    <s v="FEBRERO"/>
    <n v="11"/>
    <n v="0"/>
    <n v="43450000"/>
    <s v="NO"/>
    <s v="Dirección"/>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8-TH-8126-9-Prestar servicios como conductor a la UAECOB, para facilitar el transporte de recursos humanos y demás que le sean indicados en la Dirección General en concordancia al marco de sus funciones"/>
  </r>
  <r>
    <n v="20260549"/>
    <s v="Prestar servicios profesionales jurídicos en el desarrollo de las actividades estrategicas de la Dirección General de la UAE Cuerpo Oficial de Bomberos de Bogotá"/>
    <s v="09 - contratación directa"/>
    <x v="0"/>
    <s v="25 - contrato de prestacion de servicios profesionales"/>
    <s v="FEBRERO"/>
    <n v="10"/>
    <n v="0"/>
    <n v="36000000"/>
    <s v="NO"/>
    <s v="Dirección"/>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49-TH-8126-9-Prestar servicios profesionales jurídicos en el desarrollo de las actividades estrategicas de la Dirección General de la UAE Cuerpo Oficial de Bomberos de Bogotá"/>
  </r>
  <r>
    <n v="20260550"/>
    <s v="Prestar servicios profesionales jurídicos en la Dirección General de la UAECOB en la revisión, gestión y seguimiento de temas de infraestructura, POT, plan maestro de equipamiento y procesos contractuales y estratégicos de la misionalidad de la Entidad"/>
    <s v="09 - contratación directa"/>
    <x v="0"/>
    <s v="25 - contrato de prestacion de servicios profesionales"/>
    <s v="FEBRERO"/>
    <n v="11"/>
    <n v="0"/>
    <n v="101200000"/>
    <s v="NO"/>
    <s v="Dirección"/>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50-TH-8126-9-Prestar servicios profesionales jurídicos en la Dirección General de la UAECOB en la revisión, gestión y seguimiento de temas de infraestructura, POT, plan maestro de equipamiento y procesos contractuales y estratégicos de la misionalidad de la Entidad"/>
  </r>
  <r>
    <n v="20260551"/>
    <s v="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
    <s v="09 - contratación directa"/>
    <x v="0"/>
    <s v="25 - contrato de prestacion de servicios profesionales"/>
    <s v="FEBRERO"/>
    <n v="11"/>
    <n v="0"/>
    <n v="90750000"/>
    <s v="NO"/>
    <s v="Dirección"/>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51-TH-8126-9-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
  </r>
  <r>
    <n v="20260552"/>
    <s v="Prestar servicios profesionales especializados en la Dirección General de la UAECOB en la organización y liderazgo de los asuntos relacionados con cooperación técnica internacional y articulación interinstitucional de conformidad a la misionalidad de la entidad."/>
    <s v="09 - contratación directa"/>
    <x v="0"/>
    <s v="25 - contrato de prestacion de servicios profesionales"/>
    <s v="FEBRERO"/>
    <n v="11"/>
    <n v="0"/>
    <n v="110000000"/>
    <s v="NO"/>
    <s v="Dirección"/>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52-TH-8126-9-Prestar servicios profesionales especializados en la Dirección General de la UAECOB en la organización y liderazgo de los asuntos relacionados con cooperación técnica internacional y articulación interinstitucional de conformidad a la misionalidad de la entidad."/>
  </r>
  <r>
    <n v="20260553"/>
    <s v="Prestación de servicios profesionales para gestionar las actividades de articulación interinstitucional, protocolo y demás que le sean indicados en la Dirección General en concordancia al marco de sus funciones"/>
    <s v="09 - contratación directa"/>
    <x v="0"/>
    <s v="25 - contrato de prestacion de servicios profesionales"/>
    <s v="FEBRERO"/>
    <n v="11"/>
    <n v="0"/>
    <n v="90750000"/>
    <s v="NO"/>
    <s v="Dirección"/>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53-TH-8126-9-Prestación de servicios profesionales para gestionar las actividades de articulación interinstitucional, protocolo y demás que le sean indicados en la Dirección General en concordancia al marco de sus funciones"/>
  </r>
  <r>
    <n v="20260554"/>
    <s v="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
    <s v="09 - contratación directa"/>
    <x v="0"/>
    <s v="25 - contrato de prestacion de servicios profesionales"/>
    <s v="FEBRERO"/>
    <n v="10"/>
    <n v="0"/>
    <n v="78300000"/>
    <s v="NO"/>
    <s v="Dirección"/>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54-TH-8126-9-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
  </r>
  <r>
    <n v="20260555"/>
    <s v="Prestar servicios profesionales especializados en la Dirección General de la UAECOB en la organización y liderazgo de los asuntos relacionados con comunicaciones de conformidad a la misionalidad de la entidad."/>
    <s v="09 - contratación directa"/>
    <x v="0"/>
    <s v="25 - contrato de prestacion de servicios profesionales"/>
    <s v="FEBRERO"/>
    <n v="10"/>
    <n v="0"/>
    <n v="1070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55-TH-8126-1-Prestar servicios profesionales especializados en la Dirección General de la UAECOB en la organización y liderazgo de los asuntos relacionados con comunicaciones de conformidad a la misionalidad de la entidad."/>
  </r>
  <r>
    <n v="20260556"/>
    <s v="Prestación de servicios profesionales en la Dirección en comunicaciones y prensa, para apoyar la difusión de la información al público interno y externo de la UAECOB."/>
    <s v="09 - contratación directa"/>
    <x v="0"/>
    <s v="25 - contrato de prestacion de servicios profesionales"/>
    <s v="FEBRERO"/>
    <n v="10"/>
    <n v="0"/>
    <n v="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56-TH-8126-1-Prestación de servicios profesionales en la Dirección en comunicaciones y prensa, para apoyar la difusión de la información al público interno y externo de la UAECOB."/>
  </r>
  <r>
    <n v="20260557"/>
    <s v="Prestar servicios de apoyo para la gestión en asuntos de comunicaciones y prensa en la Dirección General, y demás acciones encaminadas al cumplimiento de las estrategias comunicacionales de la UAECOB"/>
    <s v="09 - contratación directa"/>
    <x v="0"/>
    <s v="26 - contrato de prestacion de servicios de apoyo a la gestion"/>
    <s v="FEBRERO"/>
    <n v="10"/>
    <n v="0"/>
    <n v="235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57-TH-8126-1-Prestar servicios de apoyo para la gestión en asuntos de comunicaciones y prensa en la Dirección General, y demás acciones encaminadas al cumplimiento de las estrategias comunicacionales de la UAECOB"/>
  </r>
  <r>
    <n v="20260558"/>
    <s v="Prestación de servicios profesionales en asuntos de comunicaciones y prensa para apoyar la divulgación y socialización de la información relacionada con la misionalidad de la UAECOB de manera interna y externa"/>
    <s v="09 - contratación directa"/>
    <x v="0"/>
    <s v="25 - contrato de prestacion de servicios profesionales"/>
    <s v="FEBRERO"/>
    <n v="10"/>
    <n v="0"/>
    <n v="700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58-TH-8126-1-Prestación de servicios profesionales en asuntos de comunicaciones y prensa para apoyar la divulgación y socialización de la información relacionada con la misionalidad de la UAECOB de manera interna y externa"/>
  </r>
  <r>
    <n v="20260559"/>
    <s v="Prestar servicios profesionales para apoyar el desarrollo de estrategias de la dirección general, en asuntos relacionados con comunicaciones y prensa, encaminadas al posicionamiento, imagen y divulgación corporativa de la entidad y dirigidas a sus públicos internos"/>
    <s v="09 - contratación directa"/>
    <x v="0"/>
    <s v="25 - contrato de prestacion de servicios profesionales"/>
    <s v="FEBRERO"/>
    <n v="10"/>
    <n v="0"/>
    <n v="825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59-TH-8126-1-Prestar servicios profesionales para apoyar el desarrollo de estrategias de la dirección general, en asuntos relacionados con comunicaciones y prensa, encaminadas al posicionamiento, imagen y divulgación corporativa de la entidad y dirigidas a sus públicos internos"/>
  </r>
  <r>
    <n v="20260560"/>
    <s v="Prestar servicios profesionales en la Dirección General para  el manejo de redes sociales de la entidad y apoyo periodistico requerido en el marco de la estrategia de comunicaciones y prensa de la UEACOB."/>
    <s v="09 - contratación directa"/>
    <x v="0"/>
    <s v="25 - contrato de prestacion de servicios profesionales"/>
    <s v="FEBRERO"/>
    <n v="10"/>
    <n v="0"/>
    <n v="650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0-TH-8126-1-Prestar servicios profesionales en la Dirección General para  el manejo de redes sociales de la entidad y apoyo periodistico requerido en el marco de la estrategia de comunicaciones y prensa de la UEACOB."/>
  </r>
  <r>
    <n v="20260561"/>
    <s v="Prestar servicios profesionales en la Dirección General para el manejo de redes sociales, divulgación, socialización de información y apoyo periodístico, requerido en el marco de la estrategia de comunicaciones y prensa de la UAECOB."/>
    <s v="09 - contratación directa"/>
    <x v="0"/>
    <s v="25 - contrato de prestacion de servicios profesionales"/>
    <s v="FEBRERO"/>
    <n v="10"/>
    <n v="0"/>
    <n v="620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1-TH-8126-1-Prestar servicios profesionales en la Dirección General para el manejo de redes sociales, divulgación, socialización de información y apoyo periodístico, requerido en el marco de la estrategia de comunicaciones y prensa de la UAECOB."/>
  </r>
  <r>
    <n v="20260562"/>
    <s v="Prestación de servicios profesionales para apoyar a la Dirección en la elaboración, diseño y diagramación de piezas requeridas para los planes, programas, proyectos y procedimientos"/>
    <s v="09 - contratación directa"/>
    <x v="0"/>
    <s v="25 - contrato de prestacion de servicios profesionales"/>
    <s v="FEBRERO"/>
    <n v="10"/>
    <n v="0"/>
    <n v="650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2-TH-8126-1-Prestación de servicios profesionales para apoyar a la Dirección en la elaboración, diseño y diagramación de piezas requeridas para los planes, programas, proyectos y procedimientos"/>
  </r>
  <r>
    <n v="20260563"/>
    <s v="Prestar apoyo técnico en la Dirección, en asuntos de comunicaciones y prensa, para la producción, diseño y edición de material audiovisual de la UAECOB."/>
    <s v="09 - contratación directa"/>
    <x v="0"/>
    <s v="26 - contrato de prestacion de servicios de apoyo a la gestion"/>
    <s v="FEBRERO"/>
    <n v="10"/>
    <n v="0"/>
    <n v="235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3-TH-8126-1-Prestar apoyo técnico en la Dirección, en asuntos de comunicaciones y prensa, para la producción, diseño y edición de material audiovisual de la UAECOB."/>
  </r>
  <r>
    <n v="20260564"/>
    <s v="Prestar servicios profesionales especializados a la Dirección General de la UAECOB en la construcción ,acompañamiento, seguimiento y fortalecimiento de las estrategias de comunicación que adelante la entidad dentro del Distrito Capital"/>
    <s v="09 - contratación directa"/>
    <x v="0"/>
    <s v="25 - contrato de prestacion de servicios profesionales"/>
    <s v="FEBRERO"/>
    <n v="10"/>
    <n v="0"/>
    <n v="1000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4-TH-8126-1-Prestar servicios profesionales especializados a la Dirección General de la UAECOB en la construcción ,acompañamiento, seguimiento y fortalecimiento de las estrategias de comunicación que adelante la entidad dentro del Distrito Capital"/>
  </r>
  <r>
    <n v="20260565"/>
    <s v="Prestación de servicios profesionales en asuntos de comunicaciones y prensa para apoyar las labores de reportería, periodismo y de divulgación de información y campañas, de acuerdo con la misionalidad de la UAECOB"/>
    <s v="09 - contratación directa"/>
    <x v="0"/>
    <s v="25 - contrato de prestacion de servicios profesionales"/>
    <s v="FEBRERO"/>
    <n v="10"/>
    <n v="0"/>
    <n v="540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5-TH-8126-1-Prestación de servicios profesionales en asuntos de comunicaciones y prensa para apoyar las labores de reportería, periodismo y de divulgación de información y campañas, de acuerdo con la misionalidad de la UAECOB"/>
  </r>
  <r>
    <n v="20260566"/>
    <s v="Prestar servicios profesionales en comunicación y prensa para apoyar la producción y difusión de contenidos periodísticos y audiovisuales de la UAECOB"/>
    <s v="09 - contratación directa"/>
    <x v="0"/>
    <s v="25 - contrato de prestacion de servicios profesionales"/>
    <s v="FEBRERO"/>
    <n v="10"/>
    <n v="0"/>
    <n v="540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6-TH-8126-1-Prestar servicios profesionales en comunicación y prensa para apoyar la producción y difusión de contenidos periodísticos y audiovisuales de la UAECOB"/>
  </r>
  <r>
    <n v="20260567"/>
    <s v="Prestar servicios a la Dirección General en la conducción, traslado y movilización de personal, equipos y materiales, garantizando el cumplimiento de las operaciones logísticas y misionales del Cuerpo Oficial de Bomberos de Bogotá"/>
    <s v="09 - contratación directa"/>
    <x v="0"/>
    <s v="26 - contrato de prestacion de servicios de apoyo a la gestion"/>
    <s v="FEBRERO"/>
    <n v="10"/>
    <n v="0"/>
    <n v="21775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7-TH-8126-1-Prestar servicios a la Dirección General en la conducción, traslado y movilización de personal, equipos y materiales, garantizando el cumplimiento de las operaciones logísticas y misionales del Cuerpo Oficial de Bomberos de Bogotá"/>
  </r>
  <r>
    <n v="20260568"/>
    <s v="Prestación de servicios profesionales en asuntos de comunicaciones para realizar el cubrimiento periodístico, fotográfico y audiovisual de las actividades operativas y misionales de la UAECOB, así como la elaboración de contenidos informativos para su difusión."/>
    <s v="09 - contratación directa"/>
    <x v="0"/>
    <s v="25 - contrato de prestacion de servicios profesionales"/>
    <s v="FEBRERO"/>
    <n v="10"/>
    <n v="0"/>
    <n v="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8-TH-8126-1-Prestación de servicios profesionales en asuntos de comunicaciones para realizar el cubrimiento periodístico, fotográfico y audiovisual de las actividades operativas y misionales de la UAECOB, así como la elaboración de contenidos informativos para su difusión."/>
  </r>
  <r>
    <n v="20260569"/>
    <s v="Prestación de servicios profesionales en la Dirección para el acompañamiento en las labores de gestión administrativa, en asuntos propios de comunicaciones y prensa de la UAECOB"/>
    <s v="09 - contratación directa"/>
    <x v="0"/>
    <s v="25 - contrato de prestacion de servicios profesionales"/>
    <s v="JULIO"/>
    <n v="7"/>
    <n v="0"/>
    <n v="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69-TH-8126-1-Prestación de servicios profesionales en la Dirección para el acompañamiento en las labores de gestión administrativa, en asuntos propios de comunicaciones y prensa de la UAECOB"/>
  </r>
  <r>
    <n v="20260570"/>
    <s v="Prestación de servicios profesionales en asuntos de comunicaciones y prensa para revisar los procesos de comunicación de entidad con el fin de evaluar su eficacia interna y externa y detectar ineficiencias en los canales de comunicación"/>
    <s v="09 - contratación directa"/>
    <x v="0"/>
    <s v="25 - contrato de prestacion de servicios profesionales"/>
    <s v="FEBRERO"/>
    <n v="6"/>
    <n v="0"/>
    <n v="552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70-TH-8126-1-Prestación de servicios profesionales en asuntos de comunicaciones y prensa para revisar los procesos de comunicación de entidad con el fin de evaluar su eficacia interna y externa y detectar ineficiencias en los canales de comunicación"/>
  </r>
  <r>
    <n v="20260571"/>
    <s v="Prestación de servicios como operador logístico, relacionados con la organización, administración y ejecución de las diferentes temáticas que fortalezcan la misionalidad de la entidad a través de la protección de la vida, el medio ambiente y el patrimonio"/>
    <s v="02 - selec. abrev. menor cuantía"/>
    <x v="1"/>
    <s v="24 - contrato de servicio"/>
    <s v="ABRIL"/>
    <n v="10"/>
    <n v="0"/>
    <n v="400000000"/>
    <s v="NO"/>
    <s v="Dirección"/>
    <s v="Paula Ximena Henao Escobar"/>
    <x v="0"/>
    <s v="Subdirector@ de Gestión Corporativa"/>
    <x v="0"/>
    <s v="80141900; 90111500; 90111600; 80141600; 80161502"/>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961 Servicios de organización y asistencia de convenciones"/>
    <s v="Si Secop "/>
    <s v="20260571-BS-8126-9-Prestación de servicios como operador logístico, relacionados con la organización, administración y ejecución de las diferentes temáticas que fortalezcan la misionalidad de la entidad a través de la protección de la vida, el medio ambiente y el patrimonio"/>
  </r>
  <r>
    <n v="20260572"/>
    <s v="Prestar  servicios profesionales  en las actividades de proyeccion e innovacion para la Subdirección de Gestión del Riesgo._SGR"/>
    <s v="09 - contratación directa"/>
    <x v="0"/>
    <s v="25 - contrato de prestacion de servicios profesionales"/>
    <s v="ENERO"/>
    <n v="6"/>
    <n v="0"/>
    <n v="30000000"/>
    <s v="NO"/>
    <s v="Sub. Gestión Riesgos"/>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572-TH-8173-5-Prestar  servicios profesionales  en las actividades de proyeccion e innovacion para la Subdirección de Gestión del Riesgo._SGR"/>
  </r>
  <r>
    <n v="20260573"/>
    <s v="Prestar  servicios profesionales  en las actividades de proyeccion e innovacion para la Subdirección de Gestión del Riesgo._SGR"/>
    <s v="09 - contratación directa"/>
    <x v="0"/>
    <s v="25 - contrato de prestacion de servicios profesionales"/>
    <s v="ENERO"/>
    <n v="6"/>
    <n v="0"/>
    <n v="36000000"/>
    <s v="NO"/>
    <s v="Sub. Gestión Riesgos"/>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573-TH-8173-5-Prestar  servicios profesionales  en las actividades de proyeccion e innovacion para la Subdirección de Gestión del Riesgo._SGR"/>
  </r>
  <r>
    <n v="20260574"/>
    <s v="Prestar  servicios profesionales  en las actividades de proyeccion e innovacion para la Subdirección de Gestión del Riesgo._SGR"/>
    <s v="09 - contratación directa"/>
    <x v="0"/>
    <s v="25 - contrato de prestacion de servicios profesionales"/>
    <s v="ENERO"/>
    <n v="6"/>
    <n v="0"/>
    <n v="54600000"/>
    <s v="NO"/>
    <s v="Sub. Gestión Riesgos"/>
    <s v="William Tovar Segura"/>
    <x v="2"/>
    <s v="Subdirector@ de Gestión del Riesgo"/>
    <x v="0"/>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s v="O23011745032024025516018"/>
    <s v="PM/0131/0116/45030180255"/>
    <s v="O232020200991191 Servicios administrativos relacionados con los trabajadores estatales"/>
    <s v="Si Secop "/>
    <s v="20260574-TH-8173-5-Prestar  servicios profesionales  en las actividades de proyeccion e innovacion para la Subdirección de Gestión del Riesgo._SGR"/>
  </r>
  <r>
    <n v="20260575"/>
    <s v="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
    <s v="09 - contratación directa"/>
    <x v="0"/>
    <s v="25 - contrato de prestacion de servicios profesionales"/>
    <s v="ENERO"/>
    <n v="8"/>
    <n v="0"/>
    <n v="560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575-TH-8173-9-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
  </r>
  <r>
    <n v="20260576"/>
    <s v="Prestación de servicios profesionales en asuntos de comunicaciones y prensa para detectar las necesidades de la Entidad y facilitar la inserción de nuevas estrategias de comunicación"/>
    <s v="09 - contratación directa"/>
    <x v="0"/>
    <s v="25 - contrato de prestacion de servicios profesionales"/>
    <s v="FEBRERO"/>
    <n v="6"/>
    <n v="0"/>
    <n v="408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576-TH-8126-1-Prestación de servicios profesionales en asuntos de comunicaciones y prensa para detectar las necesidades de la Entidad y facilitar la inserción de nuevas estrategias de comunicación"/>
  </r>
  <r>
    <n v="20260577"/>
    <s v="Prestar servicios de apoyo técnico en las herramientas tecnologicas para el desarrollo de las estrategias de la Subdirección  Logística-SBLG"/>
    <s v="09 - contratación directa"/>
    <x v="0"/>
    <s v="26 - contrato de prestacion de servicios de apoyo a la gestion"/>
    <s v="ENERO"/>
    <n v="6"/>
    <n v="0"/>
    <n v="216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577-TH-8173-4-Prestar servicios de apoyo técnico en las herramientas tecnologicas para el desarrollo de las estrategias de la Subdirección  Logística-SBLG"/>
  </r>
  <r>
    <n v="20260578"/>
    <s v="Prestar servicios de apoyo a la gestión en las actividades de soporte operacional de la UAECOB Subdirección Logística. SBLG"/>
    <s v="09 - contratación directa"/>
    <x v="0"/>
    <s v="26 - contrato de prestacion de servicios de apoyo a la gestion"/>
    <s v="ENERO"/>
    <n v="5"/>
    <n v="0"/>
    <n v="164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578-TH-8173-4-Prestar servicios de apoyo a la gestión en las actividades de soporte operacional de la UAECOB Subdirección Logística. SBLG"/>
  </r>
  <r>
    <n v="20260579"/>
    <s v="Prestar servicios de apoyo a la gestión en actividades administrativas y documentales que se desarrollen en la Subdirección Logística – SBLG&quot;."/>
    <s v="09 - contratación directa"/>
    <x v="0"/>
    <s v="26 - contrato de prestacion de servicios de apoyo a la gestion"/>
    <s v="ENERO"/>
    <n v="5"/>
    <n v="0"/>
    <n v="21388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579-TH-8173-4-Prestar servicios de apoyo a la gestión en actividades administrativas y documentales que se desarrollen en la Subdirección Logística – SBLG&quot;."/>
  </r>
  <r>
    <n v="20260580"/>
    <s v="Prestación de servicios de apoyo a la gestión para realizar actividades documentales, administrativas relacionadas para el desarrollo de las estrategias de la Subdirección Logística. SBLG"/>
    <s v="09 - contratación directa"/>
    <x v="0"/>
    <s v="26 - contrato de prestacion de servicios de apoyo a la gestion"/>
    <s v="ENERO"/>
    <n v="6"/>
    <n v="0"/>
    <n v="1968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580-TH-8173-4-Prestación de servicios de apoyo a la gestión para realizar actividades documentales, administrativas relacionadas para el desarrollo de las estrategias de la Subdirección Logística. SBLG"/>
  </r>
  <r>
    <n v="20260581"/>
    <s v="Prestar servicios de apoyo a la gestión en el manejo de las herramientas tecnológicas en diligenciamiento, seguimiento y control de las herramientas de gestión asociadas a la mesa logística de la Subdirección Logística. – SBLG"/>
    <s v="09 - contratación directa"/>
    <x v="0"/>
    <s v="26 - contrato de prestacion de servicios de apoyo a la gestion"/>
    <s v="ENERO"/>
    <n v="6"/>
    <n v="0"/>
    <n v="1968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581-TH-8173-4-Prestar servicios de apoyo a la gestión en el manejo de las herramientas tecnológicas en diligenciamiento, seguimiento y control de las herramientas de gestión asociadas a la mesa logística de la Subdirección Logística. – SBLG"/>
  </r>
  <r>
    <n v="20260582"/>
    <s v="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
    <s v="09 - contratación directa"/>
    <x v="0"/>
    <s v="25 - contrato de prestacion de servicios profesionales"/>
    <s v="ENERO"/>
    <n v="6"/>
    <n v="0"/>
    <n v="330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582-TH-8173-9-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
  </r>
  <r>
    <n v="20260583"/>
    <s v="SGH – Prestar servicios de apoyo a la gestión en la Subdirección de Gestión Humana,  para la organización, actualización, clasificación y sistematización de los expedientes de incapacidades, así como la consolidación de la información en los sistemas y bases de datos institucionales y demás actividades propias del área de nómina que le sean asignadas, de conformidad con los lineamientos y procedimientos definidos por la entidad."/>
    <s v="09 - contratación directa"/>
    <x v="0"/>
    <s v="26 - contrato de prestacion de servicios de apoyo a la gestion"/>
    <s v="ENERO"/>
    <n v="6"/>
    <n v="0"/>
    <n v="240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83-TH-8126-9-SGH – Prestar servicios de apoyo a la gestión en la Subdirección de Gestión Humana,  para la organización, actualización, clasificación y sistematización de los expedientes de incapacidades, así como la consolidación de la información en los sistemas y bases de datos institucionales y demás actividades propias del área de nómina que le sean asignadas, de conformidad con los lineamientos y procedimientos definidos por la entidad."/>
  </r>
  <r>
    <n v="20260584"/>
    <s v="Prestación de servicios de apoyo al proceso de comunicaciones en emergencias del centro de coordinación y comunicaciones (c.c.c.), para el desarrollo de los programas a cargo de la Subdirección Operativa-S.O."/>
    <s v="09 - contratación directa"/>
    <x v="0"/>
    <s v="26 - contrato de prestacion de servicios de apoyo a la gestion"/>
    <s v="ENERO"/>
    <n v="7"/>
    <n v="0"/>
    <n v="217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584-TH-8173-2-Prestación de servicios de apoyo al proceso de comunicaciones en emergencias del centro de coordinación y comunicaciones (c.c.c.), para el desarrollo de los programas a cargo de la Subdirección Operativa-S.O."/>
  </r>
  <r>
    <n v="20260585"/>
    <s v="Prestación de servicios profesionales para apoyar en el análisis de información, reportes, y seguimientos relacionados con la atención de emergencias de la entidad y de los programas a cargo de la Subdirección Operativa-S.O."/>
    <s v="09 - contratación directa"/>
    <x v="0"/>
    <s v="25 - contrato de prestacion de servicios profesionales"/>
    <s v="ENERO"/>
    <n v="11"/>
    <n v="0"/>
    <n v="66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585-TH-8173-2-Prestación de servicios profesionales para apoyar en el análisis de información, reportes, y seguimientos relacionados con la atención de emergencias de la entidad y de los programas a cargo de la Subdirección Operativa-S.O."/>
  </r>
  <r>
    <n v="20260586"/>
    <s v="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
    <s v="09 - contratación directa"/>
    <x v="0"/>
    <s v="25 - contrato de prestacion de servicios profesionales"/>
    <s v="ENERO"/>
    <n v="6"/>
    <n v="0"/>
    <n v="36000000"/>
    <s v="NO"/>
    <s v="Dirección Tic"/>
    <s v="Paula Ximena Henao Escobar"/>
    <x v="0"/>
    <s v="Subdirector@ de Gestión Corporativa"/>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586-TH-8126-7-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
  </r>
  <r>
    <n v="20260587"/>
    <s v="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
    <s v="09 - contratación directa"/>
    <x v="0"/>
    <s v="25 - contrato de prestacion de servicios profesionales"/>
    <s v="ENERO"/>
    <n v="6"/>
    <n v="0"/>
    <n v="36000000"/>
    <s v="NO"/>
    <s v="Dirección Tic"/>
    <s v="Paula Ximena Henao Escobar"/>
    <x v="0"/>
    <s v="Subdirector@ de Gestión Corporativa"/>
    <x v="0"/>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Si Secop "/>
    <s v="20260587-TH-8126-7-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
  </r>
  <r>
    <n v="20260588"/>
    <s v="Adición y prórroga No. 1 al contrato 698 de 2025 que tiene como objeto “Prestar el servicio y mantenimiento de equipos de higienización, desodorización y aromatización para la UAECOB-SGC&quot;"/>
    <s v="04 - contratación mínima cuantía"/>
    <x v="1"/>
    <s v="08 - contrato de suministro"/>
    <s v="MARZO"/>
    <n v="1"/>
    <n v="12"/>
    <n v="2386600"/>
    <s v="NO"/>
    <s v="Sub. Gestión Corporativa"/>
    <s v="Fatima Veronica Quintero Nuñez"/>
    <x v="0"/>
    <s v="Subdirector@ de Gestión Corporativa"/>
    <x v="0"/>
    <s v="76101501;_x000a_47131829;"/>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330 Servicios de limpieza general"/>
    <s v="No Secop"/>
    <s v="20260588-BS-8126-8-Adición y prórroga No. 1 al contrato 698 de 2025 que tiene como objeto “Prestar el servicio y mantenimiento de equipos de higienización, desodorización y aromatización para la UAECOB-SGC&quot;"/>
  </r>
  <r>
    <n v="20260589"/>
    <s v="Prestación de servicios profesionales para apoyar las actividades jurídicas de la Subdirección de Gestión Corporativa-SGC"/>
    <s v="09 - contratación directa"/>
    <x v="0"/>
    <s v="25 - contrato de prestacion de servicios profesionales"/>
    <s v="ENERO"/>
    <n v="10"/>
    <n v="0"/>
    <n v="51610870"/>
    <s v="NO"/>
    <s v="Sub. Gestión Corporativa"/>
    <s v="Fatima Veronica Quintero Nuñez"/>
    <x v="2"/>
    <s v="Subdirector@ de Gestión del Riesgo"/>
    <x v="0"/>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20200991191 Servicios administrativos relacionados con los trabajadores estatales"/>
    <s v="Si Secop "/>
    <s v="20260589-TH-8173-7-Prestación de servicios profesionales para apoyar las actividades jurídicas de la Subdirección de Gestión Corporativa-SGC"/>
  </r>
  <r>
    <n v="20260590"/>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x v="0"/>
    <s v="26 - contrato de prestacion de servicios de apoyo a la gestion"/>
    <s v="ENERO"/>
    <n v="6"/>
    <n v="0"/>
    <n v="19705968"/>
    <s v="NO"/>
    <s v="Sub. Gestión Corporativa"/>
    <s v="Fatima Veronica Quintero Nuñez"/>
    <x v="0"/>
    <s v="Subdirector@ de Gestión Corporativa"/>
    <x v="0"/>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90-TH-8126-8-Prestación de servicios de apoyo a la gestión, en la Subdirección de Gestión Corporativa en temas de infraestructura para el sostenimiento y mejoramiento de los equipamientos de la Unidad Administrativa Especial Cuerpo Oficial de Bomberos de Bogotá-SGC"/>
  </r>
  <r>
    <n v="20260592"/>
    <s v="Prestación de servicios de apoyo a la gestión del proceso de inventarios de la Subdirección de Gestión Corporativa.-SGC"/>
    <s v="09 - contratación directa"/>
    <x v="0"/>
    <s v="26 - contrato de prestacion de servicios de apoyo a la gestion"/>
    <s v="ENERO"/>
    <n v="6"/>
    <n v="0"/>
    <n v="19705968"/>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92-TH-8126-9-Prestación de servicios de apoyo a la gestión del proceso de inventarios de la Subdirección de Gestión Corporativa.-SGC"/>
  </r>
  <r>
    <n v="20260594"/>
    <s v="Prestación de servicios profesionales, en temas jurídicos de la gestión administrativa a cargo de la Subdirección de Gestión Corporativa.- SGC"/>
    <s v="09 - contratación directa"/>
    <x v="0"/>
    <s v="25 - contrato de prestacion de servicios profesionales"/>
    <s v="ENERO"/>
    <n v="10"/>
    <n v="0"/>
    <n v="5161087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594-TH-8126-9-Prestación de servicios profesionales, en temas jurídicos de la gestión administrativa a cargo de la Subdirección de Gestión Corporativa.- SGC"/>
  </r>
  <r>
    <n v="20260595"/>
    <s v="Adición No. 1 al contrato 698 de 2025 que tiene como objeto “Mantenimiento preventivo y/o correctivo, suministros y repuestos de los equipos gasodomésticos y solares y adecuaciones de las redes de gas natural para las Estaciones de la Unidad Administrativa Especial Cuerpo Oficial de Bomberos Bogotá -SGC"/>
    <s v="03 - selec. abrev. subasta inversa"/>
    <x v="1"/>
    <s v="17 - contrato de mantenimiento"/>
    <s v="FEBRERO"/>
    <n v="0"/>
    <n v="0"/>
    <n v="20000000"/>
    <s v="NO"/>
    <s v="Sub. Gestión Corporativa"/>
    <s v="Fatima Veronica Quintero Nuñez"/>
    <x v="0"/>
    <s v="Subdirector@ de Gestión Corporativa"/>
    <x v="0"/>
    <s v="72151001;_x000a_72101503;_x000a_72101504;_x000a_ 72101506; _x000a_72153208;_x000a_ 72154019;"/>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208 Otra maquinaria para usos especiales y sus partes y piezas"/>
    <s v="No Secop"/>
    <s v="20260595-BS-8126-8-Adición No. 1 al contrato 698 de 2025 que tiene como objeto “Mantenimiento preventivo y/o correctivo, suministros y repuestos de los equipos gasodomésticos y solares y adecuaciones de las redes de gas natural para las Estaciones de la Unidad Administrativa Especial Cuerpo Oficial de Bomberos Bogotá -SGC"/>
  </r>
  <r>
    <n v="20260596"/>
    <s v="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
    <s v="01 - licitación pública"/>
    <x v="1"/>
    <s v="15 - contrato de seguros"/>
    <s v="ABRIL"/>
    <n v="3"/>
    <n v="12"/>
    <n v="2066812200"/>
    <s v="NO"/>
    <s v="Sub. Gestión Corporativa"/>
    <s v="Fatima Veronica Quintero Nuñez"/>
    <x v="1"/>
    <s v="Subdirector@ de Gestión Corporativa"/>
    <x v="1"/>
    <s v="84131501;_x000a_84131503;_x000a_84131504;_x000a_84131512;_x000a_84131513;_x000a_84131515; _x000a_84131601,_x000a_84131603;_x000a_84131607;_x000a_84131515;"/>
    <s v="No aplica"/>
    <s v="No a"/>
    <s v="l"/>
    <s v="NA"/>
    <s v="NA"/>
    <s v="NA"/>
    <s v="N/A"/>
    <s v="N/A"/>
    <s v="N/A-N/A"/>
    <s v="N/A"/>
    <s v="N/A"/>
    <s v="N/A_N/A"/>
    <s v="N/A-N/A N/A_N/A"/>
    <s v="NANANAN/AN/A"/>
    <s v="N/A"/>
    <s v="No Aplica"/>
    <s v="No Secop"/>
    <s v="20260596-BS-No a-l-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
  </r>
  <r>
    <n v="20260597"/>
    <s v=" Adición No. 1 al contrato 578 de 2025 que tiene como objeto “  Contratar los seguros obligatorios &quot;SOAT&quot; para el parque automotor de propiedad de la Unidad Administrativa Especial Cuerpo Oficial de Bomberos Bogotá D.C y de aquellos por los cuales fuere legalmente responsable-SGC"/>
    <s v="02 - selec. abrev. menor cuantía"/>
    <x v="1"/>
    <s v="15 - contrato de seguros"/>
    <s v="JUNIO"/>
    <n v="12"/>
    <n v="0"/>
    <n v="60000000"/>
    <s v="NO"/>
    <s v="Sub. Gestión Corporativa"/>
    <s v="Fatima Veronica Quintero Nuñez"/>
    <x v="1"/>
    <s v="Subdirector@ de Gestión Corporativa"/>
    <x v="1"/>
    <s v="84131501;_x000a_84131503;_x000a_84131504;_x000a_84131512;_x000a_84131513;_x000a_84131515; _x000a_84131601,_x000a_84131603;_x000a_84131607;_x000a_84131515;"/>
    <s v="No aplica"/>
    <s v="No a"/>
    <s v="l"/>
    <s v="NA"/>
    <s v="NA"/>
    <s v="NA"/>
    <s v="N/A"/>
    <s v="N/A"/>
    <s v="N/A-N/A"/>
    <s v="N/A"/>
    <s v="N/A"/>
    <s v="N/A_N/A"/>
    <s v="N/A-N/A N/A_N/A"/>
    <s v="NANANAN/AN/A"/>
    <s v="N/A"/>
    <s v="No Aplica"/>
    <s v="No Secop"/>
    <s v="20260597-BS-No a-l- Adición No. 1 al contrato 578 de 2025 que tiene como objeto “  Contratar los seguros obligatorios &quot;SOAT&quot; para el parque automotor de propiedad de la Unidad Administrativa Especial Cuerpo Oficial de Bomberos Bogotá D.C y de aquellos por los cuales fuere legalmente responsable-SGC"/>
  </r>
  <r>
    <n v="20260598"/>
    <s v="Adición y prórroga No. 2 al contrato 597 de 2025  que tiene como objeto &quot; Contratar la prestación del servicio de aseo y cafetería incluido insumos para la UAE Cuerpo Oficial de Bomberos -SGC"/>
    <s v="17 - acuerdo marco de precios"/>
    <x v="1"/>
    <s v="03 - contrato de prestacion de servicios"/>
    <s v="ENERO"/>
    <n v="1"/>
    <n v="0"/>
    <n v="45000000"/>
    <s v="NO"/>
    <s v="Sub. Gestión Corporativa"/>
    <s v="Fatima Veronica Quintero Nuñez"/>
    <x v="0"/>
    <s v="Subdirector@ de Gestión Corporativa"/>
    <x v="0"/>
    <s v="44121700;_x000a_44121800;_x000a_44121900;_x000a_44122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330 Servicios de limpieza general"/>
    <s v="No Secop"/>
    <s v="20260598-BS-8126-8-Adición y prórroga No. 2 al contrato 597 de 2025  que tiene como objeto &quot; Contratar la prestación del servicio de aseo y cafetería incluido insumos para la UAE Cuerpo Oficial de Bomberos -SGC"/>
  </r>
  <r>
    <n v="20260599"/>
    <s v="Adición y prórroga No. 2 al contrato 597 de 2025  que tiene como objeto &quot; Contratar la prestación del servicio de aseo y cafetería incluido insumos para la UAE Cuerpo Oficial de Bomberos -SGC"/>
    <s v="17 - acuerdo marco de precios"/>
    <x v="1"/>
    <s v="03 - contrato de prestacion de servicios"/>
    <s v="ENERO"/>
    <n v="1"/>
    <n v="0"/>
    <n v="45000000"/>
    <s v="NO"/>
    <s v="Sub. Gestión Corporativa"/>
    <s v="Fatima Veronica Quintero Nuñez"/>
    <x v="1"/>
    <s v="Subdirector@ de Gestión Corporativa"/>
    <x v="1"/>
    <s v="44121700;_x000a_44121800;_x000a_44121900;_x000a_44122000;"/>
    <s v="No aplica"/>
    <s v="No a"/>
    <s v="l"/>
    <s v="NA"/>
    <s v="NA"/>
    <s v="NA"/>
    <s v="N/A"/>
    <s v="N/A"/>
    <s v="N/A-N/A"/>
    <s v="N/A"/>
    <s v="N/A"/>
    <s v="N/A_N/A"/>
    <s v="N/A-N/A N/A_N/A"/>
    <s v="NANANAN/AN/A"/>
    <s v="N/A"/>
    <s v="No Aplica"/>
    <s v="No Secop"/>
    <s v="20260599-BS-No a-l-Adición y prórroga No. 2 al contrato 597 de 2025  que tiene como objeto &quot; Contratar la prestación del servicio de aseo y cafetería incluido insumos para la UAE Cuerpo Oficial de Bomberos -SGC"/>
  </r>
  <r>
    <n v="20260600"/>
    <s v="Adición y prórroga No. 2 al contrato 597 de 2025  que tiene como objeto &quot; Contratar la prestación del servicio de aseo y cafetería incluido insumos para la UAE Cuerpo Oficial de Bomberos -SGC"/>
    <s v="17 - acuerdo marco de precios"/>
    <x v="1"/>
    <s v="03 - contrato de prestacion de servicios"/>
    <s v="ENERO"/>
    <n v="1"/>
    <n v="0"/>
    <n v="25000000"/>
    <s v="NO"/>
    <s v="Sub. Gestión Corporativa"/>
    <s v="Fatima Veronica Quintero Nuñez"/>
    <x v="1"/>
    <s v="Subdirector@ de Gestión Corporativa"/>
    <x v="1"/>
    <s v="44121700;_x000a_44121800;_x000a_44121900;_x000a_44122000;"/>
    <s v="No aplica"/>
    <s v="No a"/>
    <s v="l"/>
    <s v="NA"/>
    <s v="NA"/>
    <s v="NA"/>
    <s v="N/A"/>
    <s v="N/A"/>
    <s v="N/A-N/A"/>
    <s v="N/A"/>
    <s v="N/A"/>
    <s v="N/A_N/A"/>
    <s v="N/A-N/A N/A_N/A"/>
    <s v="NANANAN/AN/A"/>
    <s v="N/A"/>
    <s v="No Aplica"/>
    <s v="No Secop"/>
    <s v="20260600-BS-No a-l-Adición y prórroga No. 2 al contrato 597 de 2025  que tiene como objeto &quot; Contratar la prestación del servicio de aseo y cafetería incluido insumos para la UAE Cuerpo Oficial de Bomberos -SGC"/>
  </r>
  <r>
    <n v="20260601"/>
    <s v="Adición No. 01 al contrato 524 de 2025 que tiene como objeto &quot;Mantenimiento preventivo y correctivo, que incluye el suministro de insumos y repuestos de las lavadoras y secadoras industriales ubicadas en las estaciones de bomberos de la UAE Cuerpo Oficial de Bomberos de Bogotá-SGC"/>
    <s v=" 04 - contratación mínima cuantía "/>
    <x v="1"/>
    <s v=" 04 - contratación mínima cuantía "/>
    <s v="ENERO"/>
    <n v="0"/>
    <n v="0"/>
    <n v="23000000"/>
    <s v="NO"/>
    <s v="Sub. Gestión Corporativa"/>
    <s v="Fatima Veronica Quintero Nuñez"/>
    <x v="0"/>
    <s v="Subdirector@ de Gestión Corporativa"/>
    <x v="0"/>
    <s v="47111502;_x000a_47111503;_x000a_73151802;_x000a_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1 Servicios de mantenimiento y reparación de electrodomésticos"/>
    <s v="No Secop"/>
    <s v="20260601-BS-8126-8-Adición No. 01 al contrato 524 de 2025 que tiene como objeto &quot;Mantenimiento preventivo y correctivo, que incluye el suministro de insumos y repuestos de las lavadoras y secadoras industriales ubicadas en las estaciones de bomberos de la UAE Cuerpo Oficial de Bomberos de Bogotá-SGC"/>
  </r>
  <r>
    <n v="20260602"/>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x v="0"/>
    <s v="25 - contrato de prestacion de servicios profesionales"/>
    <s v="ENERO"/>
    <n v="4"/>
    <n v="0"/>
    <n v="22035670"/>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602-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603"/>
    <s v="Suministro de banderas y accesorios para las sedes UAECOB-SGC"/>
    <s v="04 - contratación mínima cuantía"/>
    <x v="1"/>
    <s v="08 - contrato de suministro"/>
    <s v="MAYO"/>
    <n v="4"/>
    <n v="0"/>
    <n v="30000000"/>
    <s v="NO"/>
    <s v="Sub. Gestión Corporativa"/>
    <s v="Fatima Veronica Quintero Nuñez"/>
    <x v="2"/>
    <s v="Subdirector@ de Gestión del Riesgo"/>
    <x v="0"/>
    <s v="56101500; _x000a_56101700; _x000a_56101900; _x000a_56111500; _x000a_48101800;_x000a_48101915;_x000a_24112601;_x000a_49121509;"/>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101004010102 Muebles del tipo utilizado en la oficina"/>
    <s v="Si Secop "/>
    <s v="20260603-BS-8173-1-Suministro de banderas y accesorios para las sedes UAECOB-SGC"/>
  </r>
  <r>
    <n v="20260604"/>
    <s v="Prestar servicios profesionales para el registro, actualización y reporte de los procesos y decisiones disciplinarias expedidas por la Oficina de Control Disciplinario Interno de la UAECOB en el aplicativo Sistema de Información Disciplinario (SID) ."/>
    <s v="09 - contratación directa"/>
    <x v="0"/>
    <s v="25 - contrato de prestacion de servicios profesionales"/>
    <s v="FEBRERO"/>
    <n v="10"/>
    <n v="0"/>
    <n v="50000000"/>
    <s v="NO"/>
    <s v="Oficina de Control Disciplinario Interno"/>
    <s v="Yenire Yohansy Lozano Ascani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604-TH-8126-9-Prestar servicios profesionales para el registro, actualización y reporte de los procesos y decisiones disciplinarias expedidas por la Oficina de Control Disciplinario Interno de la UAECOB en el aplicativo Sistema de Información Disciplinario (SID) ."/>
  </r>
  <r>
    <n v="20260605"/>
    <s v="Adición y prórroga al Contrato 175 de 2025 con objeto &quot;Prestar servicios profesionales especializados en el desarrollo de las actividades y de los diferentes procesos que tiene a su cargo y bajo su seguimiento la Dirección General de la UAE Cuerpo Oficial de Bomberos de Bogotá&quot;"/>
    <s v="09 - contratación directa"/>
    <x v="0"/>
    <s v="25 - contrato de prestacion de servicios profesionales"/>
    <s v="FEBRERO"/>
    <n v="5"/>
    <n v="15"/>
    <n v="53900000"/>
    <s v="NO"/>
    <s v="Dirección"/>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05-TH-8126-9-Adición y prórroga al Contrato 175 de 2025 con objeto &quot;Prestar servicios profesionales especializados en el desarrollo de las actividades y de los diferentes procesos que tiene a su cargo y bajo su seguimiento la Dirección General de la UAE Cuerpo Oficial de Bomberos de Bogotá&quot;"/>
  </r>
  <r>
    <n v="20260606"/>
    <s v="Adición y prórroga al Contrato 460 de 2025 con objeto &quot;Prestar servicios profesionales especializados en el desarrollo de las actividades estrategicas de la Dirección General de la UAE Cuerpo Oficial de Bomberos de Bogotá&quot;"/>
    <s v="09 - contratación directa"/>
    <x v="0"/>
    <s v="25 - contrato de prestacion de servicios profesionales"/>
    <s v="FEBRERO"/>
    <n v="5"/>
    <n v="0"/>
    <n v="50000000"/>
    <s v="NO"/>
    <s v="Dirección"/>
    <s v="Paula Ximena Henao Escobar"/>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06-TH-8126-9-Adición y prórroga al Contrato 460 de 2025 con objeto &quot;Prestar servicios profesionales especializados en el desarrollo de las actividades estrategicas de la Dirección General de la UAE Cuerpo Oficial de Bomberos de Bogotá&quot;"/>
  </r>
  <r>
    <n v="20260607"/>
    <s v="Adición y prórroga al Contrato 211 de 2025 con objeto &quot;Prestación de servicios profesionales en la Dirección en comunicaciones y prensa, para apoyar la difusión de la información al público interno y externo de la UAECOB&quot;"/>
    <s v="09 - contratación directa"/>
    <x v="0"/>
    <s v="25 - contrato de prestacion de servicios profesionales"/>
    <s v="FEBRERO"/>
    <n v="5"/>
    <n v="0"/>
    <n v="300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No Secop"/>
    <s v="20260607-TH-8126-1-Adición y prórroga al Contrato 211 de 2025 con objeto &quot;Prestación de servicios profesionales en la Dirección en comunicaciones y prensa, para apoyar la difusión de la información al público interno y externo de la UAECOB&quot;"/>
  </r>
  <r>
    <n v="20260608"/>
    <s v="Adición y prórroga al Contrato 202 de 2025 con objeto &quot;Prestar servicios de apoyo para la gestión en asuntos de comunicaciones y prensa en la Dirección General, y demás acciones encaminadas al cumplimiento de las estrategias comunicacionales de la UAECOB&quot;"/>
    <s v="09 - contratación directa"/>
    <x v="0"/>
    <s v="25 - contrato de prestacion de servicios profesionales"/>
    <s v="FEBRERO"/>
    <n v="5"/>
    <n v="0"/>
    <n v="220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No Secop"/>
    <s v="20260608-TH-8126-1-Adición y prórroga al Contrato 202 de 2025 con objeto &quot;Prestar servicios de apoyo para la gestión en asuntos de comunicaciones y prensa en la Dirección General, y demás acciones encaminadas al cumplimiento de las estrategias comunicacionales de la UAECOB&quot;"/>
  </r>
  <r>
    <n v="20260609"/>
    <s v="Adición y prórroga al Contrato 285 de 2025 con objeto &quot;Prestar apoyo técnico en la Dirección, en asuntos de comunicaciones y prensa, para la producción, diseño y edición de material audiovisual de la UAECOB&quot;"/>
    <s v="09 - contratación directa"/>
    <x v="0"/>
    <s v="25 - contrato de prestacion de servicios profesionales"/>
    <s v="FEBRERO"/>
    <n v="5"/>
    <n v="0"/>
    <n v="220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No Secop"/>
    <s v="20260609-TH-8126-1-Adición y prórroga al Contrato 285 de 2025 con objeto &quot;Prestar apoyo técnico en la Dirección, en asuntos de comunicaciones y prensa, para la producción, diseño y edición de material audiovisual de la UAECOB&quot;"/>
  </r>
  <r>
    <n v="20260610"/>
    <s v="Adición y prórroga al Contrato 278 de 2025 con objeto &quot;Prestación de servicios como conductor en los diferentes recorridos de carácter operativo que se requieran en la Dirección General&quot;"/>
    <s v="09 - contratación directa"/>
    <x v="0"/>
    <s v="26 - contrato de prestacion de servicios de apoyo a la gestion"/>
    <s v="FEBRERO"/>
    <n v="5"/>
    <n v="0"/>
    <n v="175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No Secop"/>
    <s v="20260610-TH-8126-1-Adición y prórroga al Contrato 278 de 2025 con objeto &quot;Prestación de servicios como conductor en los diferentes recorridos de carácter operativo que se requieran en la Dirección General&quot;"/>
  </r>
  <r>
    <n v="20260611"/>
    <s v="Adición y prórroga al Contrato 356 de 2025 con objeto &quot;Prestación de servicios profesionales en asuntos de comunicaciones y prensa para apoyar la creación y divulgación audiovisual relacionada con la misionalidad de la UAECOB&quot;"/>
    <s v="09 - contratación directa"/>
    <x v="0"/>
    <s v="25 - contrato de prestacion de servicios profesionales"/>
    <s v="FEBRERO"/>
    <n v="5"/>
    <n v="0"/>
    <n v="260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No Secop"/>
    <s v="20260611-TH-8126-1-Adición y prórroga al Contrato 356 de 2025 con objeto &quot;Prestación de servicios profesionales en asuntos de comunicaciones y prensa para apoyar la creación y divulgación audiovisual relacionada con la misionalidad de la UAECOB&quot;"/>
  </r>
  <r>
    <n v="20260612"/>
    <s v="Prestación de servicios de apoyo a la gestión en asuntos de comunicaciones y prensa para apoyar las labores de reportería, periodismo y de divulgación de información de acuerdo con la misionalidad de la UAECOB."/>
    <s v="09 - contratación directa"/>
    <x v="0"/>
    <s v="26 - contrato de prestacion de servicios de apoyo a la gestion"/>
    <s v="FEBRERO"/>
    <n v="11"/>
    <n v="0"/>
    <n v="4730000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Si Secop "/>
    <s v="20260612-TH-8126-1-Prestación de servicios de apoyo a la gestión en asuntos de comunicaciones y prensa para apoyar las labores de reportería, periodismo y de divulgación de información de acuerdo con la misionalidad de la UAECOB."/>
  </r>
  <r>
    <n v="20260613"/>
    <s v="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02 - selec. abrev. menor cuantía"/>
    <x v="1"/>
    <s v="11 - orden de prestacion de servicios"/>
    <s v="MARZO"/>
    <n v="3"/>
    <n v="0"/>
    <n v="182388960"/>
    <s v="NO"/>
    <s v="Sub. Gestión Riesgos"/>
    <s v="William Tovar Segura"/>
    <x v="2"/>
    <s v="Subdirector@ de Gestión del Riesgo"/>
    <x v="0"/>
    <s v="78121600;78131800;92111600;_x000a_721415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667230 Servicio de almacenamiento para mercancías voluminosas"/>
    <s v="No Secop"/>
    <s v="20260613-BS-8173-1-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r>
  <r>
    <n v="20260614"/>
    <s v="Prestar los servicios profesionales  en la Oficina de Control Interno para el desarrollo del Plan Anual de Auditorías."/>
    <s v="09 - contratación directa"/>
    <x v="0"/>
    <s v="25 - contrato de prestacion de servicios profesionales"/>
    <s v="ENERO"/>
    <n v="10"/>
    <n v="0"/>
    <n v="65000000"/>
    <s v="NO"/>
    <s v="Oficina de Control Interno"/>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614-TH-8126-9-Prestar los servicios profesionales  en la Oficina de Control Interno para el desarrollo del Plan Anual de Auditorías."/>
  </r>
  <r>
    <n v="20260615"/>
    <s v="Prestar los servicios profesionales  en la Oficina de Control Interno para el desarrollo del Plan Anual de Auditorías."/>
    <s v="09 - contratación directa"/>
    <x v="0"/>
    <s v="25 - contrato de prestacion de servicios profesionales"/>
    <s v="ENERO"/>
    <n v="10"/>
    <n v="0"/>
    <n v="77000000"/>
    <s v="NO"/>
    <s v="Oficina de Control Interno"/>
    <s v="Carlos Andres Vargas Puert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615-TH-8126-9-Prestar los servicios profesionales  en la Oficina de Control Interno para el desarrollo del Plan Anual de Auditorías."/>
  </r>
  <r>
    <n v="20260616"/>
    <s v="Prestar servicios de apoyo a la gestión en el desarrollo de las actividades y trámites administrativos y operativos relacionados con los procesos que se encuentran a cargo de la Subdirección Operativa de la UAECOB-SO."/>
    <s v="09 - contratación directa"/>
    <x v="0"/>
    <s v="26 - contrato de prestacion de servicios de apoyo a la gestion"/>
    <s v="ENERO"/>
    <n v="8"/>
    <n v="0"/>
    <n v="28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616-TH-8173-2-Prestar servicios de apoyo a la gestión en el desarrollo de las actividades y trámites administrativos y operativos relacionados con los procesos que se encuentran a cargo de la Subdirección Operativa de la UAECOB-SO."/>
  </r>
  <r>
    <n v="20260617"/>
    <s v="Prestar los servicios profesionales a la Subdirección Operativa de la UAECOB desde el componente jurídico, en los asuntos a cargo de la dependencia para el adecuado alcance de las metas e indicadores asignados a esta, brindando plena aplicación a la normatividad vigente-S.O."/>
    <s v="09 - contratación directa"/>
    <x v="0"/>
    <s v="25 - contrato de prestacion de servicios profesionales"/>
    <s v="ENERO"/>
    <n v="6"/>
    <n v="0"/>
    <n v="48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617-TH-8173-2-Prestar los servicios profesionales a la Subdirección Operativa de la UAECOB desde el componente jurídico, en los asuntos a cargo de la dependencia para el adecuado alcance de las metas e indicadores asignados a esta, brindando plena aplicación a la normatividad vigente-S.O."/>
  </r>
  <r>
    <n v="20260618"/>
    <s v="Adquisición de vehiculos operativos para la atención de emergencias para la UAE Cuerpo Oficial de Bomberos de Bogotá, S.O."/>
    <s v="17 - acuerdo marco de precios"/>
    <x v="1"/>
    <s v="01 - orden de compra"/>
    <s v="JULIO"/>
    <n v="4"/>
    <n v="0"/>
    <n v="169000000"/>
    <s v="SI"/>
    <s v="Sub. Operativa"/>
    <s v="Yenire Yohansy Lozano Ascanio"/>
    <x v="2"/>
    <s v="Subdirector@ de Gestión del Riesgo"/>
    <x v="0"/>
    <n v="80111600"/>
    <s v="8173 3-Desarrollar un programa de renovación de vehículos de la Unidad Administrativa Cuerpo Oficial de Bomberos de Bogotá."/>
    <s v="8173"/>
    <s v="3"/>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Si Secop "/>
    <s v="20260618-BS-8173-3-Adquisición de vehiculos operativos para la atención de emergencias para la UAE Cuerpo Oficial de Bomberos de Bogotá, S.O."/>
  </r>
  <r>
    <n v="20260619"/>
    <s v="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
    <s v="17 - acuerdo marco de precios"/>
    <x v="1"/>
    <s v="01 - orden de compra"/>
    <s v="ENERO"/>
    <n v="2"/>
    <n v="0"/>
    <n v="509334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No Secop"/>
    <s v="20260619-BS-8173-2-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
  </r>
  <r>
    <n v="20260620"/>
    <s v="SGH - INCENTIVOS"/>
    <s v="91 - n/a acto administrativo (resolución, decreto, acuerdo, etc.)"/>
    <x v="1"/>
    <s v="12 - resolucion"/>
    <s v="AGOSTO"/>
    <n v="11"/>
    <n v="0"/>
    <n v="180000000"/>
    <s v="NO"/>
    <s v="Sub. Gestión Humana"/>
    <s v="Jose Andres Ponce Caicedo"/>
    <x v="1"/>
    <s v="Subdirector@ de Gestión Corporativa"/>
    <x v="1"/>
    <s v="NA"/>
    <s v="No aplica"/>
    <s v="No a"/>
    <s v="l"/>
    <s v="NA"/>
    <s v="NA"/>
    <s v="NA"/>
    <s v="N/A"/>
    <s v="N/A"/>
    <s v="N/A-N/A"/>
    <s v="N/A"/>
    <s v="N/A"/>
    <s v="N/A_N/A"/>
    <s v="N/A-N/A N/A_N/A"/>
    <s v="NANANAN/AN/A"/>
    <s v="N/A"/>
    <s v="No Aplica"/>
    <s v="Si Secop "/>
    <s v="20260620-BS-No a-l-SGH - INCENTIVOS"/>
  </r>
  <r>
    <n v="20260621"/>
    <s v="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
    <s v="09 - contratación directa"/>
    <x v="0"/>
    <s v="25 - contrato de prestacion de servicios profesionales"/>
    <s v="ENERO"/>
    <n v="3"/>
    <n v="0"/>
    <n v="29400000"/>
    <s v="NO"/>
    <s v="Sub. Gestión Humana"/>
    <s v="Jose Andres Ponce Caicedo"/>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621-TH-8126-9-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
  </r>
  <r>
    <n v="20260622"/>
    <s v="Suministrar combustible para el parque automotor y los equipos especializados de la U.A.E. Cuerpo Oficial de Bomberos Bogotá, dentro y fuera del perímetro del Distrito Capital – SBLG."/>
    <s v="17 - acuerdo marco de precios"/>
    <x v="1"/>
    <s v="08 - contrato de suministro"/>
    <s v="MARZO"/>
    <n v="10"/>
    <n v="0"/>
    <n v="800000000"/>
    <s v="NO"/>
    <s v="Sub. Logística"/>
    <s v="Omer Mauricio Rivera Ruiz"/>
    <x v="2"/>
    <s v="Subdirector@ de Gestión del Riesgo"/>
    <x v="0"/>
    <n v="151015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1003053543003 Aditivos para gasolina, aceites minerales y combustible en general"/>
    <s v="Si Secop "/>
    <s v="20260622-BS-8173-4-Suministrar combustible para el parque automotor y los equipos especializados de la U.A.E. Cuerpo Oficial de Bomberos Bogotá, dentro y fuera del perímetro del Distrito Capital – SBLG."/>
  </r>
  <r>
    <n v="20260623"/>
    <s v="Prestación de servicios de apoyo a la gestión documental de la Subdirección de Gestión Corporativa de la Unidad.-SGC"/>
    <s v="09 - contratación directa"/>
    <x v="0"/>
    <s v="26 - contrato de prestacion de servicios de apoyo a la gestion"/>
    <s v="ENERO"/>
    <n v="6"/>
    <n v="0"/>
    <n v="16890834"/>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623-TH-8126-9-Prestación de servicios de apoyo a la gestión documental de la Subdirección de Gestión Corporativa de la Unidad.-SGC"/>
  </r>
  <r>
    <n v="20260624"/>
    <s v=" Prestación de servicios de apoyo a la gestión en la Subdirección de Gestión Corporativa, en las actividades asociadas a los procesos y procedimientos del almacén de la Entidad.- SGC"/>
    <s v="09 - contratación directa"/>
    <x v="0"/>
    <s v="26 - contrato de prestacion de servicios de apoyo a la gestion"/>
    <s v="ENERO"/>
    <n v="6"/>
    <n v="0"/>
    <n v="22118946"/>
    <s v="NO"/>
    <s v="Sub. Gestión Corporativa"/>
    <s v="Fatima Veronica Quintero Nuñez"/>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624-TH-8126-9- Prestación de servicios de apoyo a la gestión en la Subdirección de Gestión Corporativa, en las actividades asociadas a los procesos y procedimientos del almacén de la Entidad.- SGC"/>
  </r>
  <r>
    <n v="20260625"/>
    <s v="SGH -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 "/>
    <s v="09 - contratación directa"/>
    <x v="0"/>
    <s v="25 - contrato de prestacion de servicios profesionales"/>
    <s v="ENERO"/>
    <n v="7"/>
    <n v="0"/>
    <n v="546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625-TH-8173-9-SGH -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 "/>
  </r>
  <r>
    <n v="20260626"/>
    <s v="SGH - 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
    <s v="09 - contratación directa"/>
    <x v="0"/>
    <s v="26 - contrato de prestacion de servicios de apoyo a la gestion"/>
    <s v="ENERO"/>
    <n v="7"/>
    <n v="0"/>
    <n v="2583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626-TH-8173-9-SGH - 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
  </r>
  <r>
    <n v="20260627"/>
    <s v="Prestación de servicios de apoyo para el desarrollo de las actividades y trámites administrativos y operativos relacionados con los procesos que se encuentran a cargo de la Subdirección Operativa-SO."/>
    <s v="09 - contratación directa"/>
    <x v="0"/>
    <s v="26 - contrato de prestacion de servicios de apoyo a la gestion"/>
    <s v="ENERO"/>
    <n v="7"/>
    <n v="0"/>
    <n v="25802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627-TH-8173-2-Prestación de servicios de apoyo para el desarrollo de las actividades y trámites administrativos y operativos relacionados con los procesos que se encuentran a cargo de la Subdirección Operativa-SO."/>
  </r>
  <r>
    <n v="20260628"/>
    <s v="Adición y Prórroga al contrato de prestación de servicios # 446-2025, cuyo objeto es: &quot;Prestar servicios de apoyo a la gestión en las actividades de monitoreo, seguimiento y reporte de información del Centro de Coordinación y Comunicaciones de la Subdirección Operativa&quot;."/>
    <s v="09 - contratación directa"/>
    <x v="0"/>
    <s v="26 - contrato de prestacion de servicios de apoyo a la gestion"/>
    <s v="FEBRERO"/>
    <n v="4"/>
    <n v="0"/>
    <n v="13136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No Secop"/>
    <s v="20260628-TH-8173-2-Adición y Prórroga al contrato de prestación de servicios # 446-2025, cuyo objeto es: &quot;Prestar servicios de apoyo a la gestión en las actividades de monitoreo, seguimiento y reporte de información del Centro de Coordinación y Comunicaciones de la Subdirección Operativa&quot;."/>
  </r>
  <r>
    <n v="20260629"/>
    <s v="Prestar servicios profesionales para apoyar jurídicamente el seguimiento y la revisión de derechos de petición y demás requerimientos, así como en la revisión de documentación referida a procesos de contratación a cargo de la Subdirección Operativa S.O."/>
    <s v="09 - contratación directa"/>
    <x v="0"/>
    <s v="25 - contrato de prestacion de servicios profesionales"/>
    <s v="ENERO"/>
    <n v="7"/>
    <n v="0"/>
    <n v="49000000"/>
    <s v="NO"/>
    <s v="Sub. Operativa"/>
    <s v="Yenire Yohansy Lozano Ascanio"/>
    <x v="2"/>
    <s v="Subdirector@ de Gestión del Riesgo"/>
    <x v="0"/>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991191 Servicios administrativos relacionados con los trabajadores estatales"/>
    <s v="Si Secop "/>
    <s v="20260629-TH-8173-2-Prestar servicios profesionales para apoyar jurídicamente el seguimiento y la revisión de derechos de petición y demás requerimientos, así como en la revisión de documentación referida a procesos de contratación a cargo de la Subdirección Operativa S.O."/>
  </r>
  <r>
    <n v="20260630"/>
    <s v="Prestar servicios de apoyo como conductor a las acciones misionales de la Subdirección de Gestión del Riesgo."/>
    <s v="09 - contratación directa"/>
    <x v="0"/>
    <s v="26 - contrato de prestacion de servicios de apoyo a la gestion"/>
    <s v="ENERO"/>
    <n v="7"/>
    <n v="0"/>
    <n v="2625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630-TH-8173-1-Prestar servicios de apoyo como conductor a las acciones misionales de la Subdirección de Gestión del Riesgo."/>
  </r>
  <r>
    <n v="20260631"/>
    <s v="Prestar servicios de apoyo en las actividades de Programas y Campañas de Prevención para la Subdirección de Gestión del Riesgo. _SGR"/>
    <s v="09 - contratación directa"/>
    <x v="0"/>
    <s v="25 - contrato de prestacion de servicios profesionales"/>
    <s v="ENERO"/>
    <n v="6"/>
    <n v="0"/>
    <n v="21750000"/>
    <s v="NO"/>
    <s v="Sub. Gestión Riesgos"/>
    <s v="William Tovar Segura"/>
    <x v="2"/>
    <s v="Subdirector@ de Gestión del Riesgo"/>
    <x v="0"/>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991191 Servicios administrativos relacionados con los trabajadores estatales"/>
    <s v="Si Secop "/>
    <s v="20260631-TH-8173-1-Prestar servicios de apoyo en las actividades de Programas y Campañas de Prevención para la Subdirección de Gestión del Riesgo. _SGR"/>
  </r>
  <r>
    <n v="20260632"/>
    <s v="Adición y prórroga al contrato No. 490 de 2025 cuyo objeto es: &quot;contratar el alquiler de equipos tecnológicos, periféricos y servicios complementarios para la U.A.E Cuerpo Oficial de bomberos de Bogota- TIC&quot;"/>
    <s v="04 - contratación mínima cuantía"/>
    <x v="1"/>
    <s v="23 - contrato de alquiler"/>
    <s v="FEBRERO"/>
    <n v="2"/>
    <n v="0"/>
    <n v="6664000"/>
    <s v="NO"/>
    <s v="Dirección Tic"/>
    <s v="Paula Ximena Henao Escobar"/>
    <x v="0"/>
    <s v="Subdirector@ de Gestión Corporativa"/>
    <x v="0"/>
    <n v="81112401"/>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No Secop"/>
    <s v="20260632-BS-8126-5-Adición y prórroga al contrato No. 490 de 2025 cuyo objeto es: &quot;contratar el alquiler de equipos tecnológicos, periféricos y servicios complementarios para la U.A.E Cuerpo Oficial de bomberos de Bogota- TIC&quot;"/>
  </r>
  <r>
    <n v="20260633"/>
    <s v="Adición y prórroga al contrato No. 411 de 2025 cuyo objeto es: &quot;Contratar la prestación del servicio de monitoreo, control y seguimiento satelital a los vehículos de propiedad de la U.A.E. Cuerpo Oficial de Bomberos de Bogotá - TIC&quot;"/>
    <s v="17 - acuerdo marco de precios"/>
    <x v="1"/>
    <s v="03 - contrato de prestacion de servicios"/>
    <s v="FEBRERO"/>
    <n v="2"/>
    <n v="0"/>
    <n v="20246686"/>
    <s v="NO"/>
    <s v="Dirección Tic"/>
    <s v="Paula Ximena Henao Escobar"/>
    <x v="0"/>
    <s v="Subdirector@ de Gestión Corporativa"/>
    <x v="0"/>
    <s v="83121700; 83111600; 43221700; 25173100;  81112000; 32101600 "/>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No Secop"/>
    <s v="20260633-BS-8126-4-Adición y prórroga al contrato No. 411 de 2025 cuyo objeto es: &quot;Contratar la prestación del servicio de monitoreo, control y seguimiento satelital a los vehículos de propiedad de la U.A.E. Cuerpo Oficial de Bomberos de Bogotá - TIC&quot;"/>
  </r>
  <r>
    <n v="20260634"/>
    <s v="Prestar servicio de apoyo a la gestión administrativa y operativa de los mantenimientos requeridos a los equipos menores y/o parque automotor de la Subdirección Logística - SBLG"/>
    <s v="09 - contratación directa"/>
    <x v="0"/>
    <s v="26 - contrato de prestacion de servicios de apoyo a la gestion"/>
    <s v="ENERO"/>
    <n v="5"/>
    <n v="0"/>
    <n v="16400000"/>
    <s v="NO"/>
    <s v="Sub. Logística"/>
    <s v="Omer Mauricio Rivera Ruiz"/>
    <x v="2"/>
    <s v="Subdirector@ de Gestión del Riesgo"/>
    <x v="0"/>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991191 Servicios administrativos relacionados con los trabajadores estatales"/>
    <s v="Si Secop "/>
    <s v="20260634-TH-8173-4-Prestar servicio de apoyo a la gestión administrativa y operativa de los mantenimientos requeridos a los equipos menores y/o parque automotor de la Subdirección Logística - SBLG"/>
  </r>
  <r>
    <n v="20260635"/>
    <s v="Adición No. 1 al contrato 629 de 2025 que tiene como objeto “Prestar el servicio de vigilancia y seguridad privada en la modalidad de vigilancia fija, según especificaciones técnicas, en las instalaciones donde la UAE Especial Cuerpo Oficial de Bomberos requiera-SGC"/>
    <s v="01 - licitación pública"/>
    <x v="1"/>
    <s v="03 - contrato de prestacion de servicios"/>
    <s v="MAYO"/>
    <n v="0"/>
    <n v="0"/>
    <n v="491900000"/>
    <s v="NO"/>
    <s v="Sub. Gestión Corporativa"/>
    <s v="Fatima Veronica Quintero Nuñez"/>
    <x v="0"/>
    <s v="Subdirector@ de Gestión Corporativa"/>
    <x v="0"/>
    <s v="921215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250 Servicios de protección (guardas de seguridad)"/>
    <s v="No Secop"/>
    <s v="20260635-BS-8126-8-Adición No. 1 al contrato 629 de 2025 que tiene como objeto “Prestar el servicio de vigilancia y seguridad privada en la modalidad de vigilancia fija, según especificaciones técnicas, en las instalaciones donde la UAE Especial Cuerpo Oficial de Bomberos requiera-SGC"/>
  </r>
  <r>
    <n v="20260636"/>
    <s v="Congelamiento recursos 5% proyecto 8126"/>
    <s v="09 - contratación directa"/>
    <x v="0"/>
    <s v="25 - contrato de prestacion de servicios profesionales"/>
    <s v="NO APLICA"/>
    <n v="0"/>
    <n v="0"/>
    <n v="95000000"/>
    <s v="NO"/>
    <s v="Dirección Tic"/>
    <s v="Paula Ximena Henao Escobar"/>
    <x v="0"/>
    <s v="Subdirector@ de Gestión Corporativa"/>
    <x v="0"/>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No Secop"/>
    <s v="20260636-TH-8126-5-Congelamiento recursos 5% proyecto 8126"/>
  </r>
  <r>
    <n v="20260637"/>
    <s v="Congelamiento recursos 5% proyecto 8126"/>
    <s v="17 - acuerdo marco de precios"/>
    <x v="1"/>
    <s v="03 - contrato de prestacion de servicios"/>
    <s v="NO APLICA"/>
    <n v="0"/>
    <n v="0"/>
    <n v="65650000"/>
    <s v="NO"/>
    <s v="Dirección Tic"/>
    <s v="Paula Ximena Henao Escobar"/>
    <x v="0"/>
    <s v="Subdirector@ de Gestión Corporativa"/>
    <x v="0"/>
    <s v="83121700; 83111600; 43221700; 25173100;  81112000; 32101600 "/>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No Secop"/>
    <s v="20260637-BS-8126-4-Congelamiento recursos 5% proyecto 8126"/>
  </r>
  <r>
    <n v="20260638"/>
    <s v="Congelamiento recursos 5% proyecto 8126"/>
    <s v="09 - contratación directa"/>
    <x v="0"/>
    <s v="25 - contrato de prestacion de servicios profesionales"/>
    <s v="NO APLICA"/>
    <n v="0"/>
    <n v="0"/>
    <n v="386527500"/>
    <s v="NO"/>
    <s v="Sub. Gestión Corporativa"/>
    <s v="Paula Ximena Henao Escobar"/>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38-TH-8126-9-Congelamiento recursos 5% proyecto 8126"/>
  </r>
  <r>
    <n v="20260639"/>
    <s v="Congelamiento recursos 5% proyecto 8173"/>
    <s v="01 - licitación pública"/>
    <x v="1"/>
    <s v="05 - contrato de obra"/>
    <s v="NO APLICA"/>
    <n v="0"/>
    <n v="0"/>
    <n v="3760200"/>
    <s v="NO"/>
    <s v="Sub. Gestión Corporativa"/>
    <s v="Paula Ximena Henao Escobar"/>
    <x v="2"/>
    <s v="Subdirector@ de Gestión del Riesgo"/>
    <x v="0"/>
    <s v="72121400; 72151700; 72151700; 81101500"/>
    <s v="8173 7-Adecuar 4 Sedes de la UAECOB"/>
    <s v="8173"/>
    <s v="7"/>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s v="O23011745032024025508031_"/>
    <s v="PM/0131/0108/45030310255"/>
    <s v="O232020200991191 Servicios administrativos relacionados con los trabajadores estatales"/>
    <s v="No Secop"/>
    <s v="20260639-BS-8173-7-Congelamiento recursos 5% proyecto 8173"/>
  </r>
  <r>
    <n v="20260640"/>
    <s v="Congelamiento recursos 5% proyecto 8126"/>
    <s v="09 - contratación directa"/>
    <x v="0"/>
    <s v="25 - contrato de prestacion de servicios profesionales"/>
    <s v="NO APLICA"/>
    <n v="0"/>
    <n v="0"/>
    <n v="20296300"/>
    <s v="NO"/>
    <s v="Oficina Asesora de Planeación"/>
    <s v="Paula Ximena Henao Escobar"/>
    <x v="0"/>
    <s v="Subdirector@ de Gestión Corporativa"/>
    <x v="0"/>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991191 Servicios administrativos relacionados con los trabajadores estatales"/>
    <s v="No Secop"/>
    <s v="20260640-TH-8126-2-Congelamiento recursos 5% proyecto 8126"/>
  </r>
  <r>
    <n v="20260641"/>
    <s v="Congelamiento recursos 5% proyecto 8126"/>
    <s v="09 - contratación directa"/>
    <x v="0"/>
    <s v="25 - contrato de prestacion de servicios profesionales"/>
    <s v="NO APLICA"/>
    <n v="0"/>
    <n v="0"/>
    <n v="55442250"/>
    <s v="NO"/>
    <s v="Oficina Asesora de Planeación"/>
    <s v="Paula Ximena Henao Escobar"/>
    <x v="0"/>
    <s v="Subdirector@ de Gestión Corporativa"/>
    <x v="0"/>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991191 Servicios administrativos relacionados con los trabajadores estatales"/>
    <s v="No Secop"/>
    <s v="20260641-TH-8126-1-Congelamiento recursos 5% proyecto 8126"/>
  </r>
  <r>
    <n v="20260642"/>
    <s v="Congelamiento recursos 5% proyecto 8126"/>
    <s v="02 - selec. abrev. menor cuantía"/>
    <x v="1"/>
    <s v="03 - contrato de prestacion de servicios"/>
    <s v="NO APLICA"/>
    <n v="0"/>
    <n v="0"/>
    <n v="0"/>
    <s v="NO"/>
    <s v="Dirección Tic"/>
    <s v="Paula Ximena Henao Escobar"/>
    <x v="0"/>
    <s v="Subdirector@ de Gestión Corporativa"/>
    <x v="0"/>
    <s v="43191500_x000a_43221500_x000a_43222800_x000a_81161700_x000a_7215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No Secop"/>
    <s v="20260642-BS-8126-5-Congelamiento recursos 5% proyecto 8126"/>
  </r>
  <r>
    <n v="20260643"/>
    <s v="Congelamiento recursos 5% proyecto 8126"/>
    <s v="09 - contratación directa"/>
    <x v="0"/>
    <s v="25 - contrato de prestacion de servicios profesionales"/>
    <s v="NO APLICA"/>
    <n v="0"/>
    <n v="0"/>
    <n v="0"/>
    <s v="NO"/>
    <s v="Dirección comunicaciones y Prensa"/>
    <s v="Paula Ximena Henao Escobar"/>
    <x v="0"/>
    <s v="Subdirector@ de Gestión Corporativa"/>
    <x v="0"/>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991191 Servicios administrativos relacionados con los trabajadores estatales"/>
    <s v="No Secop"/>
    <s v="20260643-TH-8126-1-Congelamiento recursos 5% proyecto 8126"/>
  </r>
  <r>
    <n v="20260644"/>
    <s v="Congelamiento recursos 5% proyecto 8126"/>
    <s v="09 - contratación directa"/>
    <x v="0"/>
    <s v="25 - contrato de prestacion de servicios profesionales"/>
    <s v="NO APLICA"/>
    <n v="0"/>
    <n v="0"/>
    <n v="64171317"/>
    <s v="NO"/>
    <s v="Dirección"/>
    <s v="Paula Ximena Henao Escobar"/>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44-TH-8126-9-Congelamiento recursos 5% proyecto 8126"/>
  </r>
  <r>
    <n v="20260645"/>
    <s v="Congelamiento recursos 5% proyecto 8126"/>
    <s v="09 - contratación directa"/>
    <x v="0"/>
    <s v="25 - contrato de prestacion de servicios profesionales"/>
    <s v="NO APLICA"/>
    <n v="0"/>
    <n v="0"/>
    <n v="24231997"/>
    <s v="NO"/>
    <s v="Oficina de Control Disciplinario Interno"/>
    <s v="Paula Ximena Henao Escobar"/>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45-TH-8126-9-Congelamiento recursos 5% proyecto 8126"/>
  </r>
  <r>
    <n v="20260646"/>
    <s v="Congelamiento recursos 5% proyecto 8126"/>
    <s v="09 - contratación directa"/>
    <x v="0"/>
    <s v="25 - contrato de prestacion de servicios profesionales"/>
    <s v="NO APLICA"/>
    <n v="0"/>
    <n v="0"/>
    <n v="24969186"/>
    <s v="NO"/>
    <s v="Oficina de Control Interno"/>
    <s v="Paula Ximena Henao Escobar"/>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46-TH-8126-9-Congelamiento recursos 5% proyecto 8126"/>
  </r>
  <r>
    <n v="20260647"/>
    <s v="Congelamiento recursos 5% proyecto 8126"/>
    <s v="09 - contratación directa"/>
    <x v="0"/>
    <s v="25 - contrato de prestacion de servicios profesionales"/>
    <s v="NO APLICA"/>
    <n v="0"/>
    <n v="0"/>
    <n v="0"/>
    <s v="NO"/>
    <s v="Oficina Juridica"/>
    <s v="Paula Ximena Henao Escobar"/>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47-TH-8126-9-Congelamiento recursos 5% proyecto 8126"/>
  </r>
  <r>
    <n v="20260648"/>
    <s v="Congelamiento recursos 5% proyecto 8126"/>
    <s v="09 - contratación directa"/>
    <x v="0"/>
    <s v="25 - contrato de prestacion de servicios profesionales"/>
    <s v="NO APLICA"/>
    <n v="0"/>
    <n v="0"/>
    <m/>
    <s v="NO"/>
    <s v="Sub. Gestión Humana"/>
    <s v="Paula Ximena Henao Escobar"/>
    <x v="0"/>
    <s v="Subdirector@ de Gestión Corporativa"/>
    <x v="0"/>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48-TH-8126-9-Congelamiento recursos 5% proyecto 8126"/>
  </r>
  <r>
    <n v="20260649"/>
    <s v="Congelamiento recursos 5% proyecto 8126"/>
    <s v="02 - selec. abrev. menor cuantía"/>
    <x v="1"/>
    <s v="17 - contrato de mantenimiento"/>
    <s v="NO APLICA"/>
    <n v="0"/>
    <n v="0"/>
    <n v="0"/>
    <s v="NO"/>
    <s v="Sub. Gestión Corporativa"/>
    <s v="Fatima Veronica Quintero Nuñez"/>
    <x v="0"/>
    <s v="Subdirector@ de Gestión Corporativa"/>
    <x v="0"/>
    <s v="72151000;_x000a_72101500;_x000a_72153200;_x000a_ 72154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208 Otra maquinaria para usos especiales y sus partes y piezas"/>
    <s v="No Secop"/>
    <s v="20260649-BS-8126-8-Congelamiento recursos 5% proyecto 8126"/>
  </r>
  <r>
    <n v="20260650"/>
    <s v="Congelamiento recursos 5% proyecto 8126"/>
    <s v="01 - licitación pública"/>
    <x v="1"/>
    <s v="05 - contrato de obra"/>
    <s v="NO APLICA"/>
    <n v="0"/>
    <n v="0"/>
    <n v="0"/>
    <s v="NO"/>
    <s v="Sub. Gestión Corporativa"/>
    <s v="Fatima Veronica Quintero Nuñez"/>
    <x v="0"/>
    <s v="Subdirector@ de Gestión Corporativa"/>
    <x v="0"/>
    <s v="72102900; _x000a_72121400; _x000a_72151700;_x000a_72154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5040554590 Otros servicios especializados de la construcción"/>
    <s v="No Secop"/>
    <s v="20260650-BS-8126-8-Congelamiento recursos 5% proyecto 8126"/>
  </r>
  <r>
    <n v="20260651"/>
    <s v="Congelamiento recursos 5% proyecto 8126"/>
    <s v="17 - acuerdo marco de precios"/>
    <x v="1"/>
    <s v="03 - contrato de prestacion de servicios"/>
    <s v="NO APLICA"/>
    <n v="0"/>
    <n v="0"/>
    <n v="0"/>
    <s v="NO"/>
    <s v="Sub. Gestión Corporativa"/>
    <s v="Fatima Veronica Quintero Nuñez"/>
    <x v="0"/>
    <s v="Subdirector@ de Gestión Corporativa"/>
    <x v="0"/>
    <s v="44121700;_x000a_44121800;_x000a_44121900;_x000a_44122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330 Servicios de limpieza general"/>
    <s v="No Secop"/>
    <s v="20260651-BS-8126-8-Congelamiento recursos 5% proyecto 8126"/>
  </r>
  <r>
    <n v="20260652"/>
    <s v="SGH - Prestar servicios profesionales en la Subdirección de Gestión Humana, enfocados en el análisis de datos , estadística, gestión financiera  y apoyo a temas de proyección presupuestal en el marco de la estrategia de fortalecimiento institucional. "/>
    <s v="09 - contratación directa"/>
    <x v="0"/>
    <s v="25 - contrato de prestacion de servicios profesionales"/>
    <s v="ENERO"/>
    <n v="7"/>
    <n v="0"/>
    <n v="553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652-TH-8173-9-SGH - Prestar servicios profesionales en la Subdirección de Gestión Humana, enfocados en el análisis de datos , estadística, gestión financiera  y apoyo a temas de proyección presupuestal en el marco de la estrategia de fortalecimiento institucional. "/>
  </r>
  <r>
    <n v="20260653"/>
    <s v="SGH - Prestar servicios de apoyo a la gestión en la Subdirección de Gestión Humana de la UAE Cuerpo Oficial de Bomberos, atendiendo los requerimientos del área de nómina y apoyando las actividades que le sean asignadas, de conformidad con las necesidades institucionales y los lineamientos establecidos, con el objetivo de fortalecer las capacidades institucionales."/>
    <s v="09 - contratación directa"/>
    <x v="0"/>
    <s v="26 - contrato de prestacion de servicios de apoyo a la gestion"/>
    <s v="ENERO"/>
    <n v="7"/>
    <n v="0"/>
    <n v="280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653-TH-8173-9-SGH - Prestar servicios de apoyo a la gestión en la Subdirección de Gestión Humana de la UAE Cuerpo Oficial de Bomberos, atendiendo los requerimientos del área de nómina y apoyando las actividades que le sean asignadas, de conformidad con las necesidades institucionales y los lineamientos establecidos, con el objetivo de fortalecer las capacidades institucionales."/>
  </r>
  <r>
    <n v="20260654"/>
    <s v="SGH - Prestar servicios profesionales en la Subdirección de Gestión Humana, enfocados al ajuste y actualización de los manuales de funciones, y demas documentos administrativos  y operativos de acuerdo a la planta propuesta, en el marco de la estrategia de fortalecimiento y rediseño institucional."/>
    <s v="09 - contratación directa"/>
    <x v="0"/>
    <s v="25 - contrato de prestacion de servicios profesionales"/>
    <s v="ENERO"/>
    <n v="6"/>
    <n v="0"/>
    <n v="450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Si Secop "/>
    <s v="20260654-TH-8173-9-SGH - Prestar servicios profesionales en la Subdirección de Gestión Humana, enfocados al ajuste y actualización de los manuales de funciones, y demas documentos administrativos  y operativos de acuerdo a la planta propuesta, en el marco de la estrategia de fortalecimiento y rediseño institucional."/>
  </r>
  <r>
    <n v="20260655"/>
    <s v="Prestación de servicios como operador logístico, relacionados con la organización, administración y ejecución de las diferentes temáticas que fortalezcan la misionalidad de la entidad a través de la protección de la vida, el medio ambiente y el patrimonio"/>
    <s v="02 - selec. abrev. menor cuantía"/>
    <x v="1"/>
    <s v="11 - orden de prestacion de servicios"/>
    <s v="MARZO"/>
    <n v="3"/>
    <n v="0"/>
    <n v="400000000"/>
    <s v="NO"/>
    <s v="Sub. Gestión Riesgos"/>
    <s v="William Tovar Segura"/>
    <x v="2"/>
    <s v="Subdirector@ de Gestión del Riesgo"/>
    <x v="0"/>
    <s v="80141900_x000a_90111500_x000a_90111600_x000a_80141600_x000a_80161502"/>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5961 Servicios de organización y asistencia de convenciones"/>
    <s v="Si Secop "/>
    <s v="20260655-BS-8173-1-Prestación de servicios como operador logístico, relacionados con la organización, administración y ejecución de las diferentes temáticas que fortalezcan la misionalidad de la entidad a través de la protección de la vida, el medio ambiente y el patrimonio"/>
  </r>
  <r>
    <n v="20260656"/>
    <s v="Adición No. 2 y prórroga No. 3 al contrato 196 de 2025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17 - acuerdo marco de precios"/>
    <x v="1"/>
    <s v="03 - contrato de prestacion de servicios"/>
    <s v="FEBRERO"/>
    <n v="3"/>
    <n v="20"/>
    <n v="52231036"/>
    <s v="NO"/>
    <s v="Sub. Gestión Corporativa"/>
    <s v="Fatima Veronica Quintero Nuñez"/>
    <x v="1"/>
    <s v="Subdirector@ de Gestión Corporativa"/>
    <x v="1"/>
    <s v="78102206;"/>
    <s v="No aplica"/>
    <s v="No a"/>
    <s v="l"/>
    <s v="NA"/>
    <s v="NA"/>
    <s v="NA"/>
    <s v="N/A"/>
    <s v="N/A"/>
    <s v="N/A-N/A"/>
    <s v="N/A"/>
    <s v="N/A"/>
    <s v="N/A_N/A"/>
    <s v="N/A-N/A N/A_N/A"/>
    <s v="NANANAN/AN/A"/>
    <s v="N/A"/>
    <s v="No Aplica"/>
    <s v="No Secop"/>
    <s v="20260656-BS-No a-l-Adición No. 2 y prórroga No. 3 al contrato 196 de 2025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r>
  <r>
    <n v="20260657"/>
    <s v="Suministro de materiales, equipos y herramientas para el mejoramiento integral de las instalaciones para la Unidad Administrativa Especial Cuerpo Oficial de Bomberos Bogotá -SGC"/>
    <s v="17 - acuerdo marco de precios"/>
    <x v="1"/>
    <s v="08 - contrato de suministro"/>
    <s v="ABRIL"/>
    <n v="10"/>
    <n v="0"/>
    <n v="431001000"/>
    <s v="NO"/>
    <s v="Sub. Gestión Corporativa"/>
    <s v="Fatima Veronica Quintero Nuñez"/>
    <x v="2"/>
    <s v="Subdirector@ de Gestión del Riesgo"/>
    <x v="0"/>
    <s v="47111500; _x000a_47111700;"/>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s v="O23011745032024025514014"/>
    <s v="PM/0131/0114/45030140255"/>
    <s v="O23201010030202 Máquinas herramientas y sus partes, piezas y accesorios"/>
    <s v="Si Secop "/>
    <s v="20260657-BS-8173-1-Suministro de materiales, equipos y herramientas para el mejoramiento integral de las instalaciones para la Unidad Administrativa Especial Cuerpo Oficial de Bomberos Bogotá -SGC"/>
  </r>
  <r>
    <n v="20260658"/>
    <s v="Adición y prórroga No. 1 al contrato que tiene como objeto &quot; Contratar la prestación del servicio de aseo y cafetería incluido insumos para la UAE Cuerpo Oficial de Bomberos -SGC"/>
    <s v="17 - acuerdo marco de precios"/>
    <x v="1"/>
    <s v="03 - contrato de prestacion de servicios"/>
    <s v="MAYO"/>
    <n v="2"/>
    <n v="0"/>
    <n v="200000000"/>
    <s v="NO"/>
    <s v="Sub. Gestión Corporativa"/>
    <s v="Fatima Veronica Quintero Nuñez"/>
    <x v="0"/>
    <s v="Subdirector@ de Gestión Corporativa"/>
    <x v="0"/>
    <s v="44121700;_x000a_44121800;_x000a_44121900;_x000a_44122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330 Servicios de limpieza general"/>
    <s v="No Secop"/>
    <s v="20260658-BS-8126-8-Adición y prórroga No. 1 al contrato que tiene como objeto &quot; Contratar la prestación del servicio de aseo y cafetería incluido insumos para la UAE Cuerpo Oficial de Bomberos -SGC"/>
  </r>
  <r>
    <n v="20260659"/>
    <s v="SGH - Utilización lista de elegibles CNSC para provisión de vacantes"/>
    <s v="91 - n/a acto administrativo (resolución, decreto, acuerdo, etc.)"/>
    <x v="1"/>
    <s v="91 - n/a acto administrativo (resolución, decreto, acuerdo, etc.)"/>
    <s v="MARZO"/>
    <n v="6"/>
    <n v="0"/>
    <n v="51000000"/>
    <s v="NO"/>
    <s v="Sub. Gestión Humana"/>
    <s v="Jose Andres Ponce Caicedo"/>
    <x v="1"/>
    <s v="Subdirector@ de Gestión Corporativa"/>
    <x v="1"/>
    <s v="N/A"/>
    <s v="No aplica"/>
    <s v="No a"/>
    <s v="l"/>
    <s v="NA"/>
    <s v="NA"/>
    <s v="NA"/>
    <s v="N/A"/>
    <s v="N/A"/>
    <s v="N/A-N/A"/>
    <s v="N/A"/>
    <s v="N/A"/>
    <s v="N/A_N/A"/>
    <s v="N/A-N/A N/A_N/A"/>
    <s v="NANANAN/AN/A"/>
    <s v="N/A"/>
    <s v="No Aplica"/>
    <s v="Si Secop "/>
    <s v="20260659-BS-No a-l-SGH - Utilización lista de elegibles CNSC para provisión de vacantes"/>
  </r>
  <r>
    <n v="20260660"/>
    <s v="SGH - Adición y prórroga al contrato 717-2025 cuyo objeto es&quot; Prestar sus servicios profesionales en la Subdirección de Gestión Humana de la UAE Cuerpo Oficial de Bomberos de Bogotá, apoyando la administración del Sistema de Gestión de Seguridad y Salud en el Trabajo (SG-SST), específicamente en la línea de Medicina Preventiva, en el marco de los procesos de fortalecimiento de capacitación y capacidades de la institución&quot;."/>
    <s v="09 - contratación directa"/>
    <x v="0"/>
    <s v="25 - contrato de prestacion de servicios profesionales"/>
    <s v="ABRIL"/>
    <n v="1"/>
    <n v="15"/>
    <n v="10500000"/>
    <s v="NO"/>
    <s v="Sub. Gestión Humana"/>
    <s v="Jose Andres Ponce Caicedo"/>
    <x v="2"/>
    <s v="Subdirector@ de Gestión del Riesgo"/>
    <x v="0"/>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991191 Servicios administrativos relacionados con los trabajadores estatales"/>
    <s v="No Secop"/>
    <s v="20260660-TH-8173-9-SGH - Adición y prórroga al contrato 717-2025 cuyo objeto es&quot; Prestar sus servicios profesionales en la Subdirección de Gestión Humana de la UAE Cuerpo Oficial de Bomberos de Bogotá, apoyando la administración del Sistema de Gestión de Seguridad y Salud en el Trabajo (SG-SST), específicamente en la línea de Medicina Preventiva, en el marco de los procesos de fortalecimiento de capacitación y capacidades de la institución&quot;."/>
  </r>
  <r>
    <n v="20260661"/>
    <s v="SGH -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
    <s v="06 - concurso de méritos abierto"/>
    <x v="1"/>
    <s v="03 - contrato de prestacion de servicios"/>
    <s v="MAYO"/>
    <n v="24"/>
    <n v="0"/>
    <n v="0"/>
    <s v="NO"/>
    <s v="Sub. Gestión Humana"/>
    <s v="Jose Andres Ponce Caicedo"/>
    <x v="3"/>
    <s v="Subdirector@ de Gestión Corporativa"/>
    <x v="4"/>
    <s v="N/A"/>
    <s v="No aplica"/>
    <s v="No a"/>
    <s v="l"/>
    <s v="NA"/>
    <s v="NA"/>
    <s v="NA"/>
    <s v="N/A"/>
    <s v="N/A"/>
    <s v="N/A-N/A"/>
    <s v="N/A"/>
    <s v="N/A"/>
    <s v="N/A_N/A"/>
    <s v="N/A-N/A N/A_N/A"/>
    <s v="NANANAN/AN/A"/>
    <s v="N/A"/>
    <s v="No Aplica"/>
    <s v="No Secop"/>
    <s v="20260661-BS-No a-l-SGH -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
  </r>
  <r>
    <n v="20260662"/>
    <s v="Adición y prórrroga al contrato 604-2025, cuyo objeto es: &quot;Adquisición de elementos de protección personal (E.P.P.) para la atención de emergencias de la UAE cuerpo oficial de bomberos de Bogotá&quot; lote v. trajes de fontanero&quot;"/>
    <s v="03 - selec. abrev. subasta inversa"/>
    <x v="1"/>
    <s v="06 - contrato de compraventa"/>
    <s v="JULIO"/>
    <n v="3"/>
    <n v="0"/>
    <n v="54274124"/>
    <s v="NO"/>
    <s v="Sub. Operativa"/>
    <s v="Yenire Yohansy Lozano Ascanio"/>
    <x v="1"/>
    <s v="Subdirector@ de Gestión Corporativa"/>
    <x v="1"/>
    <n v="53102710"/>
    <s v="No aplica"/>
    <s v="No a"/>
    <s v="l"/>
    <s v="NA"/>
    <s v="NA"/>
    <s v="NA"/>
    <s v="N/A"/>
    <s v="N/A"/>
    <s v="N/A-N/A"/>
    <s v="N/A"/>
    <s v="N/A"/>
    <s v="N/A_N/A"/>
    <s v="N/A-N/A N/A_N/A"/>
    <s v="NANANAN/AN/A"/>
    <s v="N/A"/>
    <s v="O2120201002082823609    Uniformes de trabajo"/>
    <s v="No Secop"/>
    <s v="20260662-BS-No a-l-Adición y prórrroga al contrato 604-2025, cuyo objeto es: &quot;Adquisición de elementos de protección personal (E.P.P.) para la atención de emergencias de la UAE cuerpo oficial de bomberos de Bogotá&quot; lote v. trajes de fontanero&quot;"/>
  </r>
  <r>
    <n v="20260663"/>
    <s v="Adición y prórroga al contrato 692 de 2025 cuyo objeto es: &quot;Brindar apoyo en temas propios de gestión documental de expedientes físicos y de soporte administrativo que se requieran en las actividades desplegadas por la Oficina Jurídica&quot;."/>
    <s v="09 - contratación directa"/>
    <x v="0"/>
    <s v="26 - contrato de prestacion de servicios de apoyo a la gestion"/>
    <s v="MARZO"/>
    <n v="1.5"/>
    <n v="0"/>
    <n v="51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63-TH-8126-9-Adición y prórroga al contrato 692 de 2025 cuyo objeto es: &quot;Brindar apoyo en temas propios de gestión documental de expedientes físicos y de soporte administrativo que se requieran en las actividades desplegadas por la Oficina Jurídica&quot;."/>
  </r>
  <r>
    <n v="20260664"/>
    <s v="Adición y prórroga al contrato 702 de 2025 cuyo objeto es: &quot;Prestar los servicios profesionales jurídicos especializados para apoyar el desarrollo de las funciones de la Oficina Jurídica&quot;"/>
    <s v="09 - contratación directa"/>
    <x v="0"/>
    <s v="25 - contrato de prestacion de servicios profesionales"/>
    <s v="MARZO"/>
    <n v="1.5"/>
    <n v="0"/>
    <n v="165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64-TH-8126-9-Adición y prórroga al contrato 702 de 2025 cuyo objeto es: &quot;Prestar los servicios profesionales jurídicos especializados para apoyar el desarrollo de las funciones de la Oficina Jurídica&quot;"/>
  </r>
  <r>
    <n v="20260665"/>
    <s v="Adición y prórroga al contrato 702 de 2025 cuyo objeto es: &quot;Prestar el servicio de apoyo técnico y operativo a la gestión de los procesos disciplinarios en la etapa de juzgamiento, mediante la ejecución de tareas administrativas, logísticas y de soporte documental en la Oficina Jurídica&quot;"/>
    <s v="09 - contratación directa"/>
    <x v="0"/>
    <s v="25 - contrato de prestacion de servicios profesionales"/>
    <s v="MAYO"/>
    <n v="2"/>
    <n v="0"/>
    <n v="68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No Secop"/>
    <s v="20260665-TH-8126-9-Adición y prórroga al contrato 702 de 2025 cuyo objeto es: &quot;Prestar el servicio de apoyo técnico y operativo a la gestión de los procesos disciplinarios en la etapa de juzgamiento, mediante la ejecución de tareas administrativas, logísticas y de soporte documental en la Oficina Jurídica&quot;"/>
  </r>
  <r>
    <n v="20260666"/>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x v="0"/>
    <s v="26 - contrato de prestacion de servicios de apoyo a la gestion"/>
    <s v="ABRIL"/>
    <n v="2"/>
    <n v="0"/>
    <n v="12400000"/>
    <s v="NO"/>
    <s v="Oficina Juridica"/>
    <s v="Mónica María Pérez Barragán"/>
    <x v="0"/>
    <s v="Subdirector@ de Gestión Corporativa"/>
    <x v="0"/>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991191 Servicios administrativos relacionados con los trabajadores estatales"/>
    <s v="Si Secop "/>
    <s v="20260666-TH-8126-9-Prestar los servicios profesionales para apoyar las actividades propias de la gestión contractual a cargo de la Oficina Jurídica, en función de las necesidades identificadas por la entidad y con el propósito de garantizar el cumplimiento de su misionalidad."/>
  </r>
  <r>
    <n v="20260667"/>
    <s v="Adición y prórroga al Contrato No. 363-2025 cuyo objeto es: Contratar los servicios de canales de datos dedicados para la UAE Cuerpo Oficial de Bomberos de Bogotá – TIC"/>
    <s v="17 - acuerdo marco de precios"/>
    <x v="1"/>
    <s v="24 - contrato de servicio"/>
    <s v="ABRIL"/>
    <n v="2"/>
    <n v="26"/>
    <n v="60000000"/>
    <s v="NO"/>
    <s v="Dirección Tic"/>
    <s v="Paula Ximena Henao Escobar"/>
    <x v="1"/>
    <s v="Subdirector@ de Gestión Corporativa"/>
    <x v="0"/>
    <n v="80111600"/>
    <s v="N/A"/>
    <s v="N/A"/>
    <s v=""/>
    <s v="NA"/>
    <s v="NA"/>
    <s v="NA"/>
    <s v="N/A"/>
    <s v="N/A"/>
    <s v="N/A-N/A"/>
    <s v="N/A"/>
    <s v="N/A"/>
    <s v="N/A_N/A"/>
    <s v="N/A-N/A N/A_N/A"/>
    <s v="NANANAN/AN/A"/>
    <s v="N/A"/>
    <s v="No Aplica"/>
    <s v="No Secop"/>
    <s v="20260667-BS-N/A--Adición y prórroga al Contrato No. 363-2025 cuyo objeto es: Contratar los servicios de canales de datos dedicados para la UAE Cuerpo Oficial de Bomberos de Bogotá – TIC"/>
  </r>
  <r>
    <n v="20260668"/>
    <s v="Contratar la adquisición, renovación, implementación y soporte técnico de soluciones integrales de infraestructura tecnológica, seguridad perimetral, gestión de servicios TI y continuidad del negocio (Cloud &amp; Backup) para la Unidad Administrativa Especial Cuerpo Oficial de Bomberos de Bogotá"/>
    <s v="01 - licitación pública"/>
    <x v="1"/>
    <s v="06 - contrato de compraventa"/>
    <s v="MARZO"/>
    <n v="12"/>
    <n v="0"/>
    <n v="1748139314"/>
    <s v="NO"/>
    <s v="Dirección Tic"/>
    <s v="Paula Ximena Henao Escobar"/>
    <x v="0"/>
    <s v="Subdirector@ de Gestión Corporativa"/>
    <x v="0"/>
    <s v="43222500; 43231500; 43231501; 43231513; 43232309; 43232907; 43232915; 43233200; 43233203; 43233204; 43233205; 43233400; 43233403; 43233405; 43233415; 43233416; 81111802; 81111808; 81111811; 81111812; 81112201; 81112203; 81112222"/>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s v="20260668-BS-8126-7-Contratar la adquisición, renovación, implementación y soporte técnico de soluciones integrales de infraestructura tecnológica, seguridad perimetral, gestión de servicios TI y continuidad del negocio (Cloud &amp; Backup) para la Unidad Administrativa Especial Cuerpo Oficial de Bomberos de Bogotá"/>
  </r>
  <r>
    <n v="20260669"/>
    <s v="Pago pasivo contrato 815 de 2024 cuyo objeto es: &quot;Contratar el servicio de soporte y mantenimiento del sistema de control de acceso para los visitantes y los funcionarios de la U.A.E. Cuerpo Oficial Bomberos de Bogotá&quot;, Otro Si No. 01 de 2025."/>
    <s v="91 - n/a acto administrativo (resolución, decreto, acuerdo, etc.)"/>
    <x v="1"/>
    <s v="03 - contrato de prestacion de servicios"/>
    <s v="MARZO"/>
    <n v="1"/>
    <n v="0"/>
    <n v="3212500"/>
    <s v="NO"/>
    <s v="Dirección Tic"/>
    <s v="Paula Ximena Henao Escobar"/>
    <x v="0"/>
    <s v="Subdirector@ de Gestión Corporativa"/>
    <x v="5"/>
    <s v="N/A"/>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991191 Servicios administrativos relacionados con los trabajadores estatales"/>
    <s v="No Secop"/>
    <s v="20260669-BS-8126-5-Pago pasivo contrato 815 de 2024 cuyo objeto es: &quot;Contratar el servicio de soporte y mantenimiento del sistema de control de acceso para los visitantes y los funcionarios de la U.A.E. Cuerpo Oficial Bomberos de Bogotá&quot;, Otro Si No. 01 de 202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929155B-1D1F-4EAF-B8BC-97DB8C199B5C}" name="TablaDinámica2" cacheId="12" applyNumberFormats="0" applyBorderFormats="0" applyFontFormats="0" applyPatternFormats="0" applyAlignmentFormats="0" applyWidthHeightFormats="1" dataCaption="Valores" updatedVersion="8" minRefreshableVersion="3" itemPrintTitles="1" createdVersion="8" indent="0" outline="1" outlineData="1" multipleFieldFilters="0">
  <location ref="A5:B11" firstHeaderRow="1" firstDataRow="1" firstDataCol="1" rowPageCount="2" colPageCount="1"/>
  <pivotFields count="34">
    <pivotField outline="0" showAll="0" defaultSubtotal="0">
      <extLst>
        <ext xmlns:x14="http://schemas.microsoft.com/office/spreadsheetml/2009/9/main" uri="{2946ED86-A175-432a-8AC1-64E0C546D7DE}">
          <x14:pivotField fillDownLabels="1"/>
        </ext>
      </extLst>
    </pivotField>
    <pivotField outline="0" showAll="0" defaultSubtotal="0">
      <extLst>
        <ext xmlns:x14="http://schemas.microsoft.com/office/spreadsheetml/2009/9/main" uri="{2946ED86-A175-432a-8AC1-64E0C546D7DE}">
          <x14:pivotField fillDownLabels="1"/>
        </ext>
      </extLst>
    </pivotField>
    <pivotField showAll="0"/>
    <pivotField axis="axisPage" outline="0" multipleItemSelectionAllowed="1" showAll="0" defaultSubtotal="0">
      <items count="2">
        <item x="1"/>
        <item x="0"/>
      </items>
      <extLst>
        <ext xmlns:x14="http://schemas.microsoft.com/office/spreadsheetml/2009/9/main" uri="{2946ED86-A175-432a-8AC1-64E0C546D7DE}">
          <x14:pivotField fillDownLabels="1"/>
        </ext>
      </extLst>
    </pivotField>
    <pivotField showAll="0"/>
    <pivotField showAll="0"/>
    <pivotField showAll="0"/>
    <pivotField showAll="0"/>
    <pivotField dataField="1" numFmtId="164" showAll="0"/>
    <pivotField outline="0" showAll="0" defaultSubtotal="0">
      <extLst>
        <ext xmlns:x14="http://schemas.microsoft.com/office/spreadsheetml/2009/9/main" uri="{2946ED86-A175-432a-8AC1-64E0C546D7DE}">
          <x14:pivotField fillDownLabels="1"/>
        </ext>
      </extLst>
    </pivotField>
    <pivotField outline="0" multipleItemSelectionAllowed="1" showAll="0" defaultSubtotal="0">
      <extLst>
        <ext xmlns:x14="http://schemas.microsoft.com/office/spreadsheetml/2009/9/main" uri="{2946ED86-A175-432a-8AC1-64E0C546D7DE}">
          <x14:pivotField fillDownLabels="1"/>
        </ext>
      </extLst>
    </pivotField>
    <pivotField showAll="0"/>
    <pivotField axis="axisPage" outline="0" multipleItemSelectionAllowed="1" showAll="0" defaultSubtotal="0">
      <items count="4">
        <item h="1" x="1"/>
        <item x="0"/>
        <item x="2"/>
        <item h="1" x="3"/>
      </items>
      <extLst>
        <ext xmlns:x14="http://schemas.microsoft.com/office/spreadsheetml/2009/9/main" uri="{2946ED86-A175-432a-8AC1-64E0C546D7DE}">
          <x14:pivotField fillDownLabels="1"/>
        </ext>
      </extLst>
    </pivotField>
    <pivotField showAll="0"/>
    <pivotField axis="axisRow" outline="0" showAll="0" defaultSubtotal="0">
      <items count="6">
        <item x="1"/>
        <item x="3"/>
        <item x="0"/>
        <item x="2"/>
        <item x="4"/>
        <item x="5"/>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outline="0" multipleItemSelectionAllowed="1" showAll="0" defaultSubtotal="0">
      <extLst>
        <ext xmlns:x14="http://schemas.microsoft.com/office/spreadsheetml/2009/9/main" uri="{2946ED86-A175-432a-8AC1-64E0C546D7DE}">
          <x14:pivotField fillDownLabels="1"/>
        </ext>
      </extLst>
    </pivotField>
    <pivotField showAll="0"/>
    <pivotField outline="0" multipleItemSelectionAllowed="1" showAll="0" defaultSubtotal="0">
      <extLst>
        <ext xmlns:x14="http://schemas.microsoft.com/office/spreadsheetml/2009/9/main" uri="{2946ED86-A175-432a-8AC1-64E0C546D7DE}">
          <x14:pivotField fillDownLabels="1"/>
        </ext>
      </extLst>
    </pivotField>
    <pivotField showAll="0"/>
    <pivotField showAll="0"/>
  </pivotFields>
  <rowFields count="1">
    <field x="14"/>
  </rowFields>
  <rowItems count="6">
    <i>
      <x/>
    </i>
    <i>
      <x v="1"/>
    </i>
    <i>
      <x v="2"/>
    </i>
    <i>
      <x v="3"/>
    </i>
    <i>
      <x v="5"/>
    </i>
    <i t="grand">
      <x/>
    </i>
  </rowItems>
  <colItems count="1">
    <i/>
  </colItems>
  <pageFields count="2">
    <pageField fld="3" hier="-1"/>
    <pageField fld="12" hier="-1"/>
  </pageFields>
  <dataFields count="1">
    <dataField name="Suma de Valor apropiacion vigencia actual" fld="8" baseField="0" baseItem="0" numFmtId="164"/>
  </dataFields>
  <formats count="4">
    <format dxfId="18">
      <pivotArea outline="0" collapsedLevelsAreSubtotals="1" fieldPosition="0"/>
    </format>
    <format dxfId="17">
      <pivotArea field="12" type="button" dataOnly="0" labelOnly="1" outline="0" axis="axisPage" fieldPosition="1"/>
    </format>
    <format dxfId="16">
      <pivotArea type="topRight" dataOnly="0" labelOnly="1" outline="0" fieldPosition="0"/>
    </format>
    <format dxfId="15">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AA" displayName="PAA" ref="B11:AI667" totalsRowShown="0" headerRowDxfId="57" dataDxfId="55" headerRowBorderDxfId="56" tableBorderDxfId="54" totalsRowBorderDxfId="53">
  <autoFilter ref="B11:AI667" xr:uid="{00000000-000C-0000-FFFF-FFFF00000000}"/>
  <sortState xmlns:xlrd2="http://schemas.microsoft.com/office/spreadsheetml/2017/richdata2" ref="B12:AI667">
    <sortCondition sortBy="cellColor" ref="B11:B667" dxfId="1"/>
  </sortState>
  <tableColumns count="34">
    <tableColumn id="1" xr3:uid="{00000000-0010-0000-0000-000001000000}" name="Id Interno" dataDxfId="52" dataCellStyle="Millares"/>
    <tableColumn id="29" xr3:uid="{6E0C2575-6F82-4393-8478-8ABA1BB95D8D}" name="Objeto de la contratación" dataDxfId="51" dataCellStyle="Millares"/>
    <tableColumn id="30" xr3:uid="{2E28827C-CB39-46C1-AE1A-A273E80C18AA}" name="Modalidad de Selección" dataDxfId="50" dataCellStyle="Millares"/>
    <tableColumn id="31" xr3:uid="{FA1C55F6-D46D-422B-8D87-02AF4EF50FB5}" name="tipo de Contrato (TH talento humano - B/S bienes y/o servicios)" dataDxfId="49" dataCellStyle="Millares"/>
    <tableColumn id="32" xr3:uid="{0496A17B-836C-488C-83FC-7B97E621862C}" name="Tipo de Contratación" dataDxfId="48" dataCellStyle="Millares"/>
    <tableColumn id="34" xr3:uid="{5030F4BB-20B2-4AA9-BB7F-6FE8E982496F}" name="Mes estimado de inicio de ejecución" dataDxfId="47"/>
    <tableColumn id="35" xr3:uid="{55022259-E0E1-40DB-9906-2780E56ADBD6}" name="plazo ejec Meses" dataDxfId="46"/>
    <tableColumn id="36" xr3:uid="{640C848D-F55E-4544-9D2E-B70ECD132648}" name="mas plazo ejec Días (si aplica)" dataDxfId="45"/>
    <tableColumn id="5" xr3:uid="{05DF518B-CA49-46BE-8AA0-2C47633D4CCA}" name="Valor apropiacion vigencia actual" dataDxfId="44" dataCellStyle="Millares"/>
    <tableColumn id="37" xr3:uid="{777DB4FA-284B-4B1C-83F5-FEBFB0A46D55}" name="¿vigencia futuras?" dataDxfId="43" dataCellStyle="Millares"/>
    <tableColumn id="3" xr3:uid="{00000000-0010-0000-0000-000003000000}" name="Dependencia Solicitante" dataDxfId="42"/>
    <tableColumn id="4" xr3:uid="{00000000-0010-0000-0000-000004000000}" name="Responsable del Proceso" dataDxfId="41" dataCellStyle="Normal 2"/>
    <tableColumn id="40" xr3:uid="{36691A9F-1FC4-4BDD-BF10-A3870A450F77}" name="Proyecto y nombre Asociado" dataDxfId="40" dataCellStyle="Millares"/>
    <tableColumn id="38" xr3:uid="{BBFE6D21-66F0-43E1-A3BB-14789CB36D19}" name="Gerente del Proyecto Asociado" dataDxfId="39" dataCellStyle="Normal 2"/>
    <tableColumn id="39" xr3:uid="{586F9A4B-5355-4D5E-9ACF-9D0D92CFF1E2}" name="Fuente de Recursos" dataDxfId="38" dataCellStyle="Normal 2"/>
    <tableColumn id="7" xr3:uid="{00000000-0010-0000-0000-000007000000}" name="Código UNSPSC (cada código separado por ;)" dataDxfId="37" dataCellStyle="Moneda"/>
    <tableColumn id="14" xr3:uid="{00000000-0010-0000-0000-00000E000000}" name="Meta Proyecto de Inversión" dataDxfId="36" dataCellStyle="Normal 2"/>
    <tableColumn id="42" xr3:uid="{42825D5A-D18E-49D3-BB8F-EA1165D885F7}" name="meta objeto" dataDxfId="35" dataCellStyle="Normal 2">
      <calculatedColumnFormula>MID(PAA[[#This Row],[Meta Proyecto de Inversión]],1,4)</calculatedColumnFormula>
    </tableColumn>
    <tableColumn id="43" xr3:uid="{84B78E2C-6E64-4CCD-9B0C-3F6A1F27A8AF}" name="meta objeto2" dataDxfId="34" dataCellStyle="Normal 2">
      <calculatedColumnFormula>MID(PAA[[#This Row],[Meta Proyecto de Inversión]],6,1)</calculatedColumnFormula>
    </tableColumn>
    <tableColumn id="15" xr3:uid="{00000000-0010-0000-0000-00000F000000}" name="Bogotá camina segura" dataDxfId="33" dataCellStyle="Normal 2">
      <calculatedColumnFormula>IFERROR(VLOOKUP(N12,TD!$B$50:$F$54,2,0)," ")</calculatedColumnFormula>
    </tableColumn>
    <tableColumn id="16" xr3:uid="{00000000-0010-0000-0000-000010000000}" name="Sector_Programa MGA" dataDxfId="32" dataCellStyle="Normal 2">
      <calculatedColumnFormula>IFERROR(VLOOKUP(N12,TD!$B$50:$F$54,3,0)," ")</calculatedColumnFormula>
    </tableColumn>
    <tableColumn id="17" xr3:uid="{00000000-0010-0000-0000-000011000000}" name="BPIN (AÑO+COD_PROYECTO)" dataDxfId="31" dataCellStyle="Normal 2">
      <calculatedColumnFormula>IFERROR(VLOOKUP(N12,TD!$B$50:$F$54,4,0)," ")</calculatedColumnFormula>
    </tableColumn>
    <tableColumn id="18" xr3:uid="{00000000-0010-0000-0000-000012000000}" name="Producto PMR" dataDxfId="30" dataCellStyle="Normal 2"/>
    <tableColumn id="19" xr3:uid="{00000000-0010-0000-0000-000013000000}" name="Descripción Producto PMR" dataDxfId="29" dataCellStyle="Normal 2"/>
    <tableColumn id="20" xr3:uid="{00000000-0010-0000-0000-000014000000}" name="PMR conca" dataDxfId="28" dataCellStyle="Normal 2">
      <calculatedColumnFormula>CONCATENATE(X12,"-",Y12)</calculatedColumnFormula>
    </tableColumn>
    <tableColumn id="21" xr3:uid="{00000000-0010-0000-0000-000015000000}" name="Producto MGA" dataDxfId="27" dataCellStyle="Normal 2"/>
    <tableColumn id="22" xr3:uid="{00000000-0010-0000-0000-000016000000}" name="Descripción Producto MGA" dataDxfId="26" dataCellStyle="Normal 2"/>
    <tableColumn id="23" xr3:uid="{00000000-0010-0000-0000-000017000000}" name="concatenarMGA" dataDxfId="25" dataCellStyle="Normal 2">
      <calculatedColumnFormula>CONCATENATE(AA12,"_",AB12)</calculatedColumnFormula>
    </tableColumn>
    <tableColumn id="24" xr3:uid="{00000000-0010-0000-0000-000018000000}" name="PM MGA conca" dataDxfId="24" dataCellStyle="Normal 2">
      <calculatedColumnFormula>CONCATENATE(Z12," ",AC12)</calculatedColumnFormula>
    </tableColumn>
    <tableColumn id="25" xr3:uid="{00000000-0010-0000-0000-000019000000}" name="Código de proyecto de inversión, asociado a productos PMR y MGA" dataDxfId="23" dataCellStyle="Normal 2">
      <calculatedColumnFormula>CONCATENATE(U12,V12,W12,X12,AA12)</calculatedColumnFormula>
    </tableColumn>
    <tableColumn id="26" xr3:uid="{00000000-0010-0000-0000-00001A000000}" name="codigo PEP" dataDxfId="22" dataCellStyle="Normal 2"/>
    <tableColumn id="27" xr3:uid="{00000000-0010-0000-0000-00001B000000}" name="POSPRE" dataDxfId="21" dataCellStyle="Millares"/>
    <tableColumn id="28" xr3:uid="{00000000-0010-0000-0000-00001C000000}" name="Si Secop / No Secop" dataDxfId="20" dataCellStyle="Normal 2"/>
    <tableColumn id="41" xr3:uid="{9A77615E-E441-4C5E-9871-62C3FAF4DAF0}" name="Objeto de contratacion CDP" dataDxfId="19">
      <calculatedColumnFormula>CONCATENATE(PAA[[#This Row],[Id Interno]],"-",PAA[[#This Row],[tipo de Contrato (TH talento humano - B/S bienes y/o servicios)]],"-",S12,"-",T12,"-",PAA[[#This Row],[Objeto de la contratación]])</calculatedColumnFormula>
    </tableColumn>
  </tableColumns>
  <tableStyleInfo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1.bin"/><Relationship Id="rId3" Type="http://schemas.openxmlformats.org/officeDocument/2006/relationships/hyperlink" Target="mailto:Subdirector@%20de%20Gesti&#243;n%20del%20Riesgo" TargetMode="External"/><Relationship Id="rId7" Type="http://schemas.openxmlformats.org/officeDocument/2006/relationships/printerSettings" Target="../printerSettings/printerSettings1.bin"/><Relationship Id="rId2" Type="http://schemas.openxmlformats.org/officeDocument/2006/relationships/hyperlink" Target="mailto:Subdirector@%20de%20Gesti&#243;n%20Corporativa" TargetMode="External"/><Relationship Id="rId1" Type="http://schemas.openxmlformats.org/officeDocument/2006/relationships/hyperlink" Target="mailto:Subdirector@%20de%20Gesti&#243;n%20Corporativa" TargetMode="External"/><Relationship Id="rId6" Type="http://schemas.openxmlformats.org/officeDocument/2006/relationships/hyperlink" Target="mailto:Subdirector@%20de%20Gesti&#243;n%20Corporativa" TargetMode="External"/><Relationship Id="rId5" Type="http://schemas.openxmlformats.org/officeDocument/2006/relationships/hyperlink" Target="mailto:Subdirector@%20de%20Gesti&#243;n%20del%20Riesgo" TargetMode="External"/><Relationship Id="rId10" Type="http://schemas.openxmlformats.org/officeDocument/2006/relationships/table" Target="../tables/table1.xml"/><Relationship Id="rId4" Type="http://schemas.openxmlformats.org/officeDocument/2006/relationships/hyperlink" Target="mailto:Subdirector@%20de%20Gesti&#243;n%20del%20Riesgo"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2A4CC-1D14-44B6-9679-5F3E3A737448}">
  <dimension ref="A1:E1236"/>
  <sheetViews>
    <sheetView zoomScale="85" zoomScaleNormal="85" workbookViewId="0">
      <selection activeCell="A6" sqref="A6"/>
    </sheetView>
  </sheetViews>
  <sheetFormatPr baseColWidth="10" defaultColWidth="10.7265625" defaultRowHeight="14.5" x14ac:dyDescent="0.35"/>
  <cols>
    <col min="1" max="1" width="38.54296875" customWidth="1"/>
    <col min="2" max="2" width="20.26953125" style="124" customWidth="1"/>
    <col min="3" max="3" width="17.08984375" style="124" customWidth="1"/>
    <col min="4" max="4" width="22.90625" style="124" customWidth="1"/>
    <col min="5" max="5" width="17.81640625" style="124" customWidth="1"/>
    <col min="6" max="6" width="16" customWidth="1"/>
    <col min="7" max="7" width="20" customWidth="1"/>
  </cols>
  <sheetData>
    <row r="1" spans="1:5" ht="22" customHeight="1" x14ac:dyDescent="0.35">
      <c r="B1"/>
    </row>
    <row r="2" spans="1:5" x14ac:dyDescent="0.35">
      <c r="A2" s="57" t="s">
        <v>364</v>
      </c>
      <c r="B2" t="s">
        <v>1004</v>
      </c>
      <c r="C2"/>
      <c r="D2"/>
      <c r="E2"/>
    </row>
    <row r="3" spans="1:5" x14ac:dyDescent="0.35">
      <c r="A3" s="125" t="s">
        <v>368</v>
      </c>
      <c r="B3" t="s">
        <v>1012</v>
      </c>
      <c r="C3"/>
      <c r="D3"/>
      <c r="E3"/>
    </row>
    <row r="4" spans="1:5" x14ac:dyDescent="0.35">
      <c r="B4"/>
      <c r="C4" s="154"/>
      <c r="D4"/>
      <c r="E4"/>
    </row>
    <row r="5" spans="1:5" x14ac:dyDescent="0.35">
      <c r="A5" s="57" t="s">
        <v>346</v>
      </c>
      <c r="B5" s="58" t="s">
        <v>572</v>
      </c>
      <c r="C5"/>
      <c r="D5"/>
      <c r="E5"/>
    </row>
    <row r="6" spans="1:5" x14ac:dyDescent="0.35">
      <c r="A6" t="s">
        <v>161</v>
      </c>
      <c r="B6" s="58">
        <v>213419000</v>
      </c>
      <c r="C6"/>
      <c r="D6"/>
      <c r="E6"/>
    </row>
    <row r="7" spans="1:5" x14ac:dyDescent="0.35">
      <c r="A7" t="s">
        <v>560</v>
      </c>
      <c r="B7" s="58">
        <v>8000000000</v>
      </c>
      <c r="C7"/>
      <c r="D7"/>
      <c r="E7"/>
    </row>
    <row r="8" spans="1:5" x14ac:dyDescent="0.35">
      <c r="A8" t="s">
        <v>348</v>
      </c>
      <c r="B8" s="58">
        <v>52803770500</v>
      </c>
      <c r="C8"/>
      <c r="D8"/>
      <c r="E8"/>
    </row>
    <row r="9" spans="1:5" x14ac:dyDescent="0.35">
      <c r="A9" t="s">
        <v>575</v>
      </c>
      <c r="B9" s="58">
        <v>6914369000</v>
      </c>
      <c r="C9"/>
      <c r="D9"/>
      <c r="E9"/>
    </row>
    <row r="10" spans="1:5" x14ac:dyDescent="0.35">
      <c r="A10" t="s">
        <v>162</v>
      </c>
      <c r="B10" s="58">
        <v>3212500</v>
      </c>
      <c r="C10"/>
      <c r="D10"/>
      <c r="E10"/>
    </row>
    <row r="11" spans="1:5" x14ac:dyDescent="0.35">
      <c r="A11" t="s">
        <v>347</v>
      </c>
      <c r="B11" s="58">
        <v>67934771000</v>
      </c>
      <c r="C11"/>
      <c r="D11"/>
      <c r="E11"/>
    </row>
    <row r="12" spans="1:5" x14ac:dyDescent="0.35">
      <c r="B12"/>
      <c r="C12"/>
      <c r="D12"/>
      <c r="E12"/>
    </row>
    <row r="13" spans="1:5" x14ac:dyDescent="0.35">
      <c r="B13"/>
      <c r="C13"/>
      <c r="D13"/>
      <c r="E13"/>
    </row>
    <row r="14" spans="1:5" x14ac:dyDescent="0.35">
      <c r="B14"/>
      <c r="C14"/>
      <c r="D14"/>
      <c r="E14"/>
    </row>
    <row r="15" spans="1:5" x14ac:dyDescent="0.35">
      <c r="B15"/>
      <c r="C15"/>
      <c r="D15"/>
      <c r="E15"/>
    </row>
    <row r="16" spans="1:5" x14ac:dyDescent="0.35">
      <c r="B16"/>
      <c r="C16"/>
      <c r="D16"/>
      <c r="E16"/>
    </row>
    <row r="17" customFormat="1" x14ac:dyDescent="0.35"/>
    <row r="18" customFormat="1" x14ac:dyDescent="0.35"/>
    <row r="19" customFormat="1" x14ac:dyDescent="0.35"/>
    <row r="20" customFormat="1" x14ac:dyDescent="0.35"/>
    <row r="21" customFormat="1" x14ac:dyDescent="0.35"/>
    <row r="22" customFormat="1" x14ac:dyDescent="0.35"/>
    <row r="23" customFormat="1" x14ac:dyDescent="0.35"/>
    <row r="24" customFormat="1" x14ac:dyDescent="0.35"/>
    <row r="25" customFormat="1" x14ac:dyDescent="0.35"/>
    <row r="26" customFormat="1" x14ac:dyDescent="0.35"/>
    <row r="27" customFormat="1" x14ac:dyDescent="0.35"/>
    <row r="28" customFormat="1" x14ac:dyDescent="0.35"/>
    <row r="29" customFormat="1" x14ac:dyDescent="0.35"/>
    <row r="30" customFormat="1" x14ac:dyDescent="0.35"/>
    <row r="31" customFormat="1" x14ac:dyDescent="0.35"/>
    <row r="32" customFormat="1" x14ac:dyDescent="0.35"/>
    <row r="33" customFormat="1" x14ac:dyDescent="0.35"/>
    <row r="34" customFormat="1" x14ac:dyDescent="0.35"/>
    <row r="35" customFormat="1" x14ac:dyDescent="0.35"/>
    <row r="36" customFormat="1" x14ac:dyDescent="0.35"/>
    <row r="37" customFormat="1" x14ac:dyDescent="0.35"/>
    <row r="38" customFormat="1" x14ac:dyDescent="0.35"/>
    <row r="39" customFormat="1" x14ac:dyDescent="0.35"/>
    <row r="40" customFormat="1" x14ac:dyDescent="0.35"/>
    <row r="41" customFormat="1" x14ac:dyDescent="0.35"/>
    <row r="42" customFormat="1" x14ac:dyDescent="0.35"/>
    <row r="43" customFormat="1" x14ac:dyDescent="0.35"/>
    <row r="44" customFormat="1" x14ac:dyDescent="0.35"/>
    <row r="45" customFormat="1" x14ac:dyDescent="0.35"/>
    <row r="46" customFormat="1" x14ac:dyDescent="0.35"/>
    <row r="47" customFormat="1" x14ac:dyDescent="0.35"/>
    <row r="48" customFormat="1" x14ac:dyDescent="0.35"/>
    <row r="49" customFormat="1" x14ac:dyDescent="0.35"/>
    <row r="50" customFormat="1" x14ac:dyDescent="0.35"/>
    <row r="51" customFormat="1" x14ac:dyDescent="0.35"/>
    <row r="52" customFormat="1" x14ac:dyDescent="0.35"/>
    <row r="53" customFormat="1" x14ac:dyDescent="0.35"/>
    <row r="54" customFormat="1" x14ac:dyDescent="0.35"/>
    <row r="55" customFormat="1" x14ac:dyDescent="0.35"/>
    <row r="56" customFormat="1" x14ac:dyDescent="0.35"/>
    <row r="57" customFormat="1" x14ac:dyDescent="0.35"/>
    <row r="58" customFormat="1" x14ac:dyDescent="0.35"/>
    <row r="59" customFormat="1" x14ac:dyDescent="0.35"/>
    <row r="60" customFormat="1" x14ac:dyDescent="0.35"/>
    <row r="61" customFormat="1" x14ac:dyDescent="0.35"/>
    <row r="62" customFormat="1" x14ac:dyDescent="0.35"/>
    <row r="63" customFormat="1" x14ac:dyDescent="0.35"/>
    <row r="64" customFormat="1" x14ac:dyDescent="0.35"/>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row r="132" customFormat="1" x14ac:dyDescent="0.35"/>
    <row r="133" customFormat="1" x14ac:dyDescent="0.35"/>
    <row r="134" customFormat="1" x14ac:dyDescent="0.35"/>
    <row r="135" customFormat="1" x14ac:dyDescent="0.35"/>
    <row r="136" customFormat="1" x14ac:dyDescent="0.35"/>
    <row r="137" customFormat="1" x14ac:dyDescent="0.35"/>
    <row r="138" customFormat="1" x14ac:dyDescent="0.35"/>
    <row r="139" customFormat="1" x14ac:dyDescent="0.35"/>
    <row r="140" customFormat="1" x14ac:dyDescent="0.35"/>
    <row r="141" customFormat="1" x14ac:dyDescent="0.35"/>
    <row r="142" customFormat="1" x14ac:dyDescent="0.35"/>
    <row r="143" customFormat="1" x14ac:dyDescent="0.35"/>
    <row r="144" customFormat="1" x14ac:dyDescent="0.35"/>
    <row r="145" customFormat="1" x14ac:dyDescent="0.35"/>
    <row r="146" customFormat="1" x14ac:dyDescent="0.35"/>
    <row r="147" customFormat="1" x14ac:dyDescent="0.35"/>
    <row r="148" customFormat="1" x14ac:dyDescent="0.35"/>
    <row r="149" customFormat="1" x14ac:dyDescent="0.35"/>
    <row r="150" customFormat="1" x14ac:dyDescent="0.35"/>
    <row r="151" customFormat="1" x14ac:dyDescent="0.35"/>
    <row r="152" customFormat="1" x14ac:dyDescent="0.35"/>
    <row r="153" customFormat="1" x14ac:dyDescent="0.35"/>
    <row r="154" customFormat="1" x14ac:dyDescent="0.35"/>
    <row r="155" customFormat="1" x14ac:dyDescent="0.35"/>
    <row r="156" customFormat="1" x14ac:dyDescent="0.35"/>
    <row r="157" customFormat="1" x14ac:dyDescent="0.35"/>
    <row r="158" customFormat="1" x14ac:dyDescent="0.35"/>
    <row r="159" customFormat="1" x14ac:dyDescent="0.35"/>
    <row r="160" customFormat="1" x14ac:dyDescent="0.35"/>
    <row r="161" customFormat="1" x14ac:dyDescent="0.35"/>
    <row r="162" customFormat="1" x14ac:dyDescent="0.35"/>
    <row r="163" customFormat="1" x14ac:dyDescent="0.35"/>
    <row r="164" customFormat="1" x14ac:dyDescent="0.35"/>
    <row r="165" customFormat="1" x14ac:dyDescent="0.35"/>
    <row r="166" customFormat="1" x14ac:dyDescent="0.35"/>
    <row r="167" customFormat="1" x14ac:dyDescent="0.35"/>
    <row r="168" customFormat="1" x14ac:dyDescent="0.35"/>
    <row r="169" customFormat="1" x14ac:dyDescent="0.35"/>
    <row r="170" customFormat="1" x14ac:dyDescent="0.35"/>
    <row r="171" customFormat="1" x14ac:dyDescent="0.35"/>
    <row r="172" customFormat="1" x14ac:dyDescent="0.35"/>
    <row r="173" customFormat="1" x14ac:dyDescent="0.35"/>
    <row r="174" customFormat="1" x14ac:dyDescent="0.35"/>
    <row r="175" customFormat="1" x14ac:dyDescent="0.35"/>
    <row r="176" customFormat="1" x14ac:dyDescent="0.35"/>
    <row r="177" customFormat="1" x14ac:dyDescent="0.35"/>
    <row r="178" customFormat="1" x14ac:dyDescent="0.35"/>
    <row r="179" customFormat="1" x14ac:dyDescent="0.35"/>
    <row r="180" customFormat="1" x14ac:dyDescent="0.35"/>
    <row r="181" customFormat="1" x14ac:dyDescent="0.35"/>
    <row r="182" customFormat="1" x14ac:dyDescent="0.35"/>
    <row r="183" customFormat="1" x14ac:dyDescent="0.35"/>
    <row r="184" customFormat="1" x14ac:dyDescent="0.35"/>
    <row r="185" customFormat="1" x14ac:dyDescent="0.35"/>
    <row r="186" customFormat="1" x14ac:dyDescent="0.35"/>
    <row r="187" customFormat="1" x14ac:dyDescent="0.35"/>
    <row r="188" customFormat="1" x14ac:dyDescent="0.35"/>
    <row r="189" customFormat="1" x14ac:dyDescent="0.35"/>
    <row r="190" customFormat="1" x14ac:dyDescent="0.35"/>
    <row r="191" customFormat="1" x14ac:dyDescent="0.35"/>
    <row r="192" customFormat="1" x14ac:dyDescent="0.35"/>
    <row r="193" customFormat="1" x14ac:dyDescent="0.35"/>
    <row r="194" customFormat="1" x14ac:dyDescent="0.35"/>
    <row r="195" customFormat="1" x14ac:dyDescent="0.35"/>
    <row r="196" customFormat="1" x14ac:dyDescent="0.35"/>
    <row r="197" customFormat="1" x14ac:dyDescent="0.35"/>
    <row r="198" customFormat="1" x14ac:dyDescent="0.35"/>
    <row r="199" customFormat="1" x14ac:dyDescent="0.35"/>
    <row r="200" customFormat="1" x14ac:dyDescent="0.35"/>
    <row r="201" customFormat="1" x14ac:dyDescent="0.35"/>
    <row r="202" customFormat="1" x14ac:dyDescent="0.35"/>
    <row r="203" customFormat="1" x14ac:dyDescent="0.35"/>
    <row r="204" customFormat="1" x14ac:dyDescent="0.35"/>
    <row r="205" customFormat="1" x14ac:dyDescent="0.35"/>
    <row r="206" customFormat="1" x14ac:dyDescent="0.35"/>
    <row r="207" customFormat="1" x14ac:dyDescent="0.35"/>
    <row r="208" customFormat="1" x14ac:dyDescent="0.35"/>
    <row r="209" customFormat="1" x14ac:dyDescent="0.35"/>
    <row r="210" customFormat="1" x14ac:dyDescent="0.35"/>
    <row r="211" customFormat="1" x14ac:dyDescent="0.35"/>
    <row r="212" customFormat="1" x14ac:dyDescent="0.35"/>
    <row r="213" customFormat="1" x14ac:dyDescent="0.35"/>
    <row r="214" customFormat="1" x14ac:dyDescent="0.35"/>
    <row r="215" customFormat="1" x14ac:dyDescent="0.35"/>
    <row r="216" customFormat="1" x14ac:dyDescent="0.35"/>
    <row r="217" customFormat="1" x14ac:dyDescent="0.35"/>
    <row r="218" customFormat="1" x14ac:dyDescent="0.35"/>
    <row r="219" customFormat="1" x14ac:dyDescent="0.35"/>
    <row r="220" customFormat="1" x14ac:dyDescent="0.35"/>
    <row r="221" customFormat="1" x14ac:dyDescent="0.35"/>
    <row r="222" customFormat="1" x14ac:dyDescent="0.35"/>
    <row r="223" customFormat="1" x14ac:dyDescent="0.35"/>
    <row r="224" customFormat="1" x14ac:dyDescent="0.35"/>
    <row r="225" customFormat="1" x14ac:dyDescent="0.35"/>
    <row r="226" customFormat="1" x14ac:dyDescent="0.35"/>
    <row r="227" customFormat="1" x14ac:dyDescent="0.35"/>
    <row r="228" customFormat="1" x14ac:dyDescent="0.35"/>
    <row r="229" customFormat="1" x14ac:dyDescent="0.35"/>
    <row r="230" customFormat="1" x14ac:dyDescent="0.35"/>
    <row r="231" customFormat="1" x14ac:dyDescent="0.35"/>
    <row r="232" customFormat="1" x14ac:dyDescent="0.35"/>
    <row r="233" customFormat="1" x14ac:dyDescent="0.35"/>
    <row r="234" customFormat="1" x14ac:dyDescent="0.35"/>
    <row r="235" customFormat="1" x14ac:dyDescent="0.35"/>
    <row r="236" customFormat="1" x14ac:dyDescent="0.35"/>
    <row r="237" customFormat="1" x14ac:dyDescent="0.35"/>
    <row r="238" customFormat="1" x14ac:dyDescent="0.35"/>
    <row r="239" customFormat="1" x14ac:dyDescent="0.35"/>
    <row r="240" customFormat="1" x14ac:dyDescent="0.35"/>
    <row r="241" customFormat="1" x14ac:dyDescent="0.35"/>
    <row r="242" customFormat="1" x14ac:dyDescent="0.35"/>
    <row r="243" customFormat="1" x14ac:dyDescent="0.35"/>
    <row r="244" customFormat="1" x14ac:dyDescent="0.35"/>
    <row r="245" customFormat="1" x14ac:dyDescent="0.35"/>
    <row r="246" customFormat="1" x14ac:dyDescent="0.35"/>
    <row r="247" customFormat="1" x14ac:dyDescent="0.35"/>
    <row r="248" customFormat="1" x14ac:dyDescent="0.35"/>
    <row r="249" customFormat="1" x14ac:dyDescent="0.35"/>
    <row r="250" customFormat="1" x14ac:dyDescent="0.35"/>
    <row r="251" customFormat="1" x14ac:dyDescent="0.35"/>
    <row r="252" customFormat="1" x14ac:dyDescent="0.35"/>
    <row r="253" customFormat="1" x14ac:dyDescent="0.35"/>
    <row r="254" customFormat="1" x14ac:dyDescent="0.35"/>
    <row r="255" customFormat="1" x14ac:dyDescent="0.35"/>
    <row r="256" customFormat="1" x14ac:dyDescent="0.35"/>
    <row r="257" customFormat="1" x14ac:dyDescent="0.35"/>
    <row r="258" customFormat="1" x14ac:dyDescent="0.35"/>
    <row r="259" customFormat="1" x14ac:dyDescent="0.35"/>
    <row r="260" customFormat="1" x14ac:dyDescent="0.35"/>
    <row r="261" customFormat="1" x14ac:dyDescent="0.35"/>
    <row r="262" customFormat="1" x14ac:dyDescent="0.35"/>
    <row r="263" customFormat="1" x14ac:dyDescent="0.35"/>
    <row r="264" customFormat="1" x14ac:dyDescent="0.35"/>
    <row r="265" customFormat="1" x14ac:dyDescent="0.35"/>
    <row r="266" customFormat="1" x14ac:dyDescent="0.35"/>
    <row r="267" customFormat="1" x14ac:dyDescent="0.35"/>
    <row r="268" customFormat="1" x14ac:dyDescent="0.35"/>
    <row r="269" customFormat="1" x14ac:dyDescent="0.35"/>
    <row r="270" customFormat="1" x14ac:dyDescent="0.35"/>
    <row r="271" customFormat="1" x14ac:dyDescent="0.35"/>
    <row r="272" customFormat="1" x14ac:dyDescent="0.35"/>
    <row r="273" customFormat="1" x14ac:dyDescent="0.35"/>
    <row r="274" customFormat="1" x14ac:dyDescent="0.35"/>
    <row r="275" customFormat="1" x14ac:dyDescent="0.35"/>
    <row r="276" customFormat="1" x14ac:dyDescent="0.35"/>
    <row r="277" customFormat="1" x14ac:dyDescent="0.35"/>
    <row r="278" customFormat="1" x14ac:dyDescent="0.35"/>
    <row r="279" customFormat="1" x14ac:dyDescent="0.35"/>
    <row r="280" customFormat="1" x14ac:dyDescent="0.35"/>
    <row r="281" customFormat="1" x14ac:dyDescent="0.35"/>
    <row r="282" customFormat="1" x14ac:dyDescent="0.35"/>
    <row r="283" customFormat="1" x14ac:dyDescent="0.35"/>
    <row r="284" customFormat="1" x14ac:dyDescent="0.35"/>
    <row r="285" customFormat="1" x14ac:dyDescent="0.35"/>
    <row r="286" customFormat="1" x14ac:dyDescent="0.35"/>
    <row r="287" customFormat="1" x14ac:dyDescent="0.35"/>
    <row r="288" customFormat="1" x14ac:dyDescent="0.35"/>
    <row r="289" customFormat="1" x14ac:dyDescent="0.35"/>
    <row r="290" customFormat="1" x14ac:dyDescent="0.35"/>
    <row r="291" customFormat="1" x14ac:dyDescent="0.35"/>
    <row r="292" customFormat="1" x14ac:dyDescent="0.35"/>
    <row r="293" customFormat="1" x14ac:dyDescent="0.35"/>
    <row r="294" customFormat="1" x14ac:dyDescent="0.35"/>
    <row r="295" customFormat="1" x14ac:dyDescent="0.35"/>
    <row r="296" customFormat="1" x14ac:dyDescent="0.35"/>
    <row r="297" customFormat="1" x14ac:dyDescent="0.35"/>
    <row r="298" customFormat="1" x14ac:dyDescent="0.35"/>
    <row r="299" customFormat="1" x14ac:dyDescent="0.35"/>
    <row r="300" customFormat="1" x14ac:dyDescent="0.35"/>
    <row r="301" customFormat="1" x14ac:dyDescent="0.35"/>
    <row r="302" customFormat="1" x14ac:dyDescent="0.35"/>
    <row r="303" customFormat="1" x14ac:dyDescent="0.35"/>
    <row r="304" customFormat="1" x14ac:dyDescent="0.35"/>
    <row r="305" customFormat="1" x14ac:dyDescent="0.35"/>
    <row r="306" customFormat="1" x14ac:dyDescent="0.35"/>
    <row r="307" customFormat="1" x14ac:dyDescent="0.35"/>
    <row r="308" customFormat="1" x14ac:dyDescent="0.35"/>
    <row r="309" customFormat="1" x14ac:dyDescent="0.35"/>
    <row r="310" customFormat="1" x14ac:dyDescent="0.35"/>
    <row r="311" customFormat="1" x14ac:dyDescent="0.35"/>
    <row r="312" customFormat="1" x14ac:dyDescent="0.35"/>
    <row r="313" customFormat="1" x14ac:dyDescent="0.35"/>
    <row r="314" customFormat="1" x14ac:dyDescent="0.35"/>
    <row r="315" customFormat="1" x14ac:dyDescent="0.35"/>
    <row r="316" customFormat="1" x14ac:dyDescent="0.35"/>
    <row r="317" customFormat="1" x14ac:dyDescent="0.35"/>
    <row r="318" customFormat="1" x14ac:dyDescent="0.35"/>
    <row r="319" customFormat="1" x14ac:dyDescent="0.35"/>
    <row r="320" customFormat="1" x14ac:dyDescent="0.35"/>
    <row r="321" customFormat="1" x14ac:dyDescent="0.35"/>
    <row r="322" customFormat="1" x14ac:dyDescent="0.35"/>
    <row r="323" customFormat="1" x14ac:dyDescent="0.35"/>
    <row r="324" customFormat="1" x14ac:dyDescent="0.35"/>
    <row r="325" customFormat="1" x14ac:dyDescent="0.35"/>
    <row r="326" customFormat="1" x14ac:dyDescent="0.35"/>
    <row r="327" customFormat="1" x14ac:dyDescent="0.35"/>
    <row r="328" customFormat="1" x14ac:dyDescent="0.35"/>
    <row r="329" customFormat="1" x14ac:dyDescent="0.35"/>
    <row r="330" customFormat="1" x14ac:dyDescent="0.35"/>
    <row r="331" customFormat="1" x14ac:dyDescent="0.35"/>
    <row r="332" customFormat="1" x14ac:dyDescent="0.35"/>
    <row r="333" customFormat="1" x14ac:dyDescent="0.35"/>
    <row r="334" customFormat="1" x14ac:dyDescent="0.35"/>
    <row r="335" customFormat="1" x14ac:dyDescent="0.35"/>
    <row r="336" customFormat="1" x14ac:dyDescent="0.35"/>
    <row r="337" customFormat="1" x14ac:dyDescent="0.35"/>
    <row r="338" customFormat="1" x14ac:dyDescent="0.35"/>
    <row r="339" customFormat="1" x14ac:dyDescent="0.35"/>
    <row r="340" customFormat="1" x14ac:dyDescent="0.35"/>
    <row r="341" customFormat="1" x14ac:dyDescent="0.35"/>
    <row r="342" customFormat="1" x14ac:dyDescent="0.35"/>
    <row r="343" customFormat="1" x14ac:dyDescent="0.35"/>
    <row r="344" customFormat="1" x14ac:dyDescent="0.35"/>
    <row r="345" customFormat="1" x14ac:dyDescent="0.35"/>
    <row r="346" customFormat="1" x14ac:dyDescent="0.35"/>
    <row r="347" customFormat="1" x14ac:dyDescent="0.35"/>
    <row r="348" customFormat="1" x14ac:dyDescent="0.35"/>
    <row r="349" customFormat="1" x14ac:dyDescent="0.35"/>
    <row r="350" customFormat="1" x14ac:dyDescent="0.35"/>
    <row r="351" customFormat="1" x14ac:dyDescent="0.35"/>
    <row r="352" customFormat="1" x14ac:dyDescent="0.35"/>
    <row r="353" customFormat="1" x14ac:dyDescent="0.35"/>
    <row r="354" customFormat="1" x14ac:dyDescent="0.35"/>
    <row r="355" customFormat="1" x14ac:dyDescent="0.35"/>
    <row r="356" customFormat="1" x14ac:dyDescent="0.35"/>
    <row r="357" customFormat="1" x14ac:dyDescent="0.35"/>
    <row r="358" customFormat="1" x14ac:dyDescent="0.35"/>
    <row r="359" customFormat="1" x14ac:dyDescent="0.35"/>
    <row r="360" customFormat="1" x14ac:dyDescent="0.35"/>
    <row r="361" customFormat="1" x14ac:dyDescent="0.35"/>
    <row r="362" customFormat="1" x14ac:dyDescent="0.35"/>
    <row r="363" customFormat="1" x14ac:dyDescent="0.35"/>
    <row r="364" customFormat="1" x14ac:dyDescent="0.35"/>
    <row r="365" customFormat="1" x14ac:dyDescent="0.35"/>
    <row r="366" customFormat="1" x14ac:dyDescent="0.35"/>
    <row r="367" customFormat="1" x14ac:dyDescent="0.35"/>
    <row r="368" customFormat="1" x14ac:dyDescent="0.35"/>
    <row r="369" customFormat="1" x14ac:dyDescent="0.35"/>
    <row r="370" customFormat="1" x14ac:dyDescent="0.35"/>
    <row r="371" customFormat="1" x14ac:dyDescent="0.35"/>
    <row r="372" customFormat="1" x14ac:dyDescent="0.35"/>
    <row r="373" customFormat="1" x14ac:dyDescent="0.35"/>
    <row r="374" customFormat="1" x14ac:dyDescent="0.35"/>
    <row r="375" customFormat="1" x14ac:dyDescent="0.35"/>
    <row r="376" customFormat="1" x14ac:dyDescent="0.35"/>
    <row r="377" customFormat="1" x14ac:dyDescent="0.35"/>
    <row r="378" customFormat="1" x14ac:dyDescent="0.35"/>
    <row r="379" customFormat="1" x14ac:dyDescent="0.35"/>
    <row r="380" customFormat="1" x14ac:dyDescent="0.35"/>
    <row r="381" customFormat="1" x14ac:dyDescent="0.35"/>
    <row r="382" customFormat="1" x14ac:dyDescent="0.35"/>
    <row r="383" customFormat="1" x14ac:dyDescent="0.35"/>
    <row r="384" customFormat="1" x14ac:dyDescent="0.35"/>
    <row r="385" customFormat="1" x14ac:dyDescent="0.35"/>
    <row r="386" customFormat="1" x14ac:dyDescent="0.35"/>
    <row r="387" customFormat="1" x14ac:dyDescent="0.35"/>
    <row r="388" customFormat="1" x14ac:dyDescent="0.35"/>
    <row r="389" customFormat="1" x14ac:dyDescent="0.35"/>
    <row r="390" customFormat="1" x14ac:dyDescent="0.35"/>
    <row r="391" customFormat="1" x14ac:dyDescent="0.35"/>
    <row r="392" customFormat="1" x14ac:dyDescent="0.35"/>
    <row r="393" customFormat="1" x14ac:dyDescent="0.35"/>
    <row r="394" customFormat="1" x14ac:dyDescent="0.35"/>
    <row r="395" customFormat="1" x14ac:dyDescent="0.35"/>
    <row r="396" customFormat="1" x14ac:dyDescent="0.35"/>
    <row r="397" customFormat="1" x14ac:dyDescent="0.35"/>
    <row r="398" customFormat="1" x14ac:dyDescent="0.35"/>
    <row r="399" customFormat="1" x14ac:dyDescent="0.35"/>
    <row r="400" customFormat="1" x14ac:dyDescent="0.35"/>
    <row r="401" customFormat="1" x14ac:dyDescent="0.35"/>
    <row r="402" customFormat="1" x14ac:dyDescent="0.35"/>
    <row r="403" customFormat="1" x14ac:dyDescent="0.35"/>
    <row r="404" customFormat="1" x14ac:dyDescent="0.35"/>
    <row r="405" customFormat="1" x14ac:dyDescent="0.35"/>
    <row r="406" customFormat="1" x14ac:dyDescent="0.35"/>
    <row r="407" customFormat="1" x14ac:dyDescent="0.35"/>
    <row r="408" customFormat="1" x14ac:dyDescent="0.35"/>
    <row r="409" customFormat="1" x14ac:dyDescent="0.35"/>
    <row r="410" customFormat="1" x14ac:dyDescent="0.35"/>
    <row r="411" customFormat="1" x14ac:dyDescent="0.35"/>
    <row r="412" customFormat="1" x14ac:dyDescent="0.35"/>
    <row r="413" customFormat="1" x14ac:dyDescent="0.35"/>
    <row r="414" customFormat="1" x14ac:dyDescent="0.35"/>
    <row r="415" customFormat="1" x14ac:dyDescent="0.35"/>
    <row r="416" customFormat="1" x14ac:dyDescent="0.35"/>
    <row r="417" customFormat="1" x14ac:dyDescent="0.35"/>
    <row r="418" customFormat="1" x14ac:dyDescent="0.35"/>
    <row r="419" customFormat="1" x14ac:dyDescent="0.35"/>
    <row r="420" customFormat="1" x14ac:dyDescent="0.35"/>
    <row r="421" customFormat="1" x14ac:dyDescent="0.35"/>
    <row r="422" customFormat="1" x14ac:dyDescent="0.35"/>
    <row r="423" customFormat="1" x14ac:dyDescent="0.35"/>
    <row r="424" customFormat="1" x14ac:dyDescent="0.35"/>
    <row r="425" customFormat="1" x14ac:dyDescent="0.35"/>
    <row r="426" customFormat="1" x14ac:dyDescent="0.35"/>
    <row r="427" customFormat="1" x14ac:dyDescent="0.35"/>
    <row r="428" customFormat="1" x14ac:dyDescent="0.35"/>
    <row r="429" customFormat="1" x14ac:dyDescent="0.35"/>
    <row r="430" customFormat="1" x14ac:dyDescent="0.35"/>
    <row r="431" customFormat="1" x14ac:dyDescent="0.35"/>
    <row r="432" customFormat="1" x14ac:dyDescent="0.35"/>
    <row r="433" customFormat="1" x14ac:dyDescent="0.35"/>
    <row r="434" customFormat="1" x14ac:dyDescent="0.35"/>
    <row r="435" customFormat="1" x14ac:dyDescent="0.35"/>
    <row r="436" customFormat="1" x14ac:dyDescent="0.35"/>
    <row r="437" customFormat="1" x14ac:dyDescent="0.35"/>
    <row r="438" customFormat="1" x14ac:dyDescent="0.35"/>
    <row r="439" customFormat="1" x14ac:dyDescent="0.35"/>
    <row r="440" customFormat="1" x14ac:dyDescent="0.35"/>
    <row r="441" customFormat="1" x14ac:dyDescent="0.35"/>
    <row r="442" customFormat="1" x14ac:dyDescent="0.35"/>
    <row r="443" customFormat="1" x14ac:dyDescent="0.35"/>
    <row r="444" customFormat="1" x14ac:dyDescent="0.35"/>
    <row r="445" customFormat="1" x14ac:dyDescent="0.35"/>
    <row r="446" customFormat="1" x14ac:dyDescent="0.35"/>
    <row r="447" customFormat="1" x14ac:dyDescent="0.35"/>
    <row r="448" customFormat="1" x14ac:dyDescent="0.35"/>
    <row r="449" customFormat="1" x14ac:dyDescent="0.35"/>
    <row r="450" customFormat="1" x14ac:dyDescent="0.35"/>
    <row r="451" customFormat="1" x14ac:dyDescent="0.35"/>
    <row r="452" customFormat="1" x14ac:dyDescent="0.35"/>
    <row r="453" customFormat="1" x14ac:dyDescent="0.35"/>
    <row r="454" customFormat="1" x14ac:dyDescent="0.35"/>
    <row r="455" customFormat="1" x14ac:dyDescent="0.35"/>
    <row r="456" customFormat="1" x14ac:dyDescent="0.35"/>
    <row r="457" customFormat="1" x14ac:dyDescent="0.35"/>
    <row r="458" customFormat="1" x14ac:dyDescent="0.35"/>
    <row r="459" customFormat="1" x14ac:dyDescent="0.35"/>
    <row r="460" customFormat="1" x14ac:dyDescent="0.35"/>
    <row r="461" customFormat="1" x14ac:dyDescent="0.35"/>
    <row r="462" customFormat="1" x14ac:dyDescent="0.35"/>
    <row r="463" customFormat="1" x14ac:dyDescent="0.35"/>
    <row r="464" customFormat="1" x14ac:dyDescent="0.35"/>
    <row r="465" customFormat="1" x14ac:dyDescent="0.35"/>
    <row r="466" customFormat="1" x14ac:dyDescent="0.35"/>
    <row r="467" customFormat="1" x14ac:dyDescent="0.35"/>
    <row r="468" customFormat="1" x14ac:dyDescent="0.35"/>
    <row r="469" customFormat="1" x14ac:dyDescent="0.35"/>
    <row r="470" customFormat="1" x14ac:dyDescent="0.35"/>
    <row r="471" customFormat="1" x14ac:dyDescent="0.35"/>
    <row r="472" customFormat="1" x14ac:dyDescent="0.35"/>
    <row r="473" customFormat="1" x14ac:dyDescent="0.35"/>
    <row r="474" customFormat="1" x14ac:dyDescent="0.35"/>
    <row r="475" customFormat="1" x14ac:dyDescent="0.35"/>
    <row r="476" customFormat="1" x14ac:dyDescent="0.35"/>
    <row r="477" customFormat="1" x14ac:dyDescent="0.35"/>
    <row r="478" customFormat="1" x14ac:dyDescent="0.35"/>
    <row r="479" customFormat="1" x14ac:dyDescent="0.35"/>
    <row r="480" customFormat="1" x14ac:dyDescent="0.35"/>
    <row r="481" customFormat="1" x14ac:dyDescent="0.35"/>
    <row r="482" customFormat="1" x14ac:dyDescent="0.35"/>
    <row r="483" customFormat="1" x14ac:dyDescent="0.35"/>
    <row r="484" customFormat="1" x14ac:dyDescent="0.35"/>
    <row r="485" customFormat="1" x14ac:dyDescent="0.35"/>
    <row r="486" customFormat="1" x14ac:dyDescent="0.35"/>
    <row r="487" customFormat="1" x14ac:dyDescent="0.35"/>
    <row r="488" customFormat="1" x14ac:dyDescent="0.35"/>
    <row r="489" customFormat="1" x14ac:dyDescent="0.35"/>
    <row r="490" customFormat="1" x14ac:dyDescent="0.35"/>
    <row r="491" customFormat="1" x14ac:dyDescent="0.35"/>
    <row r="492" customFormat="1" x14ac:dyDescent="0.35"/>
    <row r="493" customFormat="1" x14ac:dyDescent="0.35"/>
    <row r="494" customFormat="1" x14ac:dyDescent="0.35"/>
    <row r="495" customFormat="1" x14ac:dyDescent="0.35"/>
    <row r="496" customFormat="1" x14ac:dyDescent="0.35"/>
    <row r="497" customFormat="1" x14ac:dyDescent="0.35"/>
    <row r="498" customFormat="1" x14ac:dyDescent="0.35"/>
    <row r="499" customFormat="1" x14ac:dyDescent="0.35"/>
    <row r="500" customFormat="1" x14ac:dyDescent="0.35"/>
    <row r="501" customFormat="1" x14ac:dyDescent="0.35"/>
    <row r="502" customFormat="1" x14ac:dyDescent="0.35"/>
    <row r="503" customFormat="1" x14ac:dyDescent="0.35"/>
    <row r="504" customFormat="1" x14ac:dyDescent="0.35"/>
    <row r="505" customFormat="1" x14ac:dyDescent="0.35"/>
    <row r="506" customFormat="1" x14ac:dyDescent="0.35"/>
    <row r="507" customFormat="1" x14ac:dyDescent="0.35"/>
    <row r="508" customFormat="1" x14ac:dyDescent="0.35"/>
    <row r="509" customFormat="1" x14ac:dyDescent="0.35"/>
    <row r="510" customFormat="1" x14ac:dyDescent="0.35"/>
    <row r="511" customFormat="1" x14ac:dyDescent="0.35"/>
    <row r="512" customFormat="1" x14ac:dyDescent="0.35"/>
    <row r="513" customFormat="1" x14ac:dyDescent="0.35"/>
    <row r="514" customFormat="1" x14ac:dyDescent="0.35"/>
    <row r="515" customFormat="1" x14ac:dyDescent="0.35"/>
    <row r="516" customFormat="1" x14ac:dyDescent="0.35"/>
    <row r="517" customFormat="1" x14ac:dyDescent="0.35"/>
    <row r="518" customFormat="1" x14ac:dyDescent="0.35"/>
    <row r="519" customFormat="1" x14ac:dyDescent="0.35"/>
    <row r="520" customFormat="1" x14ac:dyDescent="0.35"/>
    <row r="521" customFormat="1" x14ac:dyDescent="0.35"/>
    <row r="522" customFormat="1" x14ac:dyDescent="0.35"/>
    <row r="523" customFormat="1" x14ac:dyDescent="0.35"/>
    <row r="524" customFormat="1" x14ac:dyDescent="0.35"/>
    <row r="525" customFormat="1" x14ac:dyDescent="0.35"/>
    <row r="526" customFormat="1" x14ac:dyDescent="0.35"/>
    <row r="527" customFormat="1" x14ac:dyDescent="0.35"/>
    <row r="528" customFormat="1" x14ac:dyDescent="0.35"/>
    <row r="529" customFormat="1" x14ac:dyDescent="0.35"/>
    <row r="530" customFormat="1" x14ac:dyDescent="0.35"/>
    <row r="531" customFormat="1" x14ac:dyDescent="0.35"/>
    <row r="532" customFormat="1" x14ac:dyDescent="0.35"/>
    <row r="533" customFormat="1" x14ac:dyDescent="0.35"/>
    <row r="534" customFormat="1" x14ac:dyDescent="0.35"/>
    <row r="535" customFormat="1" x14ac:dyDescent="0.35"/>
    <row r="536" customFormat="1" x14ac:dyDescent="0.35"/>
    <row r="537" customFormat="1" x14ac:dyDescent="0.35"/>
    <row r="538" customFormat="1" x14ac:dyDescent="0.35"/>
    <row r="539" customFormat="1" x14ac:dyDescent="0.35"/>
    <row r="540" customFormat="1" x14ac:dyDescent="0.35"/>
    <row r="541" customFormat="1" x14ac:dyDescent="0.35"/>
    <row r="542" customFormat="1" x14ac:dyDescent="0.35"/>
    <row r="543" customFormat="1" x14ac:dyDescent="0.35"/>
    <row r="544" customFormat="1" x14ac:dyDescent="0.35"/>
    <row r="545" customFormat="1" x14ac:dyDescent="0.35"/>
    <row r="546" customFormat="1" x14ac:dyDescent="0.35"/>
    <row r="547" customFormat="1" x14ac:dyDescent="0.35"/>
    <row r="548" customFormat="1" x14ac:dyDescent="0.35"/>
    <row r="549" customFormat="1" x14ac:dyDescent="0.35"/>
    <row r="550" customFormat="1" x14ac:dyDescent="0.35"/>
    <row r="551" customFormat="1" x14ac:dyDescent="0.35"/>
    <row r="552" customFormat="1" x14ac:dyDescent="0.35"/>
    <row r="553" customFormat="1" x14ac:dyDescent="0.35"/>
    <row r="554" customFormat="1" x14ac:dyDescent="0.35"/>
    <row r="555" customFormat="1" x14ac:dyDescent="0.35"/>
    <row r="556" customFormat="1" x14ac:dyDescent="0.35"/>
    <row r="557" customFormat="1" x14ac:dyDescent="0.35"/>
    <row r="558" customFormat="1" x14ac:dyDescent="0.35"/>
    <row r="559" customFormat="1" x14ac:dyDescent="0.35"/>
    <row r="560" customFormat="1" x14ac:dyDescent="0.35"/>
    <row r="561" customFormat="1" x14ac:dyDescent="0.35"/>
    <row r="562" customFormat="1" x14ac:dyDescent="0.35"/>
    <row r="563" customFormat="1" x14ac:dyDescent="0.35"/>
    <row r="564" customFormat="1" x14ac:dyDescent="0.35"/>
    <row r="565" customFormat="1" x14ac:dyDescent="0.35"/>
    <row r="566" customFormat="1" x14ac:dyDescent="0.35"/>
    <row r="567" customFormat="1" x14ac:dyDescent="0.35"/>
    <row r="568" customFormat="1" x14ac:dyDescent="0.35"/>
    <row r="569" customFormat="1" x14ac:dyDescent="0.35"/>
    <row r="570" customFormat="1" x14ac:dyDescent="0.35"/>
    <row r="571" customFormat="1" x14ac:dyDescent="0.35"/>
    <row r="572" customFormat="1" x14ac:dyDescent="0.35"/>
    <row r="573" customFormat="1" x14ac:dyDescent="0.35"/>
    <row r="574" customFormat="1" x14ac:dyDescent="0.35"/>
    <row r="575" customFormat="1" x14ac:dyDescent="0.35"/>
    <row r="576" customFormat="1" x14ac:dyDescent="0.35"/>
    <row r="577" customFormat="1" x14ac:dyDescent="0.35"/>
    <row r="578" customFormat="1" x14ac:dyDescent="0.35"/>
    <row r="579" customFormat="1" x14ac:dyDescent="0.35"/>
    <row r="580" customFormat="1" x14ac:dyDescent="0.35"/>
    <row r="581" customFormat="1" x14ac:dyDescent="0.35"/>
    <row r="582" customFormat="1" x14ac:dyDescent="0.35"/>
    <row r="583" customFormat="1" x14ac:dyDescent="0.35"/>
    <row r="584" customFormat="1" x14ac:dyDescent="0.35"/>
    <row r="585" customFormat="1" x14ac:dyDescent="0.35"/>
    <row r="586" customFormat="1" x14ac:dyDescent="0.35"/>
    <row r="587" customFormat="1" x14ac:dyDescent="0.35"/>
    <row r="588" customFormat="1" x14ac:dyDescent="0.35"/>
    <row r="589" customFormat="1" x14ac:dyDescent="0.35"/>
    <row r="590" customFormat="1" x14ac:dyDescent="0.35"/>
    <row r="591" customFormat="1" x14ac:dyDescent="0.35"/>
    <row r="592" customFormat="1" x14ac:dyDescent="0.35"/>
    <row r="593" customFormat="1" x14ac:dyDescent="0.35"/>
    <row r="594" customFormat="1" x14ac:dyDescent="0.35"/>
    <row r="595" customFormat="1" x14ac:dyDescent="0.35"/>
    <row r="596" customFormat="1" x14ac:dyDescent="0.35"/>
    <row r="597" customFormat="1" x14ac:dyDescent="0.35"/>
    <row r="598" customFormat="1" x14ac:dyDescent="0.35"/>
    <row r="599" customFormat="1" x14ac:dyDescent="0.35"/>
    <row r="600" customFormat="1" x14ac:dyDescent="0.35"/>
    <row r="601" customFormat="1" x14ac:dyDescent="0.35"/>
    <row r="602" customFormat="1" x14ac:dyDescent="0.35"/>
    <row r="603" customFormat="1" x14ac:dyDescent="0.35"/>
    <row r="604" customFormat="1" x14ac:dyDescent="0.35"/>
    <row r="605" customFormat="1" x14ac:dyDescent="0.35"/>
    <row r="606" customFormat="1" x14ac:dyDescent="0.35"/>
    <row r="607" customFormat="1" x14ac:dyDescent="0.35"/>
    <row r="608" customFormat="1" x14ac:dyDescent="0.35"/>
    <row r="609" customFormat="1" x14ac:dyDescent="0.35"/>
    <row r="610" customFormat="1" x14ac:dyDescent="0.35"/>
    <row r="611" customFormat="1" x14ac:dyDescent="0.35"/>
    <row r="612" customFormat="1" x14ac:dyDescent="0.35"/>
    <row r="613" customFormat="1" x14ac:dyDescent="0.35"/>
    <row r="614" customFormat="1" x14ac:dyDescent="0.35"/>
    <row r="615" customFormat="1" x14ac:dyDescent="0.35"/>
    <row r="616" customFormat="1" x14ac:dyDescent="0.35"/>
    <row r="617" customFormat="1" x14ac:dyDescent="0.35"/>
    <row r="618" customFormat="1" x14ac:dyDescent="0.35"/>
    <row r="619" customFormat="1" x14ac:dyDescent="0.35"/>
    <row r="620" customFormat="1" x14ac:dyDescent="0.35"/>
    <row r="621" customFormat="1" x14ac:dyDescent="0.35"/>
    <row r="622" customFormat="1" x14ac:dyDescent="0.35"/>
    <row r="623" customFormat="1" x14ac:dyDescent="0.35"/>
    <row r="624" customFormat="1" x14ac:dyDescent="0.35"/>
    <row r="625" customFormat="1" x14ac:dyDescent="0.35"/>
    <row r="626" customFormat="1" x14ac:dyDescent="0.35"/>
    <row r="627" customFormat="1" x14ac:dyDescent="0.35"/>
    <row r="628" customFormat="1" x14ac:dyDescent="0.35"/>
    <row r="629" customFormat="1" x14ac:dyDescent="0.35"/>
    <row r="630" customFormat="1" x14ac:dyDescent="0.35"/>
    <row r="631" customFormat="1" x14ac:dyDescent="0.35"/>
    <row r="632" customFormat="1" x14ac:dyDescent="0.35"/>
    <row r="633" customFormat="1" x14ac:dyDescent="0.35"/>
    <row r="634" customFormat="1" x14ac:dyDescent="0.35"/>
    <row r="635" customFormat="1" x14ac:dyDescent="0.35"/>
    <row r="636" customFormat="1" x14ac:dyDescent="0.35"/>
    <row r="637" customFormat="1" x14ac:dyDescent="0.35"/>
    <row r="638" customFormat="1" x14ac:dyDescent="0.35"/>
    <row r="639" customFormat="1" x14ac:dyDescent="0.35"/>
    <row r="640" customFormat="1" x14ac:dyDescent="0.35"/>
    <row r="641" customFormat="1" x14ac:dyDescent="0.35"/>
    <row r="642" customFormat="1" x14ac:dyDescent="0.35"/>
    <row r="643" customFormat="1" x14ac:dyDescent="0.35"/>
    <row r="644" customFormat="1" x14ac:dyDescent="0.35"/>
    <row r="645" customFormat="1" x14ac:dyDescent="0.35"/>
    <row r="646" customFormat="1" x14ac:dyDescent="0.35"/>
    <row r="647" customFormat="1" x14ac:dyDescent="0.35"/>
    <row r="648" customFormat="1" x14ac:dyDescent="0.35"/>
    <row r="649" customFormat="1" x14ac:dyDescent="0.35"/>
    <row r="650" customFormat="1" x14ac:dyDescent="0.35"/>
    <row r="651" customFormat="1" x14ac:dyDescent="0.35"/>
    <row r="652" customFormat="1" x14ac:dyDescent="0.35"/>
    <row r="653" customFormat="1" x14ac:dyDescent="0.35"/>
    <row r="654" customFormat="1" x14ac:dyDescent="0.35"/>
    <row r="655" customFormat="1" x14ac:dyDescent="0.35"/>
    <row r="656" customFormat="1" x14ac:dyDescent="0.35"/>
    <row r="657" customFormat="1" x14ac:dyDescent="0.35"/>
    <row r="658" customFormat="1" x14ac:dyDescent="0.35"/>
    <row r="659" customFormat="1" x14ac:dyDescent="0.35"/>
    <row r="660" customFormat="1" x14ac:dyDescent="0.35"/>
    <row r="661" customFormat="1" x14ac:dyDescent="0.35"/>
    <row r="662" customFormat="1" x14ac:dyDescent="0.35"/>
    <row r="663" customFormat="1" x14ac:dyDescent="0.35"/>
    <row r="664" customFormat="1" x14ac:dyDescent="0.35"/>
    <row r="665" customFormat="1" x14ac:dyDescent="0.35"/>
    <row r="666" customFormat="1" x14ac:dyDescent="0.35"/>
    <row r="667" customFormat="1" x14ac:dyDescent="0.35"/>
    <row r="668" customFormat="1" x14ac:dyDescent="0.35"/>
    <row r="669" customFormat="1" x14ac:dyDescent="0.35"/>
    <row r="670" customFormat="1" x14ac:dyDescent="0.35"/>
    <row r="671" customFormat="1" x14ac:dyDescent="0.35"/>
    <row r="672" customFormat="1" x14ac:dyDescent="0.35"/>
    <row r="673" customFormat="1" x14ac:dyDescent="0.35"/>
    <row r="674" customFormat="1" x14ac:dyDescent="0.35"/>
    <row r="675" customFormat="1" x14ac:dyDescent="0.35"/>
    <row r="676" customFormat="1" x14ac:dyDescent="0.35"/>
    <row r="677" customFormat="1" x14ac:dyDescent="0.35"/>
    <row r="678" customFormat="1" x14ac:dyDescent="0.35"/>
    <row r="679" customFormat="1" x14ac:dyDescent="0.35"/>
    <row r="680" customFormat="1" x14ac:dyDescent="0.35"/>
    <row r="681" customFormat="1" x14ac:dyDescent="0.35"/>
    <row r="682" customFormat="1" x14ac:dyDescent="0.35"/>
    <row r="683" customFormat="1" x14ac:dyDescent="0.35"/>
    <row r="684" customFormat="1" x14ac:dyDescent="0.35"/>
    <row r="685" customFormat="1" x14ac:dyDescent="0.35"/>
    <row r="686" customFormat="1" x14ac:dyDescent="0.35"/>
    <row r="687" customFormat="1" x14ac:dyDescent="0.35"/>
    <row r="688" customFormat="1" x14ac:dyDescent="0.35"/>
    <row r="689" customFormat="1" x14ac:dyDescent="0.35"/>
    <row r="690" customFormat="1" x14ac:dyDescent="0.35"/>
    <row r="691" customFormat="1" x14ac:dyDescent="0.35"/>
    <row r="692" customFormat="1" x14ac:dyDescent="0.35"/>
    <row r="693" customFormat="1" x14ac:dyDescent="0.35"/>
    <row r="694" customFormat="1" x14ac:dyDescent="0.35"/>
    <row r="695" customFormat="1" x14ac:dyDescent="0.35"/>
    <row r="696" customFormat="1" x14ac:dyDescent="0.35"/>
    <row r="697" customFormat="1" x14ac:dyDescent="0.35"/>
    <row r="698" customFormat="1" x14ac:dyDescent="0.35"/>
    <row r="699" customFormat="1" x14ac:dyDescent="0.35"/>
    <row r="700" customFormat="1" x14ac:dyDescent="0.35"/>
    <row r="701" customFormat="1" x14ac:dyDescent="0.35"/>
    <row r="702" customFormat="1" x14ac:dyDescent="0.35"/>
    <row r="703" customFormat="1" x14ac:dyDescent="0.35"/>
    <row r="704" customFormat="1" x14ac:dyDescent="0.35"/>
    <row r="705" customFormat="1" x14ac:dyDescent="0.35"/>
    <row r="706" customFormat="1" x14ac:dyDescent="0.35"/>
    <row r="707" customFormat="1" x14ac:dyDescent="0.35"/>
    <row r="708" customFormat="1" x14ac:dyDescent="0.35"/>
    <row r="709" customFormat="1" x14ac:dyDescent="0.35"/>
    <row r="710" customFormat="1" x14ac:dyDescent="0.35"/>
    <row r="711" customFormat="1" x14ac:dyDescent="0.35"/>
    <row r="712" customFormat="1" x14ac:dyDescent="0.35"/>
    <row r="713" customFormat="1" x14ac:dyDescent="0.35"/>
    <row r="714" customFormat="1" x14ac:dyDescent="0.35"/>
    <row r="715" customFormat="1" x14ac:dyDescent="0.35"/>
    <row r="716" customFormat="1" x14ac:dyDescent="0.35"/>
    <row r="717" customFormat="1" x14ac:dyDescent="0.35"/>
    <row r="718" customFormat="1" x14ac:dyDescent="0.35"/>
    <row r="719" customFormat="1" x14ac:dyDescent="0.35"/>
    <row r="720" customFormat="1" x14ac:dyDescent="0.35"/>
    <row r="721" customFormat="1" x14ac:dyDescent="0.35"/>
    <row r="722" customFormat="1" x14ac:dyDescent="0.35"/>
    <row r="723" customFormat="1" x14ac:dyDescent="0.35"/>
    <row r="724" customFormat="1" x14ac:dyDescent="0.35"/>
    <row r="725" customFormat="1" x14ac:dyDescent="0.35"/>
    <row r="726" customFormat="1" x14ac:dyDescent="0.35"/>
    <row r="727" customFormat="1" x14ac:dyDescent="0.35"/>
    <row r="728" customFormat="1" x14ac:dyDescent="0.35"/>
    <row r="729" customFormat="1" x14ac:dyDescent="0.35"/>
    <row r="730" customFormat="1" x14ac:dyDescent="0.35"/>
    <row r="731" customFormat="1" x14ac:dyDescent="0.35"/>
    <row r="732" customFormat="1" x14ac:dyDescent="0.35"/>
    <row r="733" customFormat="1" x14ac:dyDescent="0.35"/>
    <row r="734" customFormat="1" x14ac:dyDescent="0.35"/>
    <row r="735" customFormat="1" x14ac:dyDescent="0.35"/>
    <row r="736" customFormat="1" x14ac:dyDescent="0.35"/>
    <row r="737" customFormat="1" x14ac:dyDescent="0.35"/>
    <row r="738" customFormat="1" x14ac:dyDescent="0.35"/>
    <row r="739" customFormat="1" x14ac:dyDescent="0.35"/>
    <row r="740" customFormat="1" x14ac:dyDescent="0.35"/>
    <row r="741" customFormat="1" x14ac:dyDescent="0.35"/>
    <row r="742" customFormat="1" x14ac:dyDescent="0.35"/>
    <row r="743" customFormat="1" x14ac:dyDescent="0.35"/>
    <row r="744" customFormat="1" x14ac:dyDescent="0.35"/>
    <row r="745" customFormat="1" x14ac:dyDescent="0.35"/>
    <row r="746" customFormat="1" x14ac:dyDescent="0.35"/>
    <row r="747" customFormat="1" x14ac:dyDescent="0.35"/>
    <row r="748" customFormat="1" x14ac:dyDescent="0.35"/>
    <row r="749" customFormat="1" x14ac:dyDescent="0.35"/>
    <row r="750" customFormat="1" x14ac:dyDescent="0.35"/>
    <row r="751" customFormat="1" x14ac:dyDescent="0.35"/>
    <row r="752" customFormat="1" x14ac:dyDescent="0.35"/>
    <row r="753" customFormat="1" x14ac:dyDescent="0.35"/>
    <row r="754" customFormat="1" x14ac:dyDescent="0.35"/>
    <row r="755" customFormat="1" x14ac:dyDescent="0.35"/>
    <row r="756" customFormat="1" x14ac:dyDescent="0.35"/>
    <row r="757" customFormat="1" x14ac:dyDescent="0.35"/>
    <row r="758" customFormat="1" x14ac:dyDescent="0.35"/>
    <row r="759" customFormat="1" x14ac:dyDescent="0.35"/>
    <row r="760" customFormat="1" x14ac:dyDescent="0.35"/>
    <row r="761" customFormat="1" x14ac:dyDescent="0.35"/>
    <row r="762" customFormat="1" x14ac:dyDescent="0.35"/>
    <row r="763" customFormat="1" x14ac:dyDescent="0.35"/>
    <row r="764" customFormat="1" x14ac:dyDescent="0.35"/>
    <row r="765" customFormat="1" x14ac:dyDescent="0.35"/>
    <row r="766" customFormat="1" x14ac:dyDescent="0.35"/>
    <row r="767" customFormat="1" x14ac:dyDescent="0.35"/>
    <row r="768" customFormat="1" x14ac:dyDescent="0.35"/>
    <row r="769" customFormat="1" x14ac:dyDescent="0.35"/>
    <row r="770" customFormat="1" x14ac:dyDescent="0.35"/>
    <row r="771" customFormat="1" x14ac:dyDescent="0.35"/>
    <row r="772" customFormat="1" x14ac:dyDescent="0.35"/>
    <row r="773" customFormat="1" x14ac:dyDescent="0.35"/>
    <row r="774" customFormat="1" x14ac:dyDescent="0.35"/>
    <row r="775" customFormat="1" x14ac:dyDescent="0.35"/>
    <row r="776" customFormat="1" x14ac:dyDescent="0.35"/>
    <row r="777" customFormat="1" x14ac:dyDescent="0.35"/>
    <row r="778" customFormat="1" x14ac:dyDescent="0.35"/>
    <row r="779" customFormat="1" x14ac:dyDescent="0.35"/>
    <row r="780" customFormat="1" x14ac:dyDescent="0.35"/>
    <row r="781" customFormat="1" x14ac:dyDescent="0.35"/>
    <row r="782" customFormat="1" x14ac:dyDescent="0.35"/>
    <row r="783" customFormat="1" x14ac:dyDescent="0.35"/>
    <row r="784" customFormat="1" x14ac:dyDescent="0.35"/>
    <row r="785" customFormat="1" x14ac:dyDescent="0.35"/>
    <row r="786" customFormat="1" x14ac:dyDescent="0.35"/>
    <row r="787" customFormat="1" x14ac:dyDescent="0.35"/>
    <row r="788" customFormat="1" x14ac:dyDescent="0.35"/>
    <row r="789" customFormat="1" x14ac:dyDescent="0.35"/>
    <row r="790" customFormat="1" x14ac:dyDescent="0.35"/>
    <row r="791" customFormat="1" x14ac:dyDescent="0.35"/>
    <row r="792" customFormat="1" x14ac:dyDescent="0.35"/>
    <row r="793" customFormat="1" x14ac:dyDescent="0.35"/>
    <row r="794" customFormat="1" x14ac:dyDescent="0.35"/>
    <row r="795" customFormat="1" x14ac:dyDescent="0.35"/>
    <row r="796" customFormat="1" x14ac:dyDescent="0.35"/>
    <row r="797" customFormat="1" x14ac:dyDescent="0.35"/>
    <row r="798" customFormat="1" x14ac:dyDescent="0.35"/>
    <row r="799" customFormat="1" x14ac:dyDescent="0.35"/>
    <row r="800" customFormat="1" x14ac:dyDescent="0.35"/>
    <row r="801" customFormat="1" x14ac:dyDescent="0.35"/>
    <row r="802" customFormat="1" x14ac:dyDescent="0.35"/>
    <row r="803" customFormat="1" x14ac:dyDescent="0.35"/>
    <row r="804" customFormat="1" x14ac:dyDescent="0.35"/>
    <row r="805" customFormat="1" x14ac:dyDescent="0.35"/>
    <row r="806" customFormat="1" x14ac:dyDescent="0.35"/>
    <row r="807" customFormat="1" x14ac:dyDescent="0.35"/>
    <row r="808" customFormat="1" x14ac:dyDescent="0.35"/>
    <row r="809" customFormat="1" x14ac:dyDescent="0.35"/>
    <row r="810" customFormat="1" x14ac:dyDescent="0.35"/>
    <row r="811" customFormat="1" x14ac:dyDescent="0.35"/>
    <row r="812" customFormat="1" x14ac:dyDescent="0.35"/>
    <row r="813" customFormat="1" x14ac:dyDescent="0.35"/>
    <row r="814" customFormat="1" x14ac:dyDescent="0.35"/>
    <row r="815" customFormat="1" x14ac:dyDescent="0.35"/>
    <row r="816" customFormat="1" x14ac:dyDescent="0.35"/>
    <row r="817" customFormat="1" x14ac:dyDescent="0.35"/>
    <row r="818" customFormat="1" x14ac:dyDescent="0.35"/>
    <row r="819" customFormat="1" x14ac:dyDescent="0.35"/>
    <row r="820" customFormat="1" x14ac:dyDescent="0.35"/>
    <row r="821" customFormat="1" x14ac:dyDescent="0.35"/>
    <row r="822" customFormat="1" x14ac:dyDescent="0.35"/>
    <row r="823" customFormat="1" x14ac:dyDescent="0.35"/>
    <row r="824" customFormat="1" x14ac:dyDescent="0.35"/>
    <row r="825" customFormat="1" x14ac:dyDescent="0.35"/>
    <row r="826" customFormat="1" x14ac:dyDescent="0.35"/>
    <row r="827" customFormat="1" x14ac:dyDescent="0.35"/>
    <row r="828" customFormat="1" x14ac:dyDescent="0.35"/>
    <row r="829" customFormat="1" x14ac:dyDescent="0.35"/>
    <row r="830" customFormat="1" x14ac:dyDescent="0.35"/>
    <row r="831" customFormat="1" x14ac:dyDescent="0.35"/>
    <row r="832" customFormat="1" x14ac:dyDescent="0.35"/>
    <row r="833" customFormat="1" x14ac:dyDescent="0.35"/>
    <row r="834" customFormat="1" x14ac:dyDescent="0.35"/>
    <row r="835" customFormat="1" x14ac:dyDescent="0.35"/>
    <row r="836" customFormat="1" x14ac:dyDescent="0.35"/>
    <row r="837" customFormat="1" x14ac:dyDescent="0.35"/>
    <row r="838" customFormat="1" x14ac:dyDescent="0.35"/>
    <row r="839" customFormat="1" x14ac:dyDescent="0.35"/>
    <row r="840" customFormat="1" x14ac:dyDescent="0.35"/>
    <row r="841" customFormat="1" x14ac:dyDescent="0.35"/>
    <row r="842" customFormat="1" x14ac:dyDescent="0.35"/>
    <row r="843" customFormat="1" x14ac:dyDescent="0.35"/>
    <row r="844" customFormat="1" x14ac:dyDescent="0.35"/>
    <row r="845" customFormat="1" x14ac:dyDescent="0.35"/>
    <row r="846" customFormat="1" x14ac:dyDescent="0.35"/>
    <row r="847" customFormat="1" x14ac:dyDescent="0.35"/>
    <row r="848" customFormat="1" x14ac:dyDescent="0.35"/>
    <row r="849" customFormat="1" x14ac:dyDescent="0.35"/>
    <row r="850" customFormat="1" x14ac:dyDescent="0.35"/>
    <row r="851" customFormat="1" x14ac:dyDescent="0.35"/>
    <row r="852" customFormat="1" x14ac:dyDescent="0.35"/>
    <row r="853" customFormat="1" x14ac:dyDescent="0.35"/>
    <row r="854" customFormat="1" x14ac:dyDescent="0.35"/>
    <row r="855" customFormat="1" x14ac:dyDescent="0.35"/>
    <row r="856" customFormat="1" x14ac:dyDescent="0.35"/>
    <row r="857" customFormat="1" x14ac:dyDescent="0.35"/>
    <row r="858" customFormat="1" x14ac:dyDescent="0.35"/>
    <row r="859" customFormat="1" x14ac:dyDescent="0.35"/>
    <row r="860" customFormat="1" x14ac:dyDescent="0.35"/>
    <row r="861" customFormat="1" x14ac:dyDescent="0.35"/>
    <row r="862" customFormat="1" x14ac:dyDescent="0.35"/>
    <row r="863" customFormat="1" x14ac:dyDescent="0.35"/>
    <row r="864" customFormat="1" x14ac:dyDescent="0.35"/>
    <row r="865" customFormat="1" x14ac:dyDescent="0.35"/>
    <row r="866" customFormat="1" x14ac:dyDescent="0.35"/>
    <row r="867" customFormat="1" x14ac:dyDescent="0.35"/>
    <row r="868" customFormat="1" x14ac:dyDescent="0.35"/>
    <row r="869" customFormat="1" x14ac:dyDescent="0.35"/>
    <row r="870" customFormat="1" x14ac:dyDescent="0.35"/>
    <row r="871" customFormat="1" x14ac:dyDescent="0.35"/>
    <row r="872" customFormat="1" x14ac:dyDescent="0.35"/>
    <row r="873" customFormat="1" x14ac:dyDescent="0.35"/>
    <row r="874" customFormat="1" x14ac:dyDescent="0.35"/>
    <row r="875" customFormat="1" x14ac:dyDescent="0.35"/>
    <row r="876" customFormat="1" x14ac:dyDescent="0.35"/>
    <row r="877" customFormat="1" x14ac:dyDescent="0.35"/>
    <row r="878" customFormat="1" x14ac:dyDescent="0.35"/>
    <row r="879" customFormat="1" x14ac:dyDescent="0.35"/>
    <row r="880" customFormat="1" x14ac:dyDescent="0.35"/>
    <row r="881" customFormat="1" x14ac:dyDescent="0.35"/>
    <row r="882" customFormat="1" x14ac:dyDescent="0.35"/>
    <row r="883" customFormat="1" x14ac:dyDescent="0.35"/>
    <row r="884" customFormat="1" x14ac:dyDescent="0.35"/>
    <row r="885" customFormat="1" x14ac:dyDescent="0.35"/>
    <row r="886" customFormat="1" x14ac:dyDescent="0.35"/>
    <row r="887" customFormat="1" x14ac:dyDescent="0.35"/>
    <row r="888" customFormat="1" x14ac:dyDescent="0.35"/>
    <row r="889" customFormat="1" x14ac:dyDescent="0.35"/>
    <row r="890" customFormat="1" x14ac:dyDescent="0.35"/>
    <row r="891" customFormat="1" x14ac:dyDescent="0.35"/>
    <row r="892" customFormat="1" x14ac:dyDescent="0.35"/>
    <row r="893" customFormat="1" x14ac:dyDescent="0.35"/>
    <row r="894" customFormat="1" x14ac:dyDescent="0.35"/>
    <row r="895" customFormat="1" x14ac:dyDescent="0.35"/>
    <row r="896" customFormat="1" x14ac:dyDescent="0.35"/>
    <row r="897" customFormat="1" x14ac:dyDescent="0.35"/>
    <row r="898" customFormat="1" x14ac:dyDescent="0.35"/>
    <row r="899" customFormat="1" x14ac:dyDescent="0.35"/>
    <row r="900" customFormat="1" x14ac:dyDescent="0.35"/>
    <row r="901" customFormat="1" x14ac:dyDescent="0.35"/>
    <row r="902" customFormat="1" x14ac:dyDescent="0.35"/>
    <row r="903" customFormat="1" x14ac:dyDescent="0.35"/>
    <row r="904" customFormat="1" x14ac:dyDescent="0.35"/>
    <row r="905" customFormat="1" x14ac:dyDescent="0.35"/>
    <row r="906" customFormat="1" x14ac:dyDescent="0.35"/>
    <row r="907" customFormat="1" x14ac:dyDescent="0.35"/>
    <row r="908" customFormat="1" x14ac:dyDescent="0.35"/>
    <row r="909" customFormat="1" x14ac:dyDescent="0.35"/>
    <row r="910" customFormat="1" x14ac:dyDescent="0.35"/>
    <row r="911" customFormat="1" x14ac:dyDescent="0.35"/>
    <row r="912" customFormat="1" x14ac:dyDescent="0.35"/>
    <row r="913" customFormat="1" x14ac:dyDescent="0.35"/>
    <row r="914" customFormat="1" x14ac:dyDescent="0.35"/>
    <row r="915" customFormat="1" x14ac:dyDescent="0.35"/>
    <row r="916" customFormat="1" x14ac:dyDescent="0.35"/>
    <row r="917" customFormat="1" x14ac:dyDescent="0.35"/>
    <row r="918" customFormat="1" x14ac:dyDescent="0.35"/>
    <row r="919" customFormat="1" x14ac:dyDescent="0.35"/>
    <row r="920" customFormat="1" x14ac:dyDescent="0.35"/>
    <row r="921" customFormat="1" x14ac:dyDescent="0.35"/>
    <row r="922" customFormat="1" x14ac:dyDescent="0.35"/>
    <row r="923" customFormat="1" x14ac:dyDescent="0.35"/>
    <row r="924" customFormat="1" x14ac:dyDescent="0.35"/>
    <row r="925" customFormat="1" x14ac:dyDescent="0.35"/>
    <row r="926" customFormat="1" x14ac:dyDescent="0.35"/>
    <row r="927" customFormat="1" x14ac:dyDescent="0.35"/>
    <row r="928" customFormat="1" x14ac:dyDescent="0.35"/>
    <row r="929" customFormat="1" x14ac:dyDescent="0.35"/>
    <row r="930" customFormat="1" x14ac:dyDescent="0.35"/>
    <row r="931" customFormat="1" x14ac:dyDescent="0.35"/>
    <row r="932" customFormat="1" x14ac:dyDescent="0.35"/>
    <row r="933" customFormat="1" x14ac:dyDescent="0.35"/>
    <row r="934" customFormat="1" x14ac:dyDescent="0.35"/>
    <row r="935" customFormat="1" x14ac:dyDescent="0.35"/>
    <row r="936" customFormat="1" x14ac:dyDescent="0.35"/>
    <row r="937" customFormat="1" x14ac:dyDescent="0.35"/>
    <row r="938" customFormat="1" x14ac:dyDescent="0.35"/>
    <row r="939" customFormat="1" x14ac:dyDescent="0.35"/>
    <row r="940" customFormat="1" x14ac:dyDescent="0.35"/>
    <row r="941" customFormat="1" x14ac:dyDescent="0.35"/>
    <row r="942" customFormat="1" x14ac:dyDescent="0.35"/>
    <row r="943" customFormat="1" x14ac:dyDescent="0.35"/>
    <row r="944" customFormat="1" x14ac:dyDescent="0.35"/>
    <row r="945" customFormat="1" x14ac:dyDescent="0.35"/>
    <row r="946" customFormat="1" x14ac:dyDescent="0.35"/>
    <row r="947" customFormat="1" x14ac:dyDescent="0.35"/>
    <row r="948" customFormat="1" x14ac:dyDescent="0.35"/>
    <row r="949" customFormat="1" x14ac:dyDescent="0.35"/>
    <row r="950" customFormat="1" x14ac:dyDescent="0.35"/>
    <row r="951" customFormat="1" x14ac:dyDescent="0.35"/>
    <row r="952" customFormat="1" x14ac:dyDescent="0.35"/>
    <row r="953" customFormat="1" x14ac:dyDescent="0.35"/>
    <row r="954" customFormat="1" x14ac:dyDescent="0.35"/>
    <row r="955" customFormat="1" x14ac:dyDescent="0.35"/>
    <row r="956" customFormat="1" x14ac:dyDescent="0.35"/>
    <row r="957" customFormat="1" x14ac:dyDescent="0.35"/>
    <row r="958" customFormat="1" x14ac:dyDescent="0.35"/>
    <row r="959" customFormat="1" x14ac:dyDescent="0.35"/>
    <row r="960" customFormat="1" x14ac:dyDescent="0.35"/>
    <row r="961" customFormat="1" x14ac:dyDescent="0.35"/>
    <row r="962" customFormat="1" x14ac:dyDescent="0.35"/>
    <row r="963" customFormat="1" x14ac:dyDescent="0.35"/>
    <row r="964" customFormat="1" x14ac:dyDescent="0.35"/>
    <row r="965" customFormat="1" x14ac:dyDescent="0.35"/>
    <row r="966" customFormat="1" x14ac:dyDescent="0.35"/>
    <row r="967" customFormat="1" x14ac:dyDescent="0.35"/>
    <row r="968" customFormat="1" x14ac:dyDescent="0.35"/>
    <row r="969" customFormat="1" x14ac:dyDescent="0.35"/>
    <row r="970" customFormat="1" x14ac:dyDescent="0.35"/>
    <row r="971" customFormat="1" x14ac:dyDescent="0.35"/>
    <row r="972" customFormat="1" x14ac:dyDescent="0.35"/>
    <row r="973" customFormat="1" x14ac:dyDescent="0.35"/>
    <row r="974" customFormat="1" x14ac:dyDescent="0.35"/>
    <row r="975" customFormat="1" x14ac:dyDescent="0.35"/>
    <row r="976" customFormat="1" x14ac:dyDescent="0.35"/>
    <row r="977" customFormat="1" x14ac:dyDescent="0.35"/>
    <row r="978" customFormat="1" x14ac:dyDescent="0.35"/>
    <row r="979" customFormat="1" x14ac:dyDescent="0.35"/>
    <row r="980" customFormat="1" x14ac:dyDescent="0.35"/>
    <row r="981" customFormat="1" x14ac:dyDescent="0.35"/>
    <row r="982" customFormat="1" x14ac:dyDescent="0.35"/>
    <row r="983" customFormat="1" x14ac:dyDescent="0.35"/>
    <row r="984" customFormat="1" x14ac:dyDescent="0.35"/>
    <row r="985" customFormat="1" x14ac:dyDescent="0.35"/>
    <row r="986" customFormat="1" x14ac:dyDescent="0.35"/>
    <row r="987" customFormat="1" x14ac:dyDescent="0.35"/>
    <row r="988" customFormat="1" x14ac:dyDescent="0.35"/>
    <row r="989" customFormat="1" x14ac:dyDescent="0.35"/>
    <row r="990" customFormat="1" x14ac:dyDescent="0.35"/>
    <row r="991" customFormat="1" x14ac:dyDescent="0.35"/>
    <row r="992" customFormat="1" x14ac:dyDescent="0.35"/>
    <row r="993" customFormat="1" x14ac:dyDescent="0.35"/>
    <row r="994" customFormat="1" x14ac:dyDescent="0.35"/>
    <row r="995" customFormat="1" x14ac:dyDescent="0.35"/>
    <row r="996" customFormat="1" x14ac:dyDescent="0.35"/>
    <row r="997" customFormat="1" x14ac:dyDescent="0.35"/>
    <row r="998" customFormat="1" x14ac:dyDescent="0.35"/>
    <row r="999" customFormat="1" x14ac:dyDescent="0.35"/>
    <row r="1000" customFormat="1" x14ac:dyDescent="0.35"/>
    <row r="1001" customFormat="1" x14ac:dyDescent="0.35"/>
    <row r="1002" customFormat="1" x14ac:dyDescent="0.35"/>
    <row r="1003" customFormat="1" x14ac:dyDescent="0.35"/>
    <row r="1004" customFormat="1" x14ac:dyDescent="0.35"/>
    <row r="1005" customFormat="1" x14ac:dyDescent="0.35"/>
    <row r="1006" customFormat="1" x14ac:dyDescent="0.35"/>
    <row r="1007" customFormat="1" x14ac:dyDescent="0.35"/>
    <row r="1008" customFormat="1" x14ac:dyDescent="0.35"/>
    <row r="1009" customFormat="1" x14ac:dyDescent="0.35"/>
    <row r="1010" customFormat="1" x14ac:dyDescent="0.35"/>
    <row r="1011" customFormat="1" x14ac:dyDescent="0.35"/>
    <row r="1012" customFormat="1" x14ac:dyDescent="0.35"/>
    <row r="1013" customFormat="1" x14ac:dyDescent="0.35"/>
    <row r="1014" customFormat="1" x14ac:dyDescent="0.35"/>
    <row r="1015" customFormat="1" x14ac:dyDescent="0.35"/>
    <row r="1016" customFormat="1" x14ac:dyDescent="0.35"/>
    <row r="1017" customFormat="1" x14ac:dyDescent="0.35"/>
    <row r="1018" customFormat="1" x14ac:dyDescent="0.35"/>
    <row r="1019" customFormat="1" x14ac:dyDescent="0.35"/>
    <row r="1020" customFormat="1" x14ac:dyDescent="0.35"/>
    <row r="1021" customFormat="1" x14ac:dyDescent="0.35"/>
    <row r="1022" customFormat="1" x14ac:dyDescent="0.35"/>
    <row r="1023" customFormat="1" x14ac:dyDescent="0.35"/>
    <row r="1024" customFormat="1" x14ac:dyDescent="0.35"/>
    <row r="1025" customFormat="1" x14ac:dyDescent="0.35"/>
    <row r="1026" customFormat="1" x14ac:dyDescent="0.35"/>
    <row r="1027" customFormat="1" x14ac:dyDescent="0.35"/>
    <row r="1028" customFormat="1" x14ac:dyDescent="0.35"/>
    <row r="1029" customFormat="1" x14ac:dyDescent="0.35"/>
    <row r="1030" customFormat="1" x14ac:dyDescent="0.35"/>
    <row r="1031" customFormat="1" x14ac:dyDescent="0.35"/>
    <row r="1032" customFormat="1" x14ac:dyDescent="0.35"/>
    <row r="1033" customFormat="1" x14ac:dyDescent="0.35"/>
    <row r="1034" customFormat="1" x14ac:dyDescent="0.35"/>
    <row r="1035" customFormat="1" x14ac:dyDescent="0.35"/>
    <row r="1036" customFormat="1" x14ac:dyDescent="0.35"/>
    <row r="1037" customFormat="1" x14ac:dyDescent="0.35"/>
    <row r="1038" customFormat="1" x14ac:dyDescent="0.35"/>
    <row r="1039" customFormat="1" x14ac:dyDescent="0.35"/>
    <row r="1040" customFormat="1" x14ac:dyDescent="0.35"/>
    <row r="1041" customFormat="1" x14ac:dyDescent="0.35"/>
    <row r="1042" customFormat="1" x14ac:dyDescent="0.35"/>
    <row r="1043" customFormat="1" x14ac:dyDescent="0.35"/>
    <row r="1044" customFormat="1" x14ac:dyDescent="0.35"/>
    <row r="1045" customFormat="1" x14ac:dyDescent="0.35"/>
    <row r="1046" customFormat="1" x14ac:dyDescent="0.35"/>
    <row r="1047" customFormat="1" x14ac:dyDescent="0.35"/>
    <row r="1048" customFormat="1" x14ac:dyDescent="0.35"/>
    <row r="1049" customFormat="1" x14ac:dyDescent="0.35"/>
    <row r="1050" customFormat="1" x14ac:dyDescent="0.35"/>
    <row r="1051" customFormat="1" x14ac:dyDescent="0.35"/>
    <row r="1052" customFormat="1" x14ac:dyDescent="0.35"/>
    <row r="1053" customFormat="1" x14ac:dyDescent="0.35"/>
    <row r="1054" customFormat="1" x14ac:dyDescent="0.35"/>
    <row r="1055" customFormat="1" x14ac:dyDescent="0.35"/>
    <row r="1056" customFormat="1" x14ac:dyDescent="0.35"/>
    <row r="1057" customFormat="1" x14ac:dyDescent="0.35"/>
    <row r="1058" customFormat="1" x14ac:dyDescent="0.35"/>
    <row r="1059" customFormat="1" x14ac:dyDescent="0.35"/>
    <row r="1060" customFormat="1" x14ac:dyDescent="0.35"/>
    <row r="1061" customFormat="1" x14ac:dyDescent="0.35"/>
    <row r="1062" customFormat="1" x14ac:dyDescent="0.35"/>
    <row r="1063" customFormat="1" x14ac:dyDescent="0.35"/>
    <row r="1064" customFormat="1" x14ac:dyDescent="0.35"/>
    <row r="1065" customFormat="1" x14ac:dyDescent="0.35"/>
    <row r="1066" customFormat="1" x14ac:dyDescent="0.35"/>
    <row r="1067" customFormat="1" x14ac:dyDescent="0.35"/>
    <row r="1068" customFormat="1" x14ac:dyDescent="0.35"/>
    <row r="1069" customFormat="1" x14ac:dyDescent="0.35"/>
    <row r="1070" customFormat="1" x14ac:dyDescent="0.35"/>
    <row r="1071" customFormat="1" x14ac:dyDescent="0.35"/>
    <row r="1072" customFormat="1" x14ac:dyDescent="0.35"/>
    <row r="1073" customFormat="1" x14ac:dyDescent="0.35"/>
    <row r="1074" customFormat="1" x14ac:dyDescent="0.35"/>
    <row r="1075" customFormat="1" x14ac:dyDescent="0.35"/>
    <row r="1076" customFormat="1" x14ac:dyDescent="0.35"/>
    <row r="1077" customFormat="1" x14ac:dyDescent="0.35"/>
    <row r="1078" customFormat="1" x14ac:dyDescent="0.35"/>
    <row r="1079" customFormat="1" x14ac:dyDescent="0.35"/>
    <row r="1080" customFormat="1" x14ac:dyDescent="0.35"/>
    <row r="1081" customFormat="1" x14ac:dyDescent="0.35"/>
    <row r="1082" customFormat="1" x14ac:dyDescent="0.35"/>
    <row r="1083" customFormat="1" x14ac:dyDescent="0.35"/>
    <row r="1084" customFormat="1" x14ac:dyDescent="0.35"/>
    <row r="1085" customFormat="1" x14ac:dyDescent="0.35"/>
    <row r="1086" customFormat="1" x14ac:dyDescent="0.35"/>
    <row r="1087" customFormat="1" x14ac:dyDescent="0.35"/>
    <row r="1088" customFormat="1" x14ac:dyDescent="0.35"/>
    <row r="1089" customFormat="1" x14ac:dyDescent="0.35"/>
    <row r="1090" customFormat="1" x14ac:dyDescent="0.35"/>
    <row r="1091" customFormat="1" x14ac:dyDescent="0.35"/>
    <row r="1092" customFormat="1" x14ac:dyDescent="0.35"/>
    <row r="1093" customFormat="1" x14ac:dyDescent="0.35"/>
    <row r="1094" customFormat="1" x14ac:dyDescent="0.35"/>
    <row r="1095" customFormat="1" x14ac:dyDescent="0.35"/>
    <row r="1096" customFormat="1" x14ac:dyDescent="0.35"/>
    <row r="1097" customFormat="1" x14ac:dyDescent="0.35"/>
    <row r="1098" customFormat="1" x14ac:dyDescent="0.35"/>
    <row r="1099" customFormat="1" x14ac:dyDescent="0.35"/>
    <row r="1100" customFormat="1" x14ac:dyDescent="0.35"/>
    <row r="1101" customFormat="1" x14ac:dyDescent="0.35"/>
    <row r="1102" customFormat="1" x14ac:dyDescent="0.35"/>
    <row r="1103" customFormat="1" x14ac:dyDescent="0.35"/>
    <row r="1104" customFormat="1" x14ac:dyDescent="0.35"/>
    <row r="1105" customFormat="1" x14ac:dyDescent="0.35"/>
    <row r="1106" customFormat="1" x14ac:dyDescent="0.35"/>
    <row r="1107" customFormat="1" x14ac:dyDescent="0.35"/>
    <row r="1108" customFormat="1" x14ac:dyDescent="0.35"/>
    <row r="1109" customFormat="1" x14ac:dyDescent="0.35"/>
    <row r="1110" customFormat="1" x14ac:dyDescent="0.35"/>
    <row r="1111" customFormat="1" x14ac:dyDescent="0.35"/>
    <row r="1112" customFormat="1" x14ac:dyDescent="0.35"/>
    <row r="1113" customFormat="1" x14ac:dyDescent="0.35"/>
    <row r="1114" customFormat="1" x14ac:dyDescent="0.35"/>
    <row r="1115" customFormat="1" x14ac:dyDescent="0.35"/>
    <row r="1116" customFormat="1" x14ac:dyDescent="0.35"/>
    <row r="1117" customFormat="1" x14ac:dyDescent="0.35"/>
    <row r="1118" customFormat="1" x14ac:dyDescent="0.35"/>
    <row r="1119" customFormat="1" x14ac:dyDescent="0.35"/>
    <row r="1120" customFormat="1" x14ac:dyDescent="0.35"/>
    <row r="1121" customFormat="1" x14ac:dyDescent="0.35"/>
    <row r="1122" customFormat="1" x14ac:dyDescent="0.35"/>
    <row r="1123" customFormat="1" x14ac:dyDescent="0.35"/>
    <row r="1124" customFormat="1" x14ac:dyDescent="0.35"/>
    <row r="1125" customFormat="1" x14ac:dyDescent="0.35"/>
    <row r="1126" customFormat="1" x14ac:dyDescent="0.35"/>
    <row r="1127" customFormat="1" x14ac:dyDescent="0.35"/>
    <row r="1128" customFormat="1" x14ac:dyDescent="0.35"/>
    <row r="1129" customFormat="1" x14ac:dyDescent="0.35"/>
    <row r="1130" customFormat="1" x14ac:dyDescent="0.35"/>
    <row r="1131" customFormat="1" x14ac:dyDescent="0.35"/>
    <row r="1132" customFormat="1" x14ac:dyDescent="0.35"/>
    <row r="1133" customFormat="1" x14ac:dyDescent="0.35"/>
    <row r="1134" customFormat="1" x14ac:dyDescent="0.35"/>
    <row r="1135" customFormat="1" x14ac:dyDescent="0.35"/>
    <row r="1136" customFormat="1" x14ac:dyDescent="0.35"/>
    <row r="1137" customFormat="1" x14ac:dyDescent="0.35"/>
    <row r="1138" customFormat="1" x14ac:dyDescent="0.35"/>
    <row r="1139" customFormat="1" x14ac:dyDescent="0.35"/>
    <row r="1140" customFormat="1" x14ac:dyDescent="0.35"/>
    <row r="1141" customFormat="1" x14ac:dyDescent="0.35"/>
    <row r="1142" customFormat="1" x14ac:dyDescent="0.35"/>
    <row r="1143" customFormat="1" x14ac:dyDescent="0.35"/>
    <row r="1144" customFormat="1" x14ac:dyDescent="0.35"/>
    <row r="1145" customFormat="1" x14ac:dyDescent="0.35"/>
    <row r="1146" customFormat="1" x14ac:dyDescent="0.35"/>
    <row r="1147" customFormat="1" x14ac:dyDescent="0.35"/>
    <row r="1148" customFormat="1" x14ac:dyDescent="0.35"/>
    <row r="1149" customFormat="1" x14ac:dyDescent="0.35"/>
    <row r="1150" customFormat="1" x14ac:dyDescent="0.35"/>
    <row r="1151" customFormat="1" x14ac:dyDescent="0.35"/>
    <row r="1152" customFormat="1" x14ac:dyDescent="0.35"/>
    <row r="1153" customFormat="1" x14ac:dyDescent="0.35"/>
    <row r="1154" customFormat="1" x14ac:dyDescent="0.35"/>
    <row r="1155" customFormat="1" x14ac:dyDescent="0.35"/>
    <row r="1156" customFormat="1" x14ac:dyDescent="0.35"/>
    <row r="1157" customFormat="1" x14ac:dyDescent="0.35"/>
    <row r="1158" customFormat="1" x14ac:dyDescent="0.35"/>
    <row r="1159" customFormat="1" x14ac:dyDescent="0.35"/>
    <row r="1160" customFormat="1" x14ac:dyDescent="0.35"/>
    <row r="1161" customFormat="1" x14ac:dyDescent="0.35"/>
    <row r="1162" customFormat="1" x14ac:dyDescent="0.35"/>
    <row r="1163" customFormat="1" x14ac:dyDescent="0.35"/>
    <row r="1164" customFormat="1" x14ac:dyDescent="0.35"/>
    <row r="1165" customFormat="1" x14ac:dyDescent="0.35"/>
    <row r="1166" customFormat="1" x14ac:dyDescent="0.35"/>
    <row r="1167" customFormat="1" x14ac:dyDescent="0.35"/>
    <row r="1168" customFormat="1" x14ac:dyDescent="0.35"/>
    <row r="1169" customFormat="1" x14ac:dyDescent="0.35"/>
    <row r="1170" customFormat="1" x14ac:dyDescent="0.35"/>
    <row r="1171" customFormat="1" x14ac:dyDescent="0.35"/>
    <row r="1172" customFormat="1" x14ac:dyDescent="0.35"/>
    <row r="1173" customFormat="1" x14ac:dyDescent="0.35"/>
    <row r="1174" customFormat="1" x14ac:dyDescent="0.35"/>
    <row r="1175" customFormat="1" x14ac:dyDescent="0.35"/>
    <row r="1176" customFormat="1" x14ac:dyDescent="0.35"/>
    <row r="1177" customFormat="1" x14ac:dyDescent="0.35"/>
    <row r="1178" customFormat="1" x14ac:dyDescent="0.35"/>
    <row r="1179" customFormat="1" x14ac:dyDescent="0.35"/>
    <row r="1180" customFormat="1" x14ac:dyDescent="0.35"/>
    <row r="1181" customFormat="1" x14ac:dyDescent="0.35"/>
    <row r="1182" customFormat="1" x14ac:dyDescent="0.35"/>
    <row r="1183" customFormat="1" x14ac:dyDescent="0.35"/>
    <row r="1184" customFormat="1" x14ac:dyDescent="0.35"/>
    <row r="1185" customFormat="1" x14ac:dyDescent="0.35"/>
    <row r="1186" customFormat="1" x14ac:dyDescent="0.35"/>
    <row r="1187" customFormat="1" x14ac:dyDescent="0.35"/>
    <row r="1188" customFormat="1" x14ac:dyDescent="0.35"/>
    <row r="1189" customFormat="1" x14ac:dyDescent="0.35"/>
    <row r="1190" customFormat="1" x14ac:dyDescent="0.35"/>
    <row r="1191" customFormat="1" x14ac:dyDescent="0.35"/>
    <row r="1192" customFormat="1" x14ac:dyDescent="0.35"/>
    <row r="1193" customFormat="1" x14ac:dyDescent="0.35"/>
    <row r="1194" customFormat="1" x14ac:dyDescent="0.35"/>
    <row r="1195" customFormat="1" x14ac:dyDescent="0.35"/>
    <row r="1196" customFormat="1" x14ac:dyDescent="0.35"/>
    <row r="1197" customFormat="1" x14ac:dyDescent="0.35"/>
    <row r="1198" customFormat="1" x14ac:dyDescent="0.35"/>
    <row r="1199" customFormat="1" x14ac:dyDescent="0.35"/>
    <row r="1200" customFormat="1" x14ac:dyDescent="0.35"/>
    <row r="1201" customFormat="1" x14ac:dyDescent="0.35"/>
    <row r="1202" customFormat="1" x14ac:dyDescent="0.35"/>
    <row r="1203" customFormat="1" x14ac:dyDescent="0.35"/>
    <row r="1204" customFormat="1" x14ac:dyDescent="0.35"/>
    <row r="1205" customFormat="1" x14ac:dyDescent="0.35"/>
    <row r="1206" customFormat="1" x14ac:dyDescent="0.35"/>
    <row r="1207" customFormat="1" x14ac:dyDescent="0.35"/>
    <row r="1208" customFormat="1" x14ac:dyDescent="0.35"/>
    <row r="1209" customFormat="1" x14ac:dyDescent="0.35"/>
    <row r="1210" customFormat="1" x14ac:dyDescent="0.35"/>
    <row r="1211" customFormat="1" x14ac:dyDescent="0.35"/>
    <row r="1212" customFormat="1" x14ac:dyDescent="0.35"/>
    <row r="1213" customFormat="1" x14ac:dyDescent="0.35"/>
    <row r="1214" customFormat="1" x14ac:dyDescent="0.35"/>
    <row r="1215" customFormat="1" x14ac:dyDescent="0.35"/>
    <row r="1216" customFormat="1" x14ac:dyDescent="0.35"/>
    <row r="1217" customFormat="1" x14ac:dyDescent="0.35"/>
    <row r="1218" customFormat="1" x14ac:dyDescent="0.35"/>
    <row r="1219" customFormat="1" x14ac:dyDescent="0.35"/>
    <row r="1220" customFormat="1" x14ac:dyDescent="0.35"/>
    <row r="1221" customFormat="1" x14ac:dyDescent="0.35"/>
    <row r="1222" customFormat="1" x14ac:dyDescent="0.35"/>
    <row r="1223" customFormat="1" x14ac:dyDescent="0.35"/>
    <row r="1224" customFormat="1" x14ac:dyDescent="0.35"/>
    <row r="1225" customFormat="1" x14ac:dyDescent="0.35"/>
    <row r="1226" customFormat="1" x14ac:dyDescent="0.35"/>
    <row r="1227" customFormat="1" x14ac:dyDescent="0.35"/>
    <row r="1228" customFormat="1" x14ac:dyDescent="0.35"/>
    <row r="1229" customFormat="1" x14ac:dyDescent="0.35"/>
    <row r="1230" customFormat="1" x14ac:dyDescent="0.35"/>
    <row r="1231" customFormat="1" x14ac:dyDescent="0.35"/>
    <row r="1232" customFormat="1" x14ac:dyDescent="0.35"/>
    <row r="1233" customFormat="1" x14ac:dyDescent="0.35"/>
    <row r="1234" customFormat="1" x14ac:dyDescent="0.35"/>
    <row r="1235" customFormat="1" x14ac:dyDescent="0.35"/>
    <row r="1236" customFormat="1"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AI667"/>
  <sheetViews>
    <sheetView showGridLines="0" tabSelected="1" topLeftCell="B5" zoomScale="70" zoomScaleNormal="70" zoomScaleSheetLayoutView="55" workbookViewId="0">
      <selection activeCell="B12" sqref="B12"/>
    </sheetView>
  </sheetViews>
  <sheetFormatPr baseColWidth="10" defaultColWidth="17.453125" defaultRowHeight="14" x14ac:dyDescent="0.35"/>
  <cols>
    <col min="1" max="1" width="9.81640625" style="35" customWidth="1"/>
    <col min="2" max="2" width="17.453125" style="54" customWidth="1"/>
    <col min="3" max="3" width="57.7265625" style="54" customWidth="1"/>
    <col min="4" max="4" width="18.54296875" style="54" customWidth="1"/>
    <col min="5" max="5" width="16" style="54" customWidth="1"/>
    <col min="6" max="6" width="24.7265625" style="54" customWidth="1"/>
    <col min="7" max="7" width="19.7265625" style="54" customWidth="1"/>
    <col min="8" max="8" width="14.08984375" style="54" customWidth="1"/>
    <col min="9" max="9" width="20.26953125" style="141" customWidth="1"/>
    <col min="10" max="10" width="21.26953125" style="55" customWidth="1"/>
    <col min="11" max="11" width="23.36328125" style="54" customWidth="1"/>
    <col min="12" max="12" width="17.453125" style="35" customWidth="1"/>
    <col min="13" max="13" width="23.08984375" style="35" customWidth="1"/>
    <col min="14" max="14" width="39.6328125" style="35" customWidth="1"/>
    <col min="15" max="15" width="22.90625" style="35" customWidth="1"/>
    <col min="16" max="16" width="20.26953125" style="35" customWidth="1"/>
    <col min="17" max="17" width="26.36328125" style="35" customWidth="1"/>
    <col min="18" max="18" width="43.81640625" style="55" customWidth="1"/>
    <col min="19" max="19" width="20.1796875" style="55" hidden="1" customWidth="1"/>
    <col min="20" max="20" width="21.36328125" style="55" hidden="1" customWidth="1"/>
    <col min="21" max="21" width="21.81640625" style="35" customWidth="1"/>
    <col min="22" max="22" width="22.6328125" style="37" customWidth="1"/>
    <col min="23" max="23" width="20.1796875" style="37" customWidth="1"/>
    <col min="24" max="24" width="21" style="37" customWidth="1"/>
    <col min="25" max="25" width="43.7265625" style="35" customWidth="1"/>
    <col min="26" max="26" width="25.453125" style="37" hidden="1" customWidth="1"/>
    <col min="27" max="27" width="20.7265625" style="56" customWidth="1"/>
    <col min="28" max="28" width="34" style="35" customWidth="1"/>
    <col min="29" max="29" width="23.54296875" style="37" hidden="1" customWidth="1"/>
    <col min="30" max="30" width="41" style="56" hidden="1" customWidth="1"/>
    <col min="31" max="31" width="36.453125" style="56" customWidth="1"/>
    <col min="32" max="32" width="32.453125" style="37" customWidth="1"/>
    <col min="33" max="33" width="40.1796875" style="37" customWidth="1"/>
    <col min="34" max="34" width="27.1796875" style="55" customWidth="1"/>
    <col min="35" max="35" width="64.1796875" style="35" customWidth="1"/>
    <col min="36" max="16384" width="17.453125" style="35"/>
  </cols>
  <sheetData>
    <row r="1" spans="1:35" x14ac:dyDescent="0.35">
      <c r="B1" s="34"/>
      <c r="C1" s="34"/>
      <c r="D1" s="34"/>
      <c r="E1" s="34"/>
      <c r="F1" s="34"/>
      <c r="G1" s="34"/>
      <c r="H1" s="34"/>
      <c r="I1" s="138"/>
      <c r="J1" s="36"/>
      <c r="K1" s="34"/>
      <c r="R1" s="36"/>
      <c r="S1" s="36"/>
      <c r="T1" s="36"/>
      <c r="AH1" s="36"/>
    </row>
    <row r="2" spans="1:35" s="65" customFormat="1" ht="15" x14ac:dyDescent="0.35">
      <c r="B2" s="211"/>
      <c r="C2" s="211"/>
      <c r="D2" s="211"/>
      <c r="E2" s="211"/>
      <c r="F2" s="211"/>
      <c r="G2" s="101"/>
      <c r="H2" s="72"/>
      <c r="I2" s="139"/>
      <c r="J2" s="95"/>
      <c r="K2" s="72"/>
      <c r="L2" s="73"/>
      <c r="Q2" s="73"/>
      <c r="R2" s="73"/>
      <c r="S2" s="73"/>
      <c r="T2" s="73"/>
      <c r="U2" s="73"/>
      <c r="V2" s="64"/>
      <c r="W2" s="64"/>
      <c r="X2" s="64"/>
      <c r="Z2" s="62"/>
      <c r="AA2" s="74"/>
      <c r="AC2" s="62"/>
      <c r="AD2" s="74"/>
      <c r="AE2" s="74"/>
      <c r="AF2" s="62"/>
      <c r="AG2" s="116"/>
      <c r="AH2" s="73"/>
    </row>
    <row r="3" spans="1:35" s="65" customFormat="1" ht="17.5" x14ac:dyDescent="0.35">
      <c r="C3" s="84"/>
      <c r="F3" s="210" t="s">
        <v>66</v>
      </c>
      <c r="G3" s="210"/>
      <c r="H3" s="210"/>
      <c r="I3" s="210"/>
      <c r="J3" s="210"/>
      <c r="K3" s="210"/>
      <c r="L3" s="210"/>
      <c r="M3" s="210"/>
      <c r="N3" s="147" t="s">
        <v>67</v>
      </c>
      <c r="O3" s="148">
        <v>2026</v>
      </c>
      <c r="P3" s="62"/>
      <c r="Q3" s="63"/>
      <c r="R3" s="64"/>
      <c r="S3" s="64"/>
      <c r="T3" s="64"/>
      <c r="Y3" s="75"/>
      <c r="Z3" s="76"/>
      <c r="AA3" s="74"/>
      <c r="AC3" s="62"/>
      <c r="AD3" s="74"/>
      <c r="AE3" s="74"/>
      <c r="AF3" s="62"/>
      <c r="AG3" s="116"/>
    </row>
    <row r="4" spans="1:35" s="65" customFormat="1" ht="15.5" x14ac:dyDescent="0.35">
      <c r="C4" s="84"/>
      <c r="F4" s="210" t="s">
        <v>359</v>
      </c>
      <c r="G4" s="210"/>
      <c r="H4" s="210"/>
      <c r="I4" s="210"/>
      <c r="J4" s="210"/>
      <c r="K4" s="210"/>
      <c r="L4" s="210"/>
      <c r="M4" s="210"/>
      <c r="N4" s="60"/>
      <c r="O4" s="61"/>
      <c r="P4" s="62"/>
      <c r="Q4" s="63"/>
      <c r="R4" s="64"/>
      <c r="S4" s="64"/>
      <c r="T4" s="64"/>
      <c r="Y4" s="75"/>
      <c r="Z4" s="76"/>
      <c r="AA4" s="74"/>
      <c r="AC4" s="62"/>
      <c r="AD4" s="74"/>
      <c r="AE4" s="74"/>
      <c r="AF4" s="62"/>
      <c r="AG4" s="116"/>
    </row>
    <row r="5" spans="1:35" s="65" customFormat="1" ht="15.5" x14ac:dyDescent="0.35">
      <c r="C5" s="84"/>
      <c r="F5" s="210" t="s">
        <v>358</v>
      </c>
      <c r="G5" s="210"/>
      <c r="H5" s="210"/>
      <c r="I5" s="210"/>
      <c r="J5" s="210"/>
      <c r="K5" s="210"/>
      <c r="L5" s="210"/>
      <c r="M5" s="210"/>
      <c r="N5" s="212" t="s">
        <v>562</v>
      </c>
      <c r="O5" s="212"/>
      <c r="P5" s="212"/>
      <c r="Q5" s="98">
        <f ca="1">IFERROR(SUMIF($N$12:$N$1988,"8126-Fortalecimiento institucional de la UAECOB para un gobierno confiable Bogotá D.C.",PAA[Valor apropiacion vigencia actual]),0)</f>
        <v>25167465000</v>
      </c>
      <c r="R5" s="123" t="s">
        <v>286</v>
      </c>
      <c r="S5" s="67"/>
      <c r="T5" s="67"/>
      <c r="U5" s="97">
        <f>IFERROR(SUMIF($N$12:$N$667,"131- Funcionamiento",PAA[Valor apropiacion vigencia actual]),0)</f>
        <v>15338910000</v>
      </c>
      <c r="V5" s="143">
        <v>25167465000</v>
      </c>
      <c r="W5" s="144">
        <f ca="1">Q5-V5</f>
        <v>0</v>
      </c>
      <c r="Y5" s="76"/>
      <c r="Z5" s="76"/>
      <c r="AA5" s="77"/>
      <c r="AC5" s="62"/>
      <c r="AD5" s="74"/>
      <c r="AE5" s="74"/>
      <c r="AF5" s="62"/>
      <c r="AG5" s="116"/>
    </row>
    <row r="6" spans="1:35" s="65" customFormat="1" ht="15.5" x14ac:dyDescent="0.35">
      <c r="A6" s="65" t="s">
        <v>350</v>
      </c>
      <c r="B6" s="78"/>
      <c r="C6" s="102"/>
      <c r="D6" s="78"/>
      <c r="E6" s="78"/>
      <c r="F6" s="210" t="s">
        <v>1006</v>
      </c>
      <c r="G6" s="210"/>
      <c r="H6" s="210"/>
      <c r="I6" s="210"/>
      <c r="J6" s="210"/>
      <c r="K6" s="210"/>
      <c r="L6" s="210"/>
      <c r="M6" s="210"/>
      <c r="N6" s="212" t="s">
        <v>563</v>
      </c>
      <c r="O6" s="212"/>
      <c r="P6" s="212"/>
      <c r="Q6" s="98">
        <f ca="1">IFERROR(SUMIF($N$12:$N$1988,"8173-Modernización de las capacidades del Cuerpo Oficial de Bomberos Bogotá D.C.",PAA[Valor apropiacion vigencia actual]),0)</f>
        <v>42767306000</v>
      </c>
      <c r="R6" s="68"/>
      <c r="S6" s="68"/>
      <c r="T6" s="68"/>
      <c r="V6" s="143">
        <v>42767306000</v>
      </c>
      <c r="W6" s="144">
        <f ca="1">Q6-V6</f>
        <v>0</v>
      </c>
      <c r="Y6" s="76"/>
      <c r="Z6" s="76"/>
      <c r="AA6" s="77"/>
      <c r="AC6" s="62"/>
      <c r="AD6" s="74"/>
      <c r="AE6" s="74"/>
      <c r="AF6" s="62"/>
      <c r="AG6" s="116"/>
    </row>
    <row r="7" spans="1:35" s="65" customFormat="1" ht="15.5" x14ac:dyDescent="0.35">
      <c r="B7" s="79"/>
      <c r="C7" s="119"/>
      <c r="D7" s="79"/>
      <c r="E7" s="79"/>
      <c r="F7" s="210" t="s">
        <v>1023</v>
      </c>
      <c r="G7" s="210"/>
      <c r="H7" s="210"/>
      <c r="I7" s="210"/>
      <c r="J7" s="210"/>
      <c r="K7" s="210"/>
      <c r="L7" s="210"/>
      <c r="M7" s="210"/>
      <c r="N7" s="60"/>
      <c r="O7" s="69"/>
      <c r="P7" s="62"/>
      <c r="Q7" s="62"/>
      <c r="R7" s="68"/>
      <c r="S7" s="68"/>
      <c r="T7" s="68"/>
      <c r="Y7" s="80"/>
      <c r="Z7" s="80"/>
      <c r="AA7" s="77"/>
      <c r="AC7" s="62"/>
      <c r="AD7" s="74"/>
      <c r="AE7" s="74"/>
      <c r="AF7" s="62"/>
      <c r="AG7" s="116"/>
    </row>
    <row r="8" spans="1:35" s="65" customFormat="1" ht="15.5" x14ac:dyDescent="0.35">
      <c r="B8" s="78"/>
      <c r="C8" s="102"/>
      <c r="D8" s="78"/>
      <c r="E8" s="78"/>
      <c r="F8" s="78"/>
      <c r="G8" s="102"/>
      <c r="H8" s="78"/>
      <c r="I8" s="140"/>
      <c r="J8" s="96"/>
      <c r="K8" s="78"/>
      <c r="L8" s="70"/>
      <c r="M8" s="81"/>
      <c r="N8" s="66" t="s">
        <v>564</v>
      </c>
      <c r="O8" s="70">
        <f ca="1">+Q5+Q6</f>
        <v>67934771000</v>
      </c>
      <c r="P8" s="62"/>
      <c r="Q8" s="66" t="s">
        <v>287</v>
      </c>
      <c r="R8" s="71">
        <f ca="1">+U5+O8</f>
        <v>83273681000</v>
      </c>
      <c r="S8" s="71"/>
      <c r="T8" s="71"/>
      <c r="Y8" s="76"/>
      <c r="Z8" s="76"/>
      <c r="AA8" s="74"/>
      <c r="AC8" s="62"/>
      <c r="AD8" s="74"/>
      <c r="AE8" s="74"/>
      <c r="AF8" s="62"/>
      <c r="AG8" s="116"/>
    </row>
    <row r="9" spans="1:35" s="65" customFormat="1" ht="15" x14ac:dyDescent="0.35">
      <c r="B9" s="78"/>
      <c r="C9" s="102"/>
      <c r="D9" s="78"/>
      <c r="E9" s="78"/>
      <c r="F9" s="78"/>
      <c r="G9" s="102"/>
      <c r="H9" s="78"/>
      <c r="I9" s="140"/>
      <c r="J9" s="96"/>
      <c r="K9" s="78"/>
      <c r="L9" s="70"/>
      <c r="M9" s="81"/>
      <c r="N9" s="81"/>
      <c r="O9" s="81"/>
      <c r="P9" s="81"/>
      <c r="Q9" s="59"/>
      <c r="U9" s="82"/>
      <c r="V9" s="83"/>
      <c r="W9" s="83"/>
      <c r="X9" s="64"/>
      <c r="Z9" s="62"/>
      <c r="AA9" s="74"/>
      <c r="AC9" s="62"/>
      <c r="AD9" s="74"/>
      <c r="AE9" s="74"/>
      <c r="AF9" s="62"/>
      <c r="AG9" s="116"/>
      <c r="AH9" s="70"/>
    </row>
    <row r="10" spans="1:35" s="65" customFormat="1" ht="15" x14ac:dyDescent="0.35">
      <c r="B10" s="78"/>
      <c r="C10" s="102"/>
      <c r="D10" s="78"/>
      <c r="E10" s="78"/>
      <c r="F10" s="78"/>
      <c r="G10" s="102"/>
      <c r="H10" s="78"/>
      <c r="I10" s="140"/>
      <c r="J10" s="96"/>
      <c r="K10" s="78"/>
      <c r="L10" s="84"/>
      <c r="M10" s="72"/>
      <c r="N10" s="72"/>
      <c r="O10" s="72"/>
      <c r="P10" s="72"/>
      <c r="U10" s="85"/>
      <c r="V10" s="86"/>
      <c r="W10" s="86"/>
      <c r="X10" s="86"/>
      <c r="Y10" s="87"/>
      <c r="Z10" s="62"/>
      <c r="AA10" s="74"/>
      <c r="AC10" s="62"/>
      <c r="AD10" s="74"/>
      <c r="AE10" s="74"/>
      <c r="AF10" s="62"/>
      <c r="AG10" s="116"/>
    </row>
    <row r="11" spans="1:35" s="103" customFormat="1" ht="84" x14ac:dyDescent="0.35">
      <c r="B11" s="104" t="s">
        <v>360</v>
      </c>
      <c r="C11" s="120" t="s">
        <v>361</v>
      </c>
      <c r="D11" s="104" t="s">
        <v>70</v>
      </c>
      <c r="E11" s="104" t="s">
        <v>364</v>
      </c>
      <c r="F11" s="104" t="s">
        <v>75</v>
      </c>
      <c r="G11" s="105" t="s">
        <v>365</v>
      </c>
      <c r="H11" s="106" t="s">
        <v>69</v>
      </c>
      <c r="I11" s="106" t="s">
        <v>334</v>
      </c>
      <c r="J11" s="108" t="s">
        <v>400</v>
      </c>
      <c r="K11" s="107" t="s">
        <v>399</v>
      </c>
      <c r="L11" s="109" t="s">
        <v>366</v>
      </c>
      <c r="M11" s="110" t="s">
        <v>367</v>
      </c>
      <c r="N11" s="111" t="s">
        <v>368</v>
      </c>
      <c r="O11" s="110" t="s">
        <v>369</v>
      </c>
      <c r="P11" s="112" t="s">
        <v>68</v>
      </c>
      <c r="Q11" s="110" t="s">
        <v>1</v>
      </c>
      <c r="R11" s="110" t="s">
        <v>2</v>
      </c>
      <c r="S11" s="110" t="s">
        <v>371</v>
      </c>
      <c r="T11" s="110" t="s">
        <v>372</v>
      </c>
      <c r="U11" s="113" t="s">
        <v>184</v>
      </c>
      <c r="V11" s="113" t="s">
        <v>185</v>
      </c>
      <c r="W11" s="113" t="s">
        <v>163</v>
      </c>
      <c r="X11" s="111" t="s">
        <v>72</v>
      </c>
      <c r="Y11" s="113" t="s">
        <v>73</v>
      </c>
      <c r="Z11" s="114" t="s">
        <v>285</v>
      </c>
      <c r="AA11" s="111" t="s">
        <v>74</v>
      </c>
      <c r="AB11" s="113" t="s">
        <v>233</v>
      </c>
      <c r="AC11" s="114" t="s">
        <v>263</v>
      </c>
      <c r="AD11" s="114" t="s">
        <v>284</v>
      </c>
      <c r="AE11" s="113" t="s">
        <v>195</v>
      </c>
      <c r="AF11" s="113" t="s">
        <v>220</v>
      </c>
      <c r="AG11" s="117" t="s">
        <v>77</v>
      </c>
      <c r="AH11" s="110" t="s">
        <v>71</v>
      </c>
      <c r="AI11" s="115" t="s">
        <v>370</v>
      </c>
    </row>
    <row r="12" spans="1:35" s="145" customFormat="1" ht="70" x14ac:dyDescent="0.35">
      <c r="B12" s="184">
        <v>20260001</v>
      </c>
      <c r="C12" s="185" t="s">
        <v>577</v>
      </c>
      <c r="D12" s="184" t="s">
        <v>105</v>
      </c>
      <c r="E12" s="184" t="s">
        <v>363</v>
      </c>
      <c r="F12" s="186" t="s">
        <v>144</v>
      </c>
      <c r="G12" s="187" t="s">
        <v>373</v>
      </c>
      <c r="H12" s="188">
        <v>11</v>
      </c>
      <c r="I12" s="188">
        <v>0</v>
      </c>
      <c r="J12" s="189">
        <v>120000000</v>
      </c>
      <c r="K12" s="190" t="s">
        <v>398</v>
      </c>
      <c r="L12" s="186" t="s">
        <v>151</v>
      </c>
      <c r="M12" s="191" t="s">
        <v>401</v>
      </c>
      <c r="N12" s="184" t="s">
        <v>197</v>
      </c>
      <c r="O12" s="192" t="s">
        <v>945</v>
      </c>
      <c r="P12" s="186" t="s">
        <v>348</v>
      </c>
      <c r="Q12" s="193">
        <v>80111600</v>
      </c>
      <c r="R12" s="191" t="s">
        <v>204</v>
      </c>
      <c r="S12" s="162" t="str">
        <f>MID(PAA[[#This Row],[Meta Proyecto de Inversión]],1,4)</f>
        <v>8126</v>
      </c>
      <c r="T12" s="162" t="str">
        <f>MID(PAA[[#This Row],[Meta Proyecto de Inversión]],6,1)</f>
        <v>5</v>
      </c>
      <c r="U12" s="194" t="str">
        <f>IFERROR(VLOOKUP(N12,TD!$B$50:$F$54,2,0)," ")</f>
        <v>O230117</v>
      </c>
      <c r="V12" s="194" t="str">
        <f>IFERROR(VLOOKUP(N12,TD!$B$50:$F$54,3,0)," ")</f>
        <v>4599</v>
      </c>
      <c r="W12" s="194">
        <f>IFERROR(VLOOKUP(N12,TD!$B$50:$F$54,4,0)," ")</f>
        <v>20240207</v>
      </c>
      <c r="X12" s="191" t="s">
        <v>168</v>
      </c>
      <c r="Y12" s="194" t="str">
        <f>IFERROR(VLOOKUP(X12,TD!$J$51:$K$64,2,0)," ")</f>
        <v>Infraestructura Tecnológica   (Sistemas de Información y Tecnologia)</v>
      </c>
      <c r="Z12" s="164" t="str">
        <f>CONCATENATE(X12,"-",Y12)</f>
        <v>11-Infraestructura Tecnológica   (Sistemas de Información y Tecnologia)</v>
      </c>
      <c r="AA12" s="191" t="s">
        <v>228</v>
      </c>
      <c r="AB12" s="194" t="str">
        <f>IFERROR(VLOOKUP(AA12,TD!$N$51:$O$66,2,0)," ")</f>
        <v>Servicios tecnológicos</v>
      </c>
      <c r="AC12" s="164" t="str">
        <f>CONCATENATE(AA12,"_",AB12)</f>
        <v>007_Servicios tecnológicos</v>
      </c>
      <c r="AD12" s="164" t="str">
        <f>CONCATENATE(Z12," ",AC12)</f>
        <v>11-Infraestructura Tecnológica   (Sistemas de Información y Tecnologia) 007_Servicios tecnológicos</v>
      </c>
      <c r="AE12" s="194" t="str">
        <f>CONCATENATE(U12,V12,W12,X12,AA12)</f>
        <v>O23011745992024020711007</v>
      </c>
      <c r="AF12" s="194" t="str">
        <f>IFERROR(VLOOKUP(AD12,TD!$J$66:$K$89,2,0)," ")</f>
        <v>PM/0131/0111/45990070207</v>
      </c>
      <c r="AG12" s="196" t="s">
        <v>385</v>
      </c>
      <c r="AH12" s="191" t="s">
        <v>193</v>
      </c>
      <c r="AI12" s="197" t="str">
        <f>CONCATENATE(PAA[[#This Row],[Id Interno]],"-",PAA[[#This Row],[tipo de Contrato (TH talento humano - B/S bienes y/o servicios)]],"-",S12,"-",T12,"-",PAA[[#This Row],[Objeto de la contratación]])</f>
        <v>20260001-TH-8126-5-Prestar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v>
      </c>
    </row>
    <row r="13" spans="1:35" s="145" customFormat="1" ht="84" x14ac:dyDescent="0.35">
      <c r="B13" s="184">
        <v>20260007</v>
      </c>
      <c r="C13" s="185" t="s">
        <v>583</v>
      </c>
      <c r="D13" s="184" t="s">
        <v>105</v>
      </c>
      <c r="E13" s="184" t="s">
        <v>363</v>
      </c>
      <c r="F13" s="186" t="s">
        <v>144</v>
      </c>
      <c r="G13" s="187" t="s">
        <v>373</v>
      </c>
      <c r="H13" s="188" t="s">
        <v>168</v>
      </c>
      <c r="I13" s="188" t="s">
        <v>1021</v>
      </c>
      <c r="J13" s="189">
        <v>60500000</v>
      </c>
      <c r="K13" s="190" t="s">
        <v>398</v>
      </c>
      <c r="L13" s="186" t="s">
        <v>151</v>
      </c>
      <c r="M13" s="191" t="s">
        <v>401</v>
      </c>
      <c r="N13" s="184" t="s">
        <v>197</v>
      </c>
      <c r="O13" s="192" t="s">
        <v>945</v>
      </c>
      <c r="P13" s="186" t="s">
        <v>348</v>
      </c>
      <c r="Q13" s="193" t="s">
        <v>1022</v>
      </c>
      <c r="R13" s="191" t="s">
        <v>204</v>
      </c>
      <c r="S13" s="162" t="str">
        <f>MID(PAA[[#This Row],[Meta Proyecto de Inversión]],1,4)</f>
        <v>8126</v>
      </c>
      <c r="T13" s="162" t="str">
        <f>MID(PAA[[#This Row],[Meta Proyecto de Inversión]],6,1)</f>
        <v>5</v>
      </c>
      <c r="U13" s="194" t="str">
        <f>IFERROR(VLOOKUP(N13,TD!$B$50:$F$54,2,0)," ")</f>
        <v>O230117</v>
      </c>
      <c r="V13" s="194" t="str">
        <f>IFERROR(VLOOKUP(N13,TD!$B$50:$F$54,3,0)," ")</f>
        <v>4599</v>
      </c>
      <c r="W13" s="194">
        <f>IFERROR(VLOOKUP(N13,TD!$B$50:$F$54,4,0)," ")</f>
        <v>20240207</v>
      </c>
      <c r="X13" s="191" t="s">
        <v>168</v>
      </c>
      <c r="Y13" s="194" t="str">
        <f>IFERROR(VLOOKUP(X13,TD!$J$51:$K$64,2,0)," ")</f>
        <v>Infraestructura Tecnológica   (Sistemas de Información y Tecnologia)</v>
      </c>
      <c r="Z13" s="164" t="str">
        <f>CONCATENATE(X13,"-",Y13)</f>
        <v>11-Infraestructura Tecnológica   (Sistemas de Información y Tecnologia)</v>
      </c>
      <c r="AA13" s="191" t="s">
        <v>228</v>
      </c>
      <c r="AB13" s="194" t="str">
        <f>IFERROR(VLOOKUP(AA13,TD!$N$51:$O$66,2,0)," ")</f>
        <v>Servicios tecnológicos</v>
      </c>
      <c r="AC13" s="164" t="str">
        <f>CONCATENATE(AA13,"_",AB13)</f>
        <v>007_Servicios tecnológicos</v>
      </c>
      <c r="AD13" s="164" t="str">
        <f>CONCATENATE(Z13," ",AC13)</f>
        <v>11-Infraestructura Tecnológica   (Sistemas de Información y Tecnologia) 007_Servicios tecnológicos</v>
      </c>
      <c r="AE13" s="194" t="str">
        <f>CONCATENATE(U13,V13,W13,X13,AA13)</f>
        <v>O23011745992024020711007</v>
      </c>
      <c r="AF13" s="194" t="str">
        <f>IFERROR(VLOOKUP(AD13,TD!$J$66:$K$89,2,0)," ")</f>
        <v>PM/0131/0111/45990070207</v>
      </c>
      <c r="AG13" s="196" t="s">
        <v>385</v>
      </c>
      <c r="AH13" s="191" t="s">
        <v>193</v>
      </c>
      <c r="AI13" s="197" t="str">
        <f>CONCATENATE(PAA[[#This Row],[Id Interno]],"-",PAA[[#This Row],[tipo de Contrato (TH talento humano - B/S bienes y/o servicios)]],"-",S13,"-",T13,"-",PAA[[#This Row],[Objeto de la contratación]])</f>
        <v>20260007-TH-8126-5-Prestar servicios profesionales orientados al fortalecimiento, administración y soporte de los sistemas, plataformas, infraestructura tecnológica y servicios informáticos a cargo de la Dirección de Tics de la U.A.E Cuerpo Oficial de Bomberos de Bogotá D.C</v>
      </c>
    </row>
    <row r="14" spans="1:35" s="145" customFormat="1" ht="98" x14ac:dyDescent="0.35">
      <c r="B14" s="184">
        <v>20260012</v>
      </c>
      <c r="C14" s="185" t="s">
        <v>587</v>
      </c>
      <c r="D14" s="184" t="s">
        <v>105</v>
      </c>
      <c r="E14" s="184" t="s">
        <v>363</v>
      </c>
      <c r="F14" s="186" t="s">
        <v>144</v>
      </c>
      <c r="G14" s="187" t="s">
        <v>373</v>
      </c>
      <c r="H14" s="188">
        <v>12</v>
      </c>
      <c r="I14" s="188">
        <v>0</v>
      </c>
      <c r="J14" s="189">
        <v>61920000</v>
      </c>
      <c r="K14" s="190" t="s">
        <v>398</v>
      </c>
      <c r="L14" s="186" t="s">
        <v>151</v>
      </c>
      <c r="M14" s="191" t="s">
        <v>401</v>
      </c>
      <c r="N14" s="184" t="s">
        <v>197</v>
      </c>
      <c r="O14" s="192" t="s">
        <v>945</v>
      </c>
      <c r="P14" s="186" t="s">
        <v>348</v>
      </c>
      <c r="Q14" s="193">
        <v>80111600</v>
      </c>
      <c r="R14" s="191" t="s">
        <v>205</v>
      </c>
      <c r="S14" s="162" t="str">
        <f>MID(PAA[[#This Row],[Meta Proyecto de Inversión]],1,4)</f>
        <v>8126</v>
      </c>
      <c r="T14" s="162" t="str">
        <f>MID(PAA[[#This Row],[Meta Proyecto de Inversión]],6,1)</f>
        <v>6</v>
      </c>
      <c r="U14" s="194" t="str">
        <f>IFERROR(VLOOKUP(N14,TD!$B$50:$F$54,2,0)," ")</f>
        <v>O230117</v>
      </c>
      <c r="V14" s="194" t="str">
        <f>IFERROR(VLOOKUP(N14,TD!$B$50:$F$54,3,0)," ")</f>
        <v>4599</v>
      </c>
      <c r="W14" s="194">
        <f>IFERROR(VLOOKUP(N14,TD!$B$50:$F$54,4,0)," ")</f>
        <v>20240207</v>
      </c>
      <c r="X14" s="191" t="s">
        <v>168</v>
      </c>
      <c r="Y14" s="194" t="str">
        <f>IFERROR(VLOOKUP(X14,TD!$J$51:$K$64,2,0)," ")</f>
        <v>Infraestructura Tecnológica   (Sistemas de Información y Tecnologia)</v>
      </c>
      <c r="Z14" s="164" t="str">
        <f>CONCATENATE(X14,"-",Y14)</f>
        <v>11-Infraestructura Tecnológica   (Sistemas de Información y Tecnologia)</v>
      </c>
      <c r="AA14" s="191" t="s">
        <v>228</v>
      </c>
      <c r="AB14" s="194" t="str">
        <f>IFERROR(VLOOKUP(AA14,TD!$N$51:$O$66,2,0)," ")</f>
        <v>Servicios tecnológicos</v>
      </c>
      <c r="AC14" s="164" t="str">
        <f>CONCATENATE(AA14,"_",AB14)</f>
        <v>007_Servicios tecnológicos</v>
      </c>
      <c r="AD14" s="164" t="str">
        <f>CONCATENATE(Z14," ",AC14)</f>
        <v>11-Infraestructura Tecnológica   (Sistemas de Información y Tecnologia) 007_Servicios tecnológicos</v>
      </c>
      <c r="AE14" s="194" t="str">
        <f>CONCATENATE(U14,V14,W14,X14,AA14)</f>
        <v>O23011745992024020711007</v>
      </c>
      <c r="AF14" s="194" t="str">
        <f>IFERROR(VLOOKUP(AD14,TD!$J$66:$K$89,2,0)," ")</f>
        <v>PM/0131/0111/45990070207</v>
      </c>
      <c r="AG14" s="196" t="s">
        <v>385</v>
      </c>
      <c r="AH14" s="191" t="s">
        <v>193</v>
      </c>
      <c r="AI14" s="197" t="str">
        <f>CONCATENATE(PAA[[#This Row],[Id Interno]],"-",PAA[[#This Row],[tipo de Contrato (TH talento humano - B/S bienes y/o servicios)]],"-",S14,"-",T14,"-",PAA[[#This Row],[Objeto de la contratación]])</f>
        <v>20260012-TH-8126-6-Prestar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v>
      </c>
    </row>
    <row r="15" spans="1:35" s="145" customFormat="1" ht="70" x14ac:dyDescent="0.35">
      <c r="B15" s="184">
        <v>20260014</v>
      </c>
      <c r="C15" s="185" t="s">
        <v>589</v>
      </c>
      <c r="D15" s="184" t="s">
        <v>105</v>
      </c>
      <c r="E15" s="184" t="s">
        <v>363</v>
      </c>
      <c r="F15" s="186" t="s">
        <v>145</v>
      </c>
      <c r="G15" s="187" t="s">
        <v>373</v>
      </c>
      <c r="H15" s="188">
        <v>6</v>
      </c>
      <c r="I15" s="188">
        <v>0</v>
      </c>
      <c r="J15" s="189">
        <v>26940000</v>
      </c>
      <c r="K15" s="190" t="s">
        <v>398</v>
      </c>
      <c r="L15" s="186" t="s">
        <v>151</v>
      </c>
      <c r="M15" s="191" t="s">
        <v>401</v>
      </c>
      <c r="N15" s="184" t="s">
        <v>197</v>
      </c>
      <c r="O15" s="192" t="s">
        <v>945</v>
      </c>
      <c r="P15" s="186" t="s">
        <v>348</v>
      </c>
      <c r="Q15" s="193">
        <v>80111600</v>
      </c>
      <c r="R15" s="191" t="s">
        <v>203</v>
      </c>
      <c r="S15" s="162" t="str">
        <f>MID(PAA[[#This Row],[Meta Proyecto de Inversión]],1,4)</f>
        <v>8126</v>
      </c>
      <c r="T15" s="162" t="str">
        <f>MID(PAA[[#This Row],[Meta Proyecto de Inversión]],6,1)</f>
        <v>4</v>
      </c>
      <c r="U15" s="194" t="str">
        <f>IFERROR(VLOOKUP(N15,TD!$B$50:$F$54,2,0)," ")</f>
        <v>O230117</v>
      </c>
      <c r="V15" s="194" t="str">
        <f>IFERROR(VLOOKUP(N15,TD!$B$50:$F$54,3,0)," ")</f>
        <v>4599</v>
      </c>
      <c r="W15" s="194">
        <f>IFERROR(VLOOKUP(N15,TD!$B$50:$F$54,4,0)," ")</f>
        <v>20240207</v>
      </c>
      <c r="X15" s="191" t="s">
        <v>168</v>
      </c>
      <c r="Y15" s="194" t="str">
        <f>IFERROR(VLOOKUP(X15,TD!$J$51:$K$64,2,0)," ")</f>
        <v>Infraestructura Tecnológica   (Sistemas de Información y Tecnologia)</v>
      </c>
      <c r="Z15" s="164" t="str">
        <f>CONCATENATE(X15,"-",Y15)</f>
        <v>11-Infraestructura Tecnológica   (Sistemas de Información y Tecnologia)</v>
      </c>
      <c r="AA15" s="191" t="s">
        <v>228</v>
      </c>
      <c r="AB15" s="194" t="str">
        <f>IFERROR(VLOOKUP(AA15,TD!$N$51:$O$66,2,0)," ")</f>
        <v>Servicios tecnológicos</v>
      </c>
      <c r="AC15" s="164" t="str">
        <f>CONCATENATE(AA15,"_",AB15)</f>
        <v>007_Servicios tecnológicos</v>
      </c>
      <c r="AD15" s="164" t="str">
        <f>CONCATENATE(Z15," ",AC15)</f>
        <v>11-Infraestructura Tecnológica   (Sistemas de Información y Tecnologia) 007_Servicios tecnológicos</v>
      </c>
      <c r="AE15" s="194" t="str">
        <f>CONCATENATE(U15,V15,W15,X15,AA15)</f>
        <v>O23011745992024020711007</v>
      </c>
      <c r="AF15" s="194" t="str">
        <f>IFERROR(VLOOKUP(AD15,TD!$J$66:$K$89,2,0)," ")</f>
        <v>PM/0131/0111/45990070207</v>
      </c>
      <c r="AG15" s="196" t="s">
        <v>385</v>
      </c>
      <c r="AH15" s="191" t="s">
        <v>193</v>
      </c>
      <c r="AI15" s="197" t="str">
        <f>CONCATENATE(PAA[[#This Row],[Id Interno]],"-",PAA[[#This Row],[tipo de Contrato (TH talento humano - B/S bienes y/o servicios)]],"-",S15,"-",T15,"-",PAA[[#This Row],[Objeto de la contratación]])</f>
        <v>20260014-TH-8126-4-Prestar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v>
      </c>
    </row>
    <row r="16" spans="1:35" s="145" customFormat="1" ht="70" x14ac:dyDescent="0.35">
      <c r="B16" s="184">
        <v>20260021</v>
      </c>
      <c r="C16" s="185" t="s">
        <v>594</v>
      </c>
      <c r="D16" s="184" t="s">
        <v>105</v>
      </c>
      <c r="E16" s="184" t="s">
        <v>363</v>
      </c>
      <c r="F16" s="186" t="s">
        <v>144</v>
      </c>
      <c r="G16" s="187" t="s">
        <v>374</v>
      </c>
      <c r="H16" s="188">
        <v>10</v>
      </c>
      <c r="I16" s="188">
        <v>0</v>
      </c>
      <c r="J16" s="189">
        <v>55000000</v>
      </c>
      <c r="K16" s="190" t="s">
        <v>398</v>
      </c>
      <c r="L16" s="186" t="s">
        <v>151</v>
      </c>
      <c r="M16" s="191" t="s">
        <v>401</v>
      </c>
      <c r="N16" s="184" t="s">
        <v>197</v>
      </c>
      <c r="O16" s="192" t="s">
        <v>945</v>
      </c>
      <c r="P16" s="186" t="s">
        <v>348</v>
      </c>
      <c r="Q16" s="193">
        <v>80111600</v>
      </c>
      <c r="R16" s="191" t="s">
        <v>206</v>
      </c>
      <c r="S16" s="162" t="str">
        <f>MID(PAA[[#This Row],[Meta Proyecto de Inversión]],1,4)</f>
        <v>8126</v>
      </c>
      <c r="T16" s="162" t="str">
        <f>MID(PAA[[#This Row],[Meta Proyecto de Inversión]],6,1)</f>
        <v>7</v>
      </c>
      <c r="U16" s="194" t="str">
        <f>IFERROR(VLOOKUP(N16,TD!$B$50:$F$54,2,0)," ")</f>
        <v>O230117</v>
      </c>
      <c r="V16" s="194" t="str">
        <f>IFERROR(VLOOKUP(N16,TD!$B$50:$F$54,3,0)," ")</f>
        <v>4599</v>
      </c>
      <c r="W16" s="194">
        <f>IFERROR(VLOOKUP(N16,TD!$B$50:$F$54,4,0)," ")</f>
        <v>20240207</v>
      </c>
      <c r="X16" s="191" t="s">
        <v>168</v>
      </c>
      <c r="Y16" s="194" t="str">
        <f>IFERROR(VLOOKUP(X16,TD!$J$51:$K$64,2,0)," ")</f>
        <v>Infraestructura Tecnológica   (Sistemas de Información y Tecnologia)</v>
      </c>
      <c r="Z16" s="164" t="str">
        <f>CONCATENATE(X16,"-",Y16)</f>
        <v>11-Infraestructura Tecnológica   (Sistemas de Información y Tecnologia)</v>
      </c>
      <c r="AA16" s="191" t="s">
        <v>228</v>
      </c>
      <c r="AB16" s="194" t="str">
        <f>IFERROR(VLOOKUP(AA16,TD!$N$51:$O$66,2,0)," ")</f>
        <v>Servicios tecnológicos</v>
      </c>
      <c r="AC16" s="164" t="str">
        <f>CONCATENATE(AA16,"_",AB16)</f>
        <v>007_Servicios tecnológicos</v>
      </c>
      <c r="AD16" s="164" t="str">
        <f>CONCATENATE(Z16," ",AC16)</f>
        <v>11-Infraestructura Tecnológica   (Sistemas de Información y Tecnologia) 007_Servicios tecnológicos</v>
      </c>
      <c r="AE16" s="194" t="str">
        <f>CONCATENATE(U16,V16,W16,X16,AA16)</f>
        <v>O23011745992024020711007</v>
      </c>
      <c r="AF16" s="194" t="str">
        <f>IFERROR(VLOOKUP(AD16,TD!$J$66:$K$89,2,0)," ")</f>
        <v>PM/0131/0111/45990070207</v>
      </c>
      <c r="AG16" s="196" t="s">
        <v>385</v>
      </c>
      <c r="AH16" s="191" t="s">
        <v>193</v>
      </c>
      <c r="AI16" s="197" t="str">
        <f>CONCATENATE(PAA[[#This Row],[Id Interno]],"-",PAA[[#This Row],[tipo de Contrato (TH talento humano - B/S bienes y/o servicios)]],"-",S16,"-",T16,"-",PAA[[#This Row],[Objeto de la contratación]])</f>
        <v>20260021-TH-8126-7-Prestar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v>
      </c>
    </row>
    <row r="17" spans="2:35" s="145" customFormat="1" ht="84" x14ac:dyDescent="0.35">
      <c r="B17" s="184">
        <v>20260024</v>
      </c>
      <c r="C17" s="184" t="s">
        <v>597</v>
      </c>
      <c r="D17" s="184" t="s">
        <v>105</v>
      </c>
      <c r="E17" s="184" t="s">
        <v>363</v>
      </c>
      <c r="F17" s="186" t="s">
        <v>144</v>
      </c>
      <c r="G17" s="186" t="s">
        <v>374</v>
      </c>
      <c r="H17" s="188">
        <v>6</v>
      </c>
      <c r="I17" s="188">
        <v>0</v>
      </c>
      <c r="J17" s="189">
        <v>30966000</v>
      </c>
      <c r="K17" s="190" t="s">
        <v>398</v>
      </c>
      <c r="L17" s="186" t="s">
        <v>151</v>
      </c>
      <c r="M17" s="191" t="s">
        <v>401</v>
      </c>
      <c r="N17" s="184" t="s">
        <v>197</v>
      </c>
      <c r="O17" s="233" t="s">
        <v>945</v>
      </c>
      <c r="P17" s="186" t="s">
        <v>348</v>
      </c>
      <c r="Q17" s="193">
        <v>80111600</v>
      </c>
      <c r="R17" s="191" t="s">
        <v>203</v>
      </c>
      <c r="S17" s="162" t="str">
        <f>MID(PAA[[#This Row],[Meta Proyecto de Inversión]],1,4)</f>
        <v>8126</v>
      </c>
      <c r="T17" s="162" t="str">
        <f>MID(PAA[[#This Row],[Meta Proyecto de Inversión]],6,1)</f>
        <v>4</v>
      </c>
      <c r="U17" s="194" t="str">
        <f>IFERROR(VLOOKUP(N17,TD!$B$50:$F$54,2,0)," ")</f>
        <v>O230117</v>
      </c>
      <c r="V17" s="194" t="str">
        <f>IFERROR(VLOOKUP(N17,TD!$B$50:$F$54,3,0)," ")</f>
        <v>4599</v>
      </c>
      <c r="W17" s="194">
        <f>IFERROR(VLOOKUP(N17,TD!$B$50:$F$54,4,0)," ")</f>
        <v>20240207</v>
      </c>
      <c r="X17" s="191" t="s">
        <v>168</v>
      </c>
      <c r="Y17" s="194" t="str">
        <f>IFERROR(VLOOKUP(X17,TD!$J$51:$K$64,2,0)," ")</f>
        <v>Infraestructura Tecnológica   (Sistemas de Información y Tecnologia)</v>
      </c>
      <c r="Z17" s="164" t="str">
        <f>CONCATENATE(X17,"-",Y17)</f>
        <v>11-Infraestructura Tecnológica   (Sistemas de Información y Tecnologia)</v>
      </c>
      <c r="AA17" s="191" t="s">
        <v>228</v>
      </c>
      <c r="AB17" s="194" t="str">
        <f>IFERROR(VLOOKUP(AA17,TD!$N$51:$O$66,2,0)," ")</f>
        <v>Servicios tecnológicos</v>
      </c>
      <c r="AC17" s="164" t="str">
        <f>CONCATENATE(AA17,"_",AB17)</f>
        <v>007_Servicios tecnológicos</v>
      </c>
      <c r="AD17" s="164" t="str">
        <f>CONCATENATE(Z17," ",AC17)</f>
        <v>11-Infraestructura Tecnológica   (Sistemas de Información y Tecnologia) 007_Servicios tecnológicos</v>
      </c>
      <c r="AE17" s="194" t="str">
        <f>CONCATENATE(U17,V17,W17,X17,AA17)</f>
        <v>O23011745992024020711007</v>
      </c>
      <c r="AF17" s="194" t="str">
        <f>IFERROR(VLOOKUP(AD17,TD!$J$66:$K$89,2,0)," ")</f>
        <v>PM/0131/0111/45990070207</v>
      </c>
      <c r="AG17" s="189" t="s">
        <v>385</v>
      </c>
      <c r="AH17" s="191" t="s">
        <v>193</v>
      </c>
      <c r="AI17" s="197" t="str">
        <f>CONCATENATE(PAA[[#This Row],[Id Interno]],"-",PAA[[#This Row],[tipo de Contrato (TH talento humano - B/S bienes y/o servicios)]],"-",S17,"-",T17,"-",PAA[[#This Row],[Objeto de la contratación]])</f>
        <v>20260024-TH-8126-4-Prestar los servicios profesionales en la implementación, de las herramientas misionales, creadas como soporte a los procesos y procedimientos de la U.A.E. Cuerpo Oficial de Bomberos de Bogotá.</v>
      </c>
    </row>
    <row r="18" spans="2:35" s="145" customFormat="1" ht="70" x14ac:dyDescent="0.35">
      <c r="B18" s="184">
        <v>20260029</v>
      </c>
      <c r="C18" s="185" t="s">
        <v>600</v>
      </c>
      <c r="D18" s="184" t="s">
        <v>105</v>
      </c>
      <c r="E18" s="184" t="s">
        <v>363</v>
      </c>
      <c r="F18" s="186" t="s">
        <v>144</v>
      </c>
      <c r="G18" s="187" t="s">
        <v>373</v>
      </c>
      <c r="H18" s="188">
        <v>10</v>
      </c>
      <c r="I18" s="188">
        <v>0</v>
      </c>
      <c r="J18" s="189">
        <v>51610000</v>
      </c>
      <c r="K18" s="190" t="s">
        <v>398</v>
      </c>
      <c r="L18" s="186" t="s">
        <v>151</v>
      </c>
      <c r="M18" s="191" t="s">
        <v>401</v>
      </c>
      <c r="N18" s="184" t="s">
        <v>197</v>
      </c>
      <c r="O18" s="192" t="s">
        <v>945</v>
      </c>
      <c r="P18" s="186" t="s">
        <v>348</v>
      </c>
      <c r="Q18" s="193">
        <v>80111600</v>
      </c>
      <c r="R18" s="191" t="s">
        <v>203</v>
      </c>
      <c r="S18" s="162" t="str">
        <f>MID(PAA[[#This Row],[Meta Proyecto de Inversión]],1,4)</f>
        <v>8126</v>
      </c>
      <c r="T18" s="162" t="str">
        <f>MID(PAA[[#This Row],[Meta Proyecto de Inversión]],6,1)</f>
        <v>4</v>
      </c>
      <c r="U18" s="194" t="str">
        <f>IFERROR(VLOOKUP(N18,TD!$B$50:$F$54,2,0)," ")</f>
        <v>O230117</v>
      </c>
      <c r="V18" s="194" t="str">
        <f>IFERROR(VLOOKUP(N18,TD!$B$50:$F$54,3,0)," ")</f>
        <v>4599</v>
      </c>
      <c r="W18" s="194">
        <f>IFERROR(VLOOKUP(N18,TD!$B$50:$F$54,4,0)," ")</f>
        <v>20240207</v>
      </c>
      <c r="X18" s="191" t="s">
        <v>168</v>
      </c>
      <c r="Y18" s="194" t="str">
        <f>IFERROR(VLOOKUP(X18,TD!$J$51:$K$64,2,0)," ")</f>
        <v>Infraestructura Tecnológica   (Sistemas de Información y Tecnologia)</v>
      </c>
      <c r="Z18" s="164" t="str">
        <f>CONCATENATE(X18,"-",Y18)</f>
        <v>11-Infraestructura Tecnológica   (Sistemas de Información y Tecnologia)</v>
      </c>
      <c r="AA18" s="191" t="s">
        <v>228</v>
      </c>
      <c r="AB18" s="194" t="str">
        <f>IFERROR(VLOOKUP(AA18,TD!$N$51:$O$66,2,0)," ")</f>
        <v>Servicios tecnológicos</v>
      </c>
      <c r="AC18" s="164" t="str">
        <f>CONCATENATE(AA18,"_",AB18)</f>
        <v>007_Servicios tecnológicos</v>
      </c>
      <c r="AD18" s="164" t="str">
        <f>CONCATENATE(Z18," ",AC18)</f>
        <v>11-Infraestructura Tecnológica   (Sistemas de Información y Tecnologia) 007_Servicios tecnológicos</v>
      </c>
      <c r="AE18" s="194" t="str">
        <f>CONCATENATE(U18,V18,W18,X18,AA18)</f>
        <v>O23011745992024020711007</v>
      </c>
      <c r="AF18" s="194" t="str">
        <f>IFERROR(VLOOKUP(AD18,TD!$J$66:$K$89,2,0)," ")</f>
        <v>PM/0131/0111/45990070207</v>
      </c>
      <c r="AG18" s="196" t="s">
        <v>385</v>
      </c>
      <c r="AH18" s="191" t="s">
        <v>193</v>
      </c>
      <c r="AI18" s="197" t="str">
        <f>CONCATENATE(PAA[[#This Row],[Id Interno]],"-",PAA[[#This Row],[tipo de Contrato (TH talento humano - B/S bienes y/o servicios)]],"-",S18,"-",T18,"-",PAA[[#This Row],[Objeto de la contratación]])</f>
        <v>20260029-TH-8126-4-Prestar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v>
      </c>
    </row>
    <row r="19" spans="2:35" s="145" customFormat="1" ht="56" x14ac:dyDescent="0.35">
      <c r="B19" s="184">
        <v>20260033</v>
      </c>
      <c r="C19" s="185" t="s">
        <v>430</v>
      </c>
      <c r="D19" s="184" t="s">
        <v>83</v>
      </c>
      <c r="E19" s="184" t="s">
        <v>402</v>
      </c>
      <c r="F19" s="186" t="s">
        <v>89</v>
      </c>
      <c r="G19" s="187" t="s">
        <v>382</v>
      </c>
      <c r="H19" s="188">
        <v>6</v>
      </c>
      <c r="I19" s="188">
        <v>0</v>
      </c>
      <c r="J19" s="189">
        <v>1000</v>
      </c>
      <c r="K19" s="190" t="s">
        <v>398</v>
      </c>
      <c r="L19" s="186" t="s">
        <v>151</v>
      </c>
      <c r="M19" s="191" t="s">
        <v>401</v>
      </c>
      <c r="N19" s="184" t="s">
        <v>197</v>
      </c>
      <c r="O19" s="192" t="s">
        <v>945</v>
      </c>
      <c r="P19" s="186" t="s">
        <v>348</v>
      </c>
      <c r="Q19" s="193" t="s">
        <v>442</v>
      </c>
      <c r="R19" s="191" t="s">
        <v>204</v>
      </c>
      <c r="S19" s="162" t="str">
        <f>MID(PAA[[#This Row],[Meta Proyecto de Inversión]],1,4)</f>
        <v>8126</v>
      </c>
      <c r="T19" s="162" t="str">
        <f>MID(PAA[[#This Row],[Meta Proyecto de Inversión]],6,1)</f>
        <v>5</v>
      </c>
      <c r="U19" s="194" t="str">
        <f>IFERROR(VLOOKUP(N19,TD!$B$50:$F$54,2,0)," ")</f>
        <v>O230117</v>
      </c>
      <c r="V19" s="194" t="str">
        <f>IFERROR(VLOOKUP(N19,TD!$B$50:$F$54,3,0)," ")</f>
        <v>4599</v>
      </c>
      <c r="W19" s="194">
        <f>IFERROR(VLOOKUP(N19,TD!$B$50:$F$54,4,0)," ")</f>
        <v>20240207</v>
      </c>
      <c r="X19" s="191" t="s">
        <v>168</v>
      </c>
      <c r="Y19" s="194" t="str">
        <f>IFERROR(VLOOKUP(X19,TD!$J$51:$K$64,2,0)," ")</f>
        <v>Infraestructura Tecnológica   (Sistemas de Información y Tecnologia)</v>
      </c>
      <c r="Z19" s="164" t="str">
        <f>CONCATENATE(X19,"-",Y19)</f>
        <v>11-Infraestructura Tecnológica   (Sistemas de Información y Tecnologia)</v>
      </c>
      <c r="AA19" s="191" t="s">
        <v>228</v>
      </c>
      <c r="AB19" s="194" t="str">
        <f>IFERROR(VLOOKUP(AA19,TD!$N$51:$O$66,2,0)," ")</f>
        <v>Servicios tecnológicos</v>
      </c>
      <c r="AC19" s="164" t="str">
        <f>CONCATENATE(AA19,"_",AB19)</f>
        <v>007_Servicios tecnológicos</v>
      </c>
      <c r="AD19" s="164" t="str">
        <f>CONCATENATE(Z19," ",AC19)</f>
        <v>11-Infraestructura Tecnológica   (Sistemas de Información y Tecnologia) 007_Servicios tecnológicos</v>
      </c>
      <c r="AE19" s="194" t="str">
        <f>CONCATENATE(U19,V19,W19,X19,AA19)</f>
        <v>O23011745992024020711007</v>
      </c>
      <c r="AF19" s="194" t="str">
        <f>IFERROR(VLOOKUP(AD19,TD!$J$66:$K$89,2,0)," ")</f>
        <v>PM/0131/0111/45990070207</v>
      </c>
      <c r="AG19" s="196" t="s">
        <v>121</v>
      </c>
      <c r="AH19" s="191" t="s">
        <v>193</v>
      </c>
      <c r="AI19" s="197" t="str">
        <f>CONCATENATE(PAA[[#This Row],[Id Interno]],"-",PAA[[#This Row],[tipo de Contrato (TH talento humano - B/S bienes y/o servicios)]],"-",S19,"-",T19,"-",PAA[[#This Row],[Objeto de la contratación]])</f>
        <v>20260033-BS-8126-5-Adquisición, actualización y configuración de la plataforma de comunicaciones de Voz IP compatible con la solución actual con la que cuenta la entidad.</v>
      </c>
    </row>
    <row r="20" spans="2:35" s="145" customFormat="1" ht="56" x14ac:dyDescent="0.35">
      <c r="B20" s="184">
        <v>20260040</v>
      </c>
      <c r="C20" s="185" t="s">
        <v>433</v>
      </c>
      <c r="D20" s="184" t="s">
        <v>105</v>
      </c>
      <c r="E20" s="184" t="s">
        <v>402</v>
      </c>
      <c r="F20" s="186" t="s">
        <v>138</v>
      </c>
      <c r="G20" s="187" t="s">
        <v>383</v>
      </c>
      <c r="H20" s="188">
        <v>12</v>
      </c>
      <c r="I20" s="188">
        <v>0</v>
      </c>
      <c r="J20" s="189">
        <v>1000</v>
      </c>
      <c r="K20" s="190" t="s">
        <v>398</v>
      </c>
      <c r="L20" s="186" t="s">
        <v>151</v>
      </c>
      <c r="M20" s="191" t="s">
        <v>401</v>
      </c>
      <c r="N20" s="184" t="s">
        <v>197</v>
      </c>
      <c r="O20" s="192" t="s">
        <v>945</v>
      </c>
      <c r="P20" s="186" t="s">
        <v>348</v>
      </c>
      <c r="Q20" s="193">
        <v>81112217</v>
      </c>
      <c r="R20" s="191" t="s">
        <v>203</v>
      </c>
      <c r="S20" s="162" t="str">
        <f>MID(PAA[[#This Row],[Meta Proyecto de Inversión]],1,4)</f>
        <v>8126</v>
      </c>
      <c r="T20" s="162" t="str">
        <f>MID(PAA[[#This Row],[Meta Proyecto de Inversión]],6,1)</f>
        <v>4</v>
      </c>
      <c r="U20" s="194" t="str">
        <f>IFERROR(VLOOKUP(N20,TD!$B$50:$F$54,2,0)," ")</f>
        <v>O230117</v>
      </c>
      <c r="V20" s="194" t="str">
        <f>IFERROR(VLOOKUP(N20,TD!$B$50:$F$54,3,0)," ")</f>
        <v>4599</v>
      </c>
      <c r="W20" s="194">
        <f>IFERROR(VLOOKUP(N20,TD!$B$50:$F$54,4,0)," ")</f>
        <v>20240207</v>
      </c>
      <c r="X20" s="191" t="s">
        <v>168</v>
      </c>
      <c r="Y20" s="194" t="str">
        <f>IFERROR(VLOOKUP(X20,TD!$J$51:$K$64,2,0)," ")</f>
        <v>Infraestructura Tecnológica   (Sistemas de Información y Tecnologia)</v>
      </c>
      <c r="Z20" s="164" t="str">
        <f>CONCATENATE(X20,"-",Y20)</f>
        <v>11-Infraestructura Tecnológica   (Sistemas de Información y Tecnologia)</v>
      </c>
      <c r="AA20" s="191" t="s">
        <v>228</v>
      </c>
      <c r="AB20" s="194" t="str">
        <f>IFERROR(VLOOKUP(AA20,TD!$N$51:$O$66,2,0)," ")</f>
        <v>Servicios tecnológicos</v>
      </c>
      <c r="AC20" s="164" t="str">
        <f>CONCATENATE(AA20,"_",AB20)</f>
        <v>007_Servicios tecnológicos</v>
      </c>
      <c r="AD20" s="164" t="str">
        <f>CONCATENATE(Z20," ",AC20)</f>
        <v>11-Infraestructura Tecnológica   (Sistemas de Información y Tecnologia) 007_Servicios tecnológicos</v>
      </c>
      <c r="AE20" s="194" t="str">
        <f>CONCATENATE(U20,V20,W20,X20,AA20)</f>
        <v>O23011745992024020711007</v>
      </c>
      <c r="AF20" s="194" t="str">
        <f>IFERROR(VLOOKUP(AD20,TD!$J$66:$K$89,2,0)," ")</f>
        <v>PM/0131/0111/45990070207</v>
      </c>
      <c r="AG20" s="196" t="s">
        <v>116</v>
      </c>
      <c r="AH20" s="191" t="s">
        <v>193</v>
      </c>
      <c r="AI20" s="197" t="str">
        <f>CONCATENATE(PAA[[#This Row],[Id Interno]],"-",PAA[[#This Row],[tipo de Contrato (TH talento humano - B/S bienes y/o servicios)]],"-",S20,"-",T20,"-",PAA[[#This Row],[Objeto de la contratación]])</f>
        <v>20260040-BS-8126-4-Contratar el servicio de actualización y soporte de licenciamiento ArcGIS para la U.A.E. Cuerpo Oficial de Bomberos de Bogotá.- TIC</v>
      </c>
    </row>
    <row r="21" spans="2:35" s="145" customFormat="1" ht="70" x14ac:dyDescent="0.35">
      <c r="B21" s="184">
        <v>20260042</v>
      </c>
      <c r="C21" s="185" t="s">
        <v>435</v>
      </c>
      <c r="D21" s="184" t="s">
        <v>88</v>
      </c>
      <c r="E21" s="184" t="s">
        <v>402</v>
      </c>
      <c r="F21" s="186" t="s">
        <v>138</v>
      </c>
      <c r="G21" s="187" t="s">
        <v>382</v>
      </c>
      <c r="H21" s="188">
        <v>12</v>
      </c>
      <c r="I21" s="188">
        <v>0</v>
      </c>
      <c r="J21" s="189">
        <v>1000</v>
      </c>
      <c r="K21" s="190" t="s">
        <v>398</v>
      </c>
      <c r="L21" s="186" t="s">
        <v>151</v>
      </c>
      <c r="M21" s="191" t="s">
        <v>401</v>
      </c>
      <c r="N21" s="184" t="s">
        <v>197</v>
      </c>
      <c r="O21" s="192" t="s">
        <v>945</v>
      </c>
      <c r="P21" s="186" t="s">
        <v>348</v>
      </c>
      <c r="Q21" s="193">
        <v>43222635</v>
      </c>
      <c r="R21" s="191" t="s">
        <v>204</v>
      </c>
      <c r="S21" s="162" t="str">
        <f>MID(PAA[[#This Row],[Meta Proyecto de Inversión]],1,4)</f>
        <v>8126</v>
      </c>
      <c r="T21" s="162" t="str">
        <f>MID(PAA[[#This Row],[Meta Proyecto de Inversión]],6,1)</f>
        <v>5</v>
      </c>
      <c r="U21" s="194" t="str">
        <f>IFERROR(VLOOKUP(N21,TD!$B$50:$F$54,2,0)," ")</f>
        <v>O230117</v>
      </c>
      <c r="V21" s="194" t="str">
        <f>IFERROR(VLOOKUP(N21,TD!$B$50:$F$54,3,0)," ")</f>
        <v>4599</v>
      </c>
      <c r="W21" s="194">
        <f>IFERROR(VLOOKUP(N21,TD!$B$50:$F$54,4,0)," ")</f>
        <v>20240207</v>
      </c>
      <c r="X21" s="191" t="s">
        <v>168</v>
      </c>
      <c r="Y21" s="194" t="str">
        <f>IFERROR(VLOOKUP(X21,TD!$J$51:$K$64,2,0)," ")</f>
        <v>Infraestructura Tecnológica   (Sistemas de Información y Tecnologia)</v>
      </c>
      <c r="Z21" s="164" t="str">
        <f>CONCATENATE(X21,"-",Y21)</f>
        <v>11-Infraestructura Tecnológica   (Sistemas de Información y Tecnologia)</v>
      </c>
      <c r="AA21" s="191" t="s">
        <v>228</v>
      </c>
      <c r="AB21" s="194" t="str">
        <f>IFERROR(VLOOKUP(AA21,TD!$N$51:$O$66,2,0)," ")</f>
        <v>Servicios tecnológicos</v>
      </c>
      <c r="AC21" s="164" t="str">
        <f>CONCATENATE(AA21,"_",AB21)</f>
        <v>007_Servicios tecnológicos</v>
      </c>
      <c r="AD21" s="164" t="str">
        <f>CONCATENATE(Z21," ",AC21)</f>
        <v>11-Infraestructura Tecnológica   (Sistemas de Información y Tecnologia) 007_Servicios tecnológicos</v>
      </c>
      <c r="AE21" s="194" t="str">
        <f>CONCATENATE(U21,V21,W21,X21,AA21)</f>
        <v>O23011745992024020711007</v>
      </c>
      <c r="AF21" s="194" t="str">
        <f>IFERROR(VLOOKUP(AD21,TD!$J$66:$K$89,2,0)," ")</f>
        <v>PM/0131/0111/45990070207</v>
      </c>
      <c r="AG21" s="196" t="s">
        <v>116</v>
      </c>
      <c r="AH21" s="191" t="s">
        <v>193</v>
      </c>
      <c r="AI21" s="197" t="str">
        <f>CONCATENATE(PAA[[#This Row],[Id Interno]],"-",PAA[[#This Row],[tipo de Contrato (TH talento humano - B/S bienes y/o servicios)]],"-",S21,"-",T21,"-",PAA[[#This Row],[Objeto de la contratación]])</f>
        <v>20260042-BS-8126-5-Contratar la renovación de garantía y soporte de fabrica de los equipos activos que hacen parte de la infraestructura tecnológica de la U.A.E. Cuerpo Oficial de Bomberos de Bogotá.</v>
      </c>
    </row>
    <row r="22" spans="2:35" s="145" customFormat="1" ht="84" x14ac:dyDescent="0.35">
      <c r="B22" s="184">
        <v>20260046</v>
      </c>
      <c r="C22" s="185" t="s">
        <v>438</v>
      </c>
      <c r="D22" s="184" t="s">
        <v>88</v>
      </c>
      <c r="E22" s="184" t="s">
        <v>402</v>
      </c>
      <c r="F22" s="186" t="s">
        <v>89</v>
      </c>
      <c r="G22" s="187" t="s">
        <v>379</v>
      </c>
      <c r="H22" s="188">
        <v>12</v>
      </c>
      <c r="I22" s="188">
        <v>0</v>
      </c>
      <c r="J22" s="189">
        <v>50000000</v>
      </c>
      <c r="K22" s="190" t="s">
        <v>398</v>
      </c>
      <c r="L22" s="186" t="s">
        <v>151</v>
      </c>
      <c r="M22" s="191" t="s">
        <v>401</v>
      </c>
      <c r="N22" s="184" t="s">
        <v>197</v>
      </c>
      <c r="O22" s="192" t="s">
        <v>945</v>
      </c>
      <c r="P22" s="186" t="s">
        <v>348</v>
      </c>
      <c r="Q22" s="193" t="s">
        <v>448</v>
      </c>
      <c r="R22" s="191" t="s">
        <v>204</v>
      </c>
      <c r="S22" s="162" t="str">
        <f>MID(PAA[[#This Row],[Meta Proyecto de Inversión]],1,4)</f>
        <v>8126</v>
      </c>
      <c r="T22" s="162" t="str">
        <f>MID(PAA[[#This Row],[Meta Proyecto de Inversión]],6,1)</f>
        <v>5</v>
      </c>
      <c r="U22" s="194" t="str">
        <f>IFERROR(VLOOKUP(N22,TD!$B$50:$F$54,2,0)," ")</f>
        <v>O230117</v>
      </c>
      <c r="V22" s="194" t="str">
        <f>IFERROR(VLOOKUP(N22,TD!$B$50:$F$54,3,0)," ")</f>
        <v>4599</v>
      </c>
      <c r="W22" s="194">
        <f>IFERROR(VLOOKUP(N22,TD!$B$50:$F$54,4,0)," ")</f>
        <v>20240207</v>
      </c>
      <c r="X22" s="191" t="s">
        <v>168</v>
      </c>
      <c r="Y22" s="194" t="str">
        <f>IFERROR(VLOOKUP(X22,TD!$J$51:$K$64,2,0)," ")</f>
        <v>Infraestructura Tecnológica   (Sistemas de Información y Tecnologia)</v>
      </c>
      <c r="Z22" s="164" t="str">
        <f>CONCATENATE(X22,"-",Y22)</f>
        <v>11-Infraestructura Tecnológica   (Sistemas de Información y Tecnologia)</v>
      </c>
      <c r="AA22" s="191" t="s">
        <v>228</v>
      </c>
      <c r="AB22" s="194" t="str">
        <f>IFERROR(VLOOKUP(AA22,TD!$N$51:$O$66,2,0)," ")</f>
        <v>Servicios tecnológicos</v>
      </c>
      <c r="AC22" s="164" t="str">
        <f>CONCATENATE(AA22,"_",AB22)</f>
        <v>007_Servicios tecnológicos</v>
      </c>
      <c r="AD22" s="164" t="str">
        <f>CONCATENATE(Z22," ",AC22)</f>
        <v>11-Infraestructura Tecnológica   (Sistemas de Información y Tecnologia) 007_Servicios tecnológicos</v>
      </c>
      <c r="AE22" s="194" t="str">
        <f>CONCATENATE(U22,V22,W22,X22,AA22)</f>
        <v>O23011745992024020711007</v>
      </c>
      <c r="AF22" s="194" t="str">
        <f>IFERROR(VLOOKUP(AD22,TD!$J$66:$K$89,2,0)," ")</f>
        <v>PM/0131/0111/45990070207</v>
      </c>
      <c r="AG22" s="196" t="s">
        <v>116</v>
      </c>
      <c r="AH22" s="191" t="s">
        <v>193</v>
      </c>
      <c r="AI22" s="197" t="str">
        <f>CONCATENATE(PAA[[#This Row],[Id Interno]],"-",PAA[[#This Row],[tipo de Contrato (TH talento humano - B/S bienes y/o servicios)]],"-",S22,"-",T22,"-",PAA[[#This Row],[Objeto de la contratación]])</f>
        <v>20260046-BS-8126-5-Modernización y mantenimiento de la solución de control de acceso con reconocimiento facial para la U.A.E. Cuerpo Oficial Bomberos de Bogotá</v>
      </c>
    </row>
    <row r="23" spans="2:35" s="145" customFormat="1" ht="70" x14ac:dyDescent="0.35">
      <c r="B23" s="184">
        <v>20260048</v>
      </c>
      <c r="C23" s="185" t="s">
        <v>440</v>
      </c>
      <c r="D23" s="184" t="s">
        <v>78</v>
      </c>
      <c r="E23" s="184" t="s">
        <v>402</v>
      </c>
      <c r="F23" s="186" t="s">
        <v>89</v>
      </c>
      <c r="G23" s="187" t="s">
        <v>375</v>
      </c>
      <c r="H23" s="188">
        <v>12</v>
      </c>
      <c r="I23" s="188">
        <v>0</v>
      </c>
      <c r="J23" s="189">
        <v>628722414</v>
      </c>
      <c r="K23" s="190" t="s">
        <v>398</v>
      </c>
      <c r="L23" s="186" t="s">
        <v>151</v>
      </c>
      <c r="M23" s="191" t="s">
        <v>401</v>
      </c>
      <c r="N23" s="184" t="s">
        <v>197</v>
      </c>
      <c r="O23" s="192" t="s">
        <v>945</v>
      </c>
      <c r="P23" s="186" t="s">
        <v>348</v>
      </c>
      <c r="Q23" s="193" t="s">
        <v>450</v>
      </c>
      <c r="R23" s="191" t="s">
        <v>204</v>
      </c>
      <c r="S23" s="162" t="str">
        <f>MID(PAA[[#This Row],[Meta Proyecto de Inversión]],1,4)</f>
        <v>8126</v>
      </c>
      <c r="T23" s="162" t="str">
        <f>MID(PAA[[#This Row],[Meta Proyecto de Inversión]],6,1)</f>
        <v>5</v>
      </c>
      <c r="U23" s="194" t="str">
        <f>IFERROR(VLOOKUP(N23,TD!$B$50:$F$54,2,0)," ")</f>
        <v>O230117</v>
      </c>
      <c r="V23" s="194" t="str">
        <f>IFERROR(VLOOKUP(N23,TD!$B$50:$F$54,3,0)," ")</f>
        <v>4599</v>
      </c>
      <c r="W23" s="194">
        <f>IFERROR(VLOOKUP(N23,TD!$B$50:$F$54,4,0)," ")</f>
        <v>20240207</v>
      </c>
      <c r="X23" s="191" t="s">
        <v>168</v>
      </c>
      <c r="Y23" s="194" t="str">
        <f>IFERROR(VLOOKUP(X23,TD!$J$51:$K$64,2,0)," ")</f>
        <v>Infraestructura Tecnológica   (Sistemas de Información y Tecnologia)</v>
      </c>
      <c r="Z23" s="164" t="str">
        <f>CONCATENATE(X23,"-",Y23)</f>
        <v>11-Infraestructura Tecnológica   (Sistemas de Información y Tecnologia)</v>
      </c>
      <c r="AA23" s="191" t="s">
        <v>228</v>
      </c>
      <c r="AB23" s="194" t="str">
        <f>IFERROR(VLOOKUP(AA23,TD!$N$51:$O$66,2,0)," ")</f>
        <v>Servicios tecnológicos</v>
      </c>
      <c r="AC23" s="164" t="str">
        <f>CONCATENATE(AA23,"_",AB23)</f>
        <v>007_Servicios tecnológicos</v>
      </c>
      <c r="AD23" s="164" t="str">
        <f>CONCATENATE(Z23," ",AC23)</f>
        <v>11-Infraestructura Tecnológica   (Sistemas de Información y Tecnologia) 007_Servicios tecnológicos</v>
      </c>
      <c r="AE23" s="194" t="str">
        <f>CONCATENATE(U23,V23,W23,X23,AA23)</f>
        <v>O23011745992024020711007</v>
      </c>
      <c r="AF23" s="194" t="str">
        <f>IFERROR(VLOOKUP(AD23,TD!$J$66:$K$89,2,0)," ")</f>
        <v>PM/0131/0111/45990070207</v>
      </c>
      <c r="AG23" s="196" t="s">
        <v>121</v>
      </c>
      <c r="AH23" s="191" t="s">
        <v>193</v>
      </c>
      <c r="AI23" s="197" t="str">
        <f>CONCATENATE(PAA[[#This Row],[Id Interno]],"-",PAA[[#This Row],[tipo de Contrato (TH talento humano - B/S bienes y/o servicios)]],"-",S23,"-",T23,"-",PAA[[#This Row],[Objeto de la contratación]])</f>
        <v xml:space="preserve">20260048-BS-8126-5-Modernizacion y soporte sala de auditorio sede Principal </v>
      </c>
    </row>
    <row r="24" spans="2:35" s="145" customFormat="1" ht="84" x14ac:dyDescent="0.35">
      <c r="B24" s="184">
        <v>20260053</v>
      </c>
      <c r="C24" s="185" t="s">
        <v>604</v>
      </c>
      <c r="D24" s="184" t="s">
        <v>114</v>
      </c>
      <c r="E24" s="184" t="s">
        <v>402</v>
      </c>
      <c r="F24" s="186" t="s">
        <v>143</v>
      </c>
      <c r="G24" s="187" t="s">
        <v>376</v>
      </c>
      <c r="H24" s="188">
        <v>12</v>
      </c>
      <c r="I24" s="188">
        <v>0</v>
      </c>
      <c r="J24" s="189">
        <v>448870000</v>
      </c>
      <c r="K24" s="190" t="s">
        <v>398</v>
      </c>
      <c r="L24" s="186" t="s">
        <v>151</v>
      </c>
      <c r="M24" s="191" t="s">
        <v>401</v>
      </c>
      <c r="N24" s="184" t="s">
        <v>330</v>
      </c>
      <c r="O24" s="192" t="s">
        <v>945</v>
      </c>
      <c r="P24" s="186" t="s">
        <v>161</v>
      </c>
      <c r="Q24" s="193">
        <v>81112100</v>
      </c>
      <c r="R24" s="191" t="s">
        <v>331</v>
      </c>
      <c r="S24" s="162" t="str">
        <f>MID(PAA[[#This Row],[Meta Proyecto de Inversión]],1,4)</f>
        <v>No a</v>
      </c>
      <c r="T24" s="162" t="str">
        <f>MID(PAA[[#This Row],[Meta Proyecto de Inversión]],6,1)</f>
        <v>l</v>
      </c>
      <c r="U24" s="194" t="str">
        <f>IFERROR(VLOOKUP(N24,TD!$B$50:$F$54,2,0)," ")</f>
        <v>NA</v>
      </c>
      <c r="V24" s="194" t="str">
        <f>IFERROR(VLOOKUP(N24,TD!$B$50:$F$54,3,0)," ")</f>
        <v>NA</v>
      </c>
      <c r="W24" s="194" t="str">
        <f>IFERROR(VLOOKUP(N24,TD!$B$50:$F$54,4,0)," ")</f>
        <v>NA</v>
      </c>
      <c r="X24" s="191" t="s">
        <v>335</v>
      </c>
      <c r="Y24" s="194" t="str">
        <f>IFERROR(VLOOKUP(X24,TD!$J$51:$K$64,2,0)," ")</f>
        <v>N/A</v>
      </c>
      <c r="Z24" s="164" t="str">
        <f>CONCATENATE(X24,"-",Y24)</f>
        <v>N/A-N/A</v>
      </c>
      <c r="AA24" s="191" t="s">
        <v>335</v>
      </c>
      <c r="AB24" s="194" t="str">
        <f>IFERROR(VLOOKUP(AA24,TD!$N$51:$O$66,2,0)," ")</f>
        <v>N/A</v>
      </c>
      <c r="AC24" s="164" t="str">
        <f>CONCATENATE(AA24,"_",AB24)</f>
        <v>N/A_N/A</v>
      </c>
      <c r="AD24" s="164" t="str">
        <f>CONCATENATE(Z24," ",AC24)</f>
        <v>N/A-N/A N/A_N/A</v>
      </c>
      <c r="AE24" s="194" t="str">
        <f>CONCATENATE(U24,V24,W24,X24,AA24)</f>
        <v>NANANAN/AN/A</v>
      </c>
      <c r="AF24" s="194" t="str">
        <f>IFERROR(VLOOKUP(AD24,TD!$J$66:$K$89,2,0)," ")</f>
        <v>N/A</v>
      </c>
      <c r="AG24" s="196" t="s">
        <v>344</v>
      </c>
      <c r="AH24" s="191" t="s">
        <v>193</v>
      </c>
      <c r="AI24" s="197" t="str">
        <f>CONCATENATE(PAA[[#This Row],[Id Interno]],"-",PAA[[#This Row],[tipo de Contrato (TH talento humano - B/S bienes y/o servicios)]],"-",S24,"-",T24,"-",PAA[[#This Row],[Objeto de la contratación]])</f>
        <v>20260053-BS-No a-l-Contratar los servicios de canales de datos dedicados para la UAE Cuerpo Oficial de Bomberos de Bogotá-TIC</v>
      </c>
    </row>
    <row r="25" spans="2:35" s="145" customFormat="1" ht="84" x14ac:dyDescent="0.35">
      <c r="B25" s="184">
        <v>20260055</v>
      </c>
      <c r="C25" s="185" t="s">
        <v>1020</v>
      </c>
      <c r="D25" s="184" t="s">
        <v>88</v>
      </c>
      <c r="E25" s="184" t="s">
        <v>402</v>
      </c>
      <c r="F25" s="186" t="s">
        <v>143</v>
      </c>
      <c r="G25" s="187" t="s">
        <v>378</v>
      </c>
      <c r="H25" s="188">
        <v>12</v>
      </c>
      <c r="I25" s="188">
        <v>0</v>
      </c>
      <c r="J25" s="189">
        <v>100000000</v>
      </c>
      <c r="K25" s="190" t="s">
        <v>398</v>
      </c>
      <c r="L25" s="186" t="s">
        <v>151</v>
      </c>
      <c r="M25" s="191" t="s">
        <v>401</v>
      </c>
      <c r="N25" s="184" t="s">
        <v>330</v>
      </c>
      <c r="O25" s="192" t="s">
        <v>945</v>
      </c>
      <c r="P25" s="186" t="s">
        <v>161</v>
      </c>
      <c r="Q25" s="193" t="s">
        <v>608</v>
      </c>
      <c r="R25" s="191" t="s">
        <v>331</v>
      </c>
      <c r="S25" s="162" t="str">
        <f>MID(PAA[[#This Row],[Meta Proyecto de Inversión]],1,4)</f>
        <v>No a</v>
      </c>
      <c r="T25" s="162" t="str">
        <f>MID(PAA[[#This Row],[Meta Proyecto de Inversión]],6,1)</f>
        <v>l</v>
      </c>
      <c r="U25" s="194" t="str">
        <f>IFERROR(VLOOKUP(N25,TD!$B$50:$F$54,2,0)," ")</f>
        <v>NA</v>
      </c>
      <c r="V25" s="194" t="str">
        <f>IFERROR(VLOOKUP(N25,TD!$B$50:$F$54,3,0)," ")</f>
        <v>NA</v>
      </c>
      <c r="W25" s="194" t="str">
        <f>IFERROR(VLOOKUP(N25,TD!$B$50:$F$54,4,0)," ")</f>
        <v>NA</v>
      </c>
      <c r="X25" s="191" t="s">
        <v>335</v>
      </c>
      <c r="Y25" s="194" t="str">
        <f>IFERROR(VLOOKUP(X25,TD!$J$51:$K$64,2,0)," ")</f>
        <v>N/A</v>
      </c>
      <c r="Z25" s="164" t="str">
        <f>CONCATENATE(X25,"-",Y25)</f>
        <v>N/A-N/A</v>
      </c>
      <c r="AA25" s="191" t="s">
        <v>335</v>
      </c>
      <c r="AB25" s="194" t="str">
        <f>IFERROR(VLOOKUP(AA25,TD!$N$51:$O$66,2,0)," ")</f>
        <v>N/A</v>
      </c>
      <c r="AC25" s="164" t="str">
        <f>CONCATENATE(AA25,"_",AB25)</f>
        <v>N/A_N/A</v>
      </c>
      <c r="AD25" s="164" t="str">
        <f>CONCATENATE(Z25," ",AC25)</f>
        <v>N/A-N/A N/A_N/A</v>
      </c>
      <c r="AE25" s="194" t="str">
        <f>CONCATENATE(U25,V25,W25,X25,AA25)</f>
        <v>NANANAN/AN/A</v>
      </c>
      <c r="AF25" s="194" t="str">
        <f>IFERROR(VLOOKUP(AD25,TD!$J$66:$K$89,2,0)," ")</f>
        <v>N/A</v>
      </c>
      <c r="AG25" s="196" t="s">
        <v>332</v>
      </c>
      <c r="AH25" s="191" t="s">
        <v>194</v>
      </c>
      <c r="AI25" s="197" t="str">
        <f>CONCATENATE(PAA[[#This Row],[Id Interno]],"-",PAA[[#This Row],[tipo de Contrato (TH talento humano - B/S bienes y/o servicios)]],"-",S25,"-",T25,"-",PAA[[#This Row],[Objeto de la contratación]])</f>
        <v>20260055-BS-No a-l-Adición y prórroga del contrato No. 690 de 2025 cuyo objeto es "Contratar la modernización integral tecnológica, soporte y mantenimiento preventivo y correctivo con repuestos, para los sistemas de video vigilancia de la U.A.E. Cuerpo Oficial de Bomberos de Bogotá - TIC."</v>
      </c>
    </row>
    <row r="26" spans="2:35" s="145" customFormat="1" ht="56" x14ac:dyDescent="0.35">
      <c r="B26" s="184">
        <v>20260109</v>
      </c>
      <c r="C26" s="185" t="s">
        <v>407</v>
      </c>
      <c r="D26" s="184" t="s">
        <v>105</v>
      </c>
      <c r="E26" s="184" t="s">
        <v>363</v>
      </c>
      <c r="F26" s="186" t="s">
        <v>144</v>
      </c>
      <c r="G26" s="187" t="s">
        <v>374</v>
      </c>
      <c r="H26" s="188">
        <v>6</v>
      </c>
      <c r="I26" s="188">
        <v>0</v>
      </c>
      <c r="J26" s="189">
        <v>30300000</v>
      </c>
      <c r="K26" s="190" t="s">
        <v>398</v>
      </c>
      <c r="L26" s="186" t="s">
        <v>153</v>
      </c>
      <c r="M26" s="191" t="s">
        <v>420</v>
      </c>
      <c r="N26" s="184" t="s">
        <v>197</v>
      </c>
      <c r="O26" s="192" t="s">
        <v>945</v>
      </c>
      <c r="P26" s="186" t="s">
        <v>348</v>
      </c>
      <c r="Q26" s="193">
        <v>80111600</v>
      </c>
      <c r="R26" s="191" t="s">
        <v>208</v>
      </c>
      <c r="S26" s="162" t="str">
        <f>MID(PAA[[#This Row],[Meta Proyecto de Inversión]],1,4)</f>
        <v>8126</v>
      </c>
      <c r="T26" s="162" t="str">
        <f>MID(PAA[[#This Row],[Meta Proyecto de Inversión]],6,1)</f>
        <v>9</v>
      </c>
      <c r="U26" s="194" t="str">
        <f>IFERROR(VLOOKUP(N26,TD!$B$50:$F$54,2,0)," ")</f>
        <v>O230117</v>
      </c>
      <c r="V26" s="194" t="str">
        <f>IFERROR(VLOOKUP(N26,TD!$B$50:$F$54,3,0)," ")</f>
        <v>4599</v>
      </c>
      <c r="W26" s="194">
        <f>IFERROR(VLOOKUP(N26,TD!$B$50:$F$54,4,0)," ")</f>
        <v>20240207</v>
      </c>
      <c r="X26" s="191" t="s">
        <v>174</v>
      </c>
      <c r="Y26" s="194" t="str">
        <f>IFERROR(VLOOKUP(X26,TD!$J$51:$K$64,2,0)," ")</f>
        <v>Infraestructura física, mantenimiento y dotación (Sedes construidas, mantenidas reforzadas)</v>
      </c>
      <c r="Z26" s="164" t="str">
        <f>CONCATENATE(X26,"-",Y26)</f>
        <v>08-Infraestructura física, mantenimiento y dotación (Sedes construidas, mantenidas reforzadas)</v>
      </c>
      <c r="AA26" s="191" t="s">
        <v>227</v>
      </c>
      <c r="AB26" s="194" t="str">
        <f>IFERROR(VLOOKUP(AA26,TD!$N$51:$O$66,2,0)," ")</f>
        <v>Sedes mantenidas</v>
      </c>
      <c r="AC26" s="164" t="str">
        <f>CONCATENATE(AA26,"_",AB26)</f>
        <v>016_Sedes mantenidas</v>
      </c>
      <c r="AD26" s="164" t="str">
        <f>CONCATENATE(Z26," ",AC26)</f>
        <v>08-Infraestructura física, mantenimiento y dotación (Sedes construidas, mantenidas reforzadas) 016_Sedes mantenidas</v>
      </c>
      <c r="AE26" s="194" t="str">
        <f>CONCATENATE(U26,V26,W26,X26,AA26)</f>
        <v>O23011745992024020708016</v>
      </c>
      <c r="AF26" s="194" t="str">
        <f>IFERROR(VLOOKUP(AD26,TD!$J$66:$K$89,2,0)," ")</f>
        <v>PM/0131/0108/45990160207</v>
      </c>
      <c r="AG26" s="196" t="s">
        <v>385</v>
      </c>
      <c r="AH26" s="191" t="s">
        <v>193</v>
      </c>
      <c r="AI26" s="197" t="str">
        <f>CONCATENATE(PAA[[#This Row],[Id Interno]],"-",PAA[[#This Row],[tipo de Contrato (TH talento humano - B/S bienes y/o servicios)]],"-",S26,"-",T26,"-",PAA[[#This Row],[Objeto de la contratación]])</f>
        <v>20260109-TH-8126-9-Prestar los servicios profesionales jurídicos especializados para apoyar el desarrollo de las funciones de la Oficina Jurídica</v>
      </c>
    </row>
    <row r="27" spans="2:35" s="145" customFormat="1" ht="70" x14ac:dyDescent="0.35">
      <c r="B27" s="184">
        <v>20260181</v>
      </c>
      <c r="C27" s="185" t="s">
        <v>642</v>
      </c>
      <c r="D27" s="184" t="s">
        <v>105</v>
      </c>
      <c r="E27" s="184" t="s">
        <v>363</v>
      </c>
      <c r="F27" s="186" t="s">
        <v>144</v>
      </c>
      <c r="G27" s="187" t="s">
        <v>373</v>
      </c>
      <c r="H27" s="188">
        <v>11</v>
      </c>
      <c r="I27" s="188">
        <v>0</v>
      </c>
      <c r="J27" s="189">
        <v>96800000</v>
      </c>
      <c r="K27" s="190" t="s">
        <v>398</v>
      </c>
      <c r="L27" s="186" t="s">
        <v>154</v>
      </c>
      <c r="M27" s="191" t="s">
        <v>451</v>
      </c>
      <c r="N27" s="184" t="s">
        <v>198</v>
      </c>
      <c r="O27" s="192" t="s">
        <v>946</v>
      </c>
      <c r="P27" s="186" t="s">
        <v>348</v>
      </c>
      <c r="Q27" s="193">
        <v>80111600</v>
      </c>
      <c r="R27" s="191" t="s">
        <v>218</v>
      </c>
      <c r="S27" s="162" t="str">
        <f>MID(PAA[[#This Row],[Meta Proyecto de Inversión]],1,4)</f>
        <v>8173</v>
      </c>
      <c r="T27" s="162" t="str">
        <f>MID(PAA[[#This Row],[Meta Proyecto de Inversión]],6,1)</f>
        <v>9</v>
      </c>
      <c r="U27" s="194" t="str">
        <f>IFERROR(VLOOKUP(N27,TD!$B$50:$F$54,2,0)," ")</f>
        <v>O230117</v>
      </c>
      <c r="V27" s="194" t="str">
        <f>IFERROR(VLOOKUP(N27,TD!$B$50:$F$54,3,0)," ")</f>
        <v>4503</v>
      </c>
      <c r="W27" s="194">
        <f>IFERROR(VLOOKUP(N27,TD!$B$50:$F$54,4,0)," ")</f>
        <v>20240255</v>
      </c>
      <c r="X27" s="191" t="s">
        <v>172</v>
      </c>
      <c r="Y27" s="194" t="str">
        <f>IFERROR(VLOOKUP(X27,TD!$J$51:$K$64,2,0)," ")</f>
        <v>Servicio de formación en gestión del riesgo de incendios para el personal UAECOB</v>
      </c>
      <c r="Z27" s="164" t="str">
        <f>CONCATENATE(X27,"-",Y27)</f>
        <v>07-Servicio de formación en gestión del riesgo de incendios para el personal UAECOB</v>
      </c>
      <c r="AA27" s="195" t="s">
        <v>222</v>
      </c>
      <c r="AB27" s="194" t="str">
        <f>IFERROR(VLOOKUP(AA27,TD!$N$51:$O$66,2,0)," ")</f>
        <v>Servicio de educación informal</v>
      </c>
      <c r="AC27" s="164" t="str">
        <f>CONCATENATE(AA27,"_",AB27)</f>
        <v>002_Servicio de educación informal</v>
      </c>
      <c r="AD27" s="164" t="str">
        <f>CONCATENATE(Z27," ",AC27)</f>
        <v>07-Servicio de formación en gestión del riesgo de incendios para el personal UAECOB 002_Servicio de educación informal</v>
      </c>
      <c r="AE27" s="194" t="str">
        <f>CONCATENATE(U27,V27,W27,X27,AA27)</f>
        <v>O23011745032024025507002</v>
      </c>
      <c r="AF27" s="194" t="str">
        <f>IFERROR(VLOOKUP(AD27,TD!$J$66:$K$89,2,0)," ")</f>
        <v>PM/0131/0107/45030020255</v>
      </c>
      <c r="AG27" s="196" t="s">
        <v>385</v>
      </c>
      <c r="AH27" s="191" t="s">
        <v>193</v>
      </c>
      <c r="AI27" s="197" t="str">
        <f>CONCATENATE(PAA[[#This Row],[Id Interno]],"-",PAA[[#This Row],[tipo de Contrato (TH talento humano - B/S bienes y/o servicios)]],"-",S27,"-",T27,"-",PAA[[#This Row],[Objeto de la contratación]])</f>
        <v>20260181-TH-8173-9-SGH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v>
      </c>
    </row>
    <row r="28" spans="2:35" s="145" customFormat="1" ht="70" x14ac:dyDescent="0.35">
      <c r="B28" s="184">
        <v>20260191</v>
      </c>
      <c r="C28" s="185" t="s">
        <v>479</v>
      </c>
      <c r="D28" s="184" t="s">
        <v>78</v>
      </c>
      <c r="E28" s="184" t="s">
        <v>402</v>
      </c>
      <c r="F28" s="186" t="s">
        <v>89</v>
      </c>
      <c r="G28" s="187" t="s">
        <v>375</v>
      </c>
      <c r="H28" s="188">
        <v>6</v>
      </c>
      <c r="I28" s="188">
        <v>0</v>
      </c>
      <c r="J28" s="189">
        <v>1200000000</v>
      </c>
      <c r="K28" s="190" t="s">
        <v>398</v>
      </c>
      <c r="L28" s="186" t="s">
        <v>154</v>
      </c>
      <c r="M28" s="191" t="s">
        <v>451</v>
      </c>
      <c r="N28" s="184" t="s">
        <v>198</v>
      </c>
      <c r="O28" s="192" t="s">
        <v>946</v>
      </c>
      <c r="P28" s="186" t="s">
        <v>348</v>
      </c>
      <c r="Q28" s="193" t="s">
        <v>484</v>
      </c>
      <c r="R28" s="191" t="s">
        <v>218</v>
      </c>
      <c r="S28" s="162" t="str">
        <f>MID(PAA[[#This Row],[Meta Proyecto de Inversión]],1,4)</f>
        <v>8173</v>
      </c>
      <c r="T28" s="162" t="str">
        <f>MID(PAA[[#This Row],[Meta Proyecto de Inversión]],6,1)</f>
        <v>9</v>
      </c>
      <c r="U28" s="194" t="str">
        <f>IFERROR(VLOOKUP(N28,TD!$B$50:$F$54,2,0)," ")</f>
        <v>O230117</v>
      </c>
      <c r="V28" s="194" t="str">
        <f>IFERROR(VLOOKUP(N28,TD!$B$50:$F$54,3,0)," ")</f>
        <v>4503</v>
      </c>
      <c r="W28" s="194">
        <f>IFERROR(VLOOKUP(N28,TD!$B$50:$F$54,4,0)," ")</f>
        <v>20240255</v>
      </c>
      <c r="X28" s="191" t="s">
        <v>172</v>
      </c>
      <c r="Y28" s="194" t="str">
        <f>IFERROR(VLOOKUP(X28,TD!$J$51:$K$64,2,0)," ")</f>
        <v>Servicio de formación en gestión del riesgo de incendios para el personal UAECOB</v>
      </c>
      <c r="Z28" s="164" t="str">
        <f>CONCATENATE(X28,"-",Y28)</f>
        <v>07-Servicio de formación en gestión del riesgo de incendios para el personal UAECOB</v>
      </c>
      <c r="AA28" s="195" t="s">
        <v>222</v>
      </c>
      <c r="AB28" s="194" t="str">
        <f>IFERROR(VLOOKUP(AA28,TD!$N$51:$O$66,2,0)," ")</f>
        <v>Servicio de educación informal</v>
      </c>
      <c r="AC28" s="164" t="str">
        <f>CONCATENATE(AA28,"_",AB28)</f>
        <v>002_Servicio de educación informal</v>
      </c>
      <c r="AD28" s="164" t="str">
        <f>CONCATENATE(Z28," ",AC28)</f>
        <v>07-Servicio de formación en gestión del riesgo de incendios para el personal UAECOB 002_Servicio de educación informal</v>
      </c>
      <c r="AE28" s="194" t="str">
        <f>CONCATENATE(U28,V28,W28,X28,AA28)</f>
        <v>O23011745032024025507002</v>
      </c>
      <c r="AF28" s="194" t="str">
        <f>IFERROR(VLOOKUP(AD28,TD!$J$66:$K$89,2,0)," ")</f>
        <v>PM/0131/0107/45030020255</v>
      </c>
      <c r="AG28" s="196" t="s">
        <v>922</v>
      </c>
      <c r="AH28" s="191" t="s">
        <v>193</v>
      </c>
      <c r="AI28" s="197" t="str">
        <f>CONCATENATE(PAA[[#This Row],[Id Interno]],"-",PAA[[#This Row],[tipo de Contrato (TH talento humano - B/S bienes y/o servicios)]],"-",S28,"-",T28,"-",PAA[[#This Row],[Objeto de la contratación]])</f>
        <v>20260191-BS-8173-9-SGH - Prestar los servicios de capacitación, formación y entrenamiento al personal en  diferentes cursos especializados y misionales,  incluyendo el fortalecimiento de competencias de investigación cientifica aplicada a los ámbitos operativos, técnicos y estratégicos  de la UAE del Cuerpo Oficial de Bomberos Bogotá</v>
      </c>
    </row>
    <row r="29" spans="2:35" s="145" customFormat="1" ht="84" x14ac:dyDescent="0.35">
      <c r="B29" s="184">
        <v>20260193</v>
      </c>
      <c r="C29" s="185" t="s">
        <v>647</v>
      </c>
      <c r="D29" s="184" t="s">
        <v>83</v>
      </c>
      <c r="E29" s="184" t="s">
        <v>402</v>
      </c>
      <c r="F29" s="186" t="s">
        <v>89</v>
      </c>
      <c r="G29" s="187" t="s">
        <v>375</v>
      </c>
      <c r="H29" s="188">
        <v>6</v>
      </c>
      <c r="I29" s="188">
        <v>0</v>
      </c>
      <c r="J29" s="189">
        <v>449000000</v>
      </c>
      <c r="K29" s="190" t="s">
        <v>398</v>
      </c>
      <c r="L29" s="186" t="s">
        <v>154</v>
      </c>
      <c r="M29" s="191" t="s">
        <v>451</v>
      </c>
      <c r="N29" s="184" t="s">
        <v>330</v>
      </c>
      <c r="O29" s="192" t="s">
        <v>945</v>
      </c>
      <c r="P29" s="186" t="s">
        <v>161</v>
      </c>
      <c r="Q29" s="193" t="s">
        <v>648</v>
      </c>
      <c r="R29" s="191" t="s">
        <v>331</v>
      </c>
      <c r="S29" s="162" t="str">
        <f>MID(PAA[[#This Row],[Meta Proyecto de Inversión]],1,4)</f>
        <v>No a</v>
      </c>
      <c r="T29" s="162" t="str">
        <f>MID(PAA[[#This Row],[Meta Proyecto de Inversión]],6,1)</f>
        <v>l</v>
      </c>
      <c r="U29" s="194" t="str">
        <f>IFERROR(VLOOKUP(N29,TD!$B$50:$F$54,2,0)," ")</f>
        <v>NA</v>
      </c>
      <c r="V29" s="194" t="str">
        <f>IFERROR(VLOOKUP(N29,TD!$B$50:$F$54,3,0)," ")</f>
        <v>NA</v>
      </c>
      <c r="W29" s="194" t="str">
        <f>IFERROR(VLOOKUP(N29,TD!$B$50:$F$54,4,0)," ")</f>
        <v>NA</v>
      </c>
      <c r="X29" s="191" t="s">
        <v>335</v>
      </c>
      <c r="Y29" s="194" t="str">
        <f>IFERROR(VLOOKUP(X29,TD!$J$51:$K$64,2,0)," ")</f>
        <v>N/A</v>
      </c>
      <c r="Z29" s="164" t="str">
        <f>CONCATENATE(X29,"-",Y29)</f>
        <v>N/A-N/A</v>
      </c>
      <c r="AA29" s="195" t="s">
        <v>335</v>
      </c>
      <c r="AB29" s="194" t="str">
        <f>IFERROR(VLOOKUP(AA29,TD!$N$51:$O$66,2,0)," ")</f>
        <v>N/A</v>
      </c>
      <c r="AC29" s="164" t="str">
        <f>CONCATENATE(AA29,"_",AB29)</f>
        <v>N/A_N/A</v>
      </c>
      <c r="AD29" s="164" t="str">
        <f>CONCATENATE(Z29," ",AC29)</f>
        <v>N/A-N/A N/A_N/A</v>
      </c>
      <c r="AE29" s="194" t="str">
        <f>CONCATENATE(U29,V29,W29,X29,AA29)</f>
        <v>NANANAN/AN/A</v>
      </c>
      <c r="AF29" s="194" t="str">
        <f>IFERROR(VLOOKUP(AD29,TD!$J$66:$K$89,2,0)," ")</f>
        <v>N/A</v>
      </c>
      <c r="AG29" s="196" t="s">
        <v>332</v>
      </c>
      <c r="AH29" s="191" t="s">
        <v>193</v>
      </c>
      <c r="AI29" s="197" t="str">
        <f>CONCATENATE(PAA[[#This Row],[Id Interno]],"-",PAA[[#This Row],[tipo de Contrato (TH talento humano - B/S bienes y/o servicios)]],"-",S29,"-",T29,"-",PAA[[#This Row],[Objeto de la contratación]])</f>
        <v>20260193-BS-No a-l-SGH -Contratar la realización de los exámenes Médicos Ocupacionales para el personal de la UAE Cuerpo Oficial de Bomberos de Bogotá</v>
      </c>
    </row>
    <row r="30" spans="2:35" s="145" customFormat="1" ht="84" x14ac:dyDescent="0.35">
      <c r="B30" s="184">
        <v>20260195</v>
      </c>
      <c r="C30" s="185" t="s">
        <v>651</v>
      </c>
      <c r="D30" s="184" t="s">
        <v>83</v>
      </c>
      <c r="E30" s="184" t="s">
        <v>402</v>
      </c>
      <c r="F30" s="186" t="s">
        <v>101</v>
      </c>
      <c r="G30" s="187" t="s">
        <v>375</v>
      </c>
      <c r="H30" s="188">
        <v>4</v>
      </c>
      <c r="I30" s="188">
        <v>0</v>
      </c>
      <c r="J30" s="189">
        <v>62000000</v>
      </c>
      <c r="K30" s="190" t="s">
        <v>398</v>
      </c>
      <c r="L30" s="186" t="s">
        <v>154</v>
      </c>
      <c r="M30" s="191" t="s">
        <v>451</v>
      </c>
      <c r="N30" s="184" t="s">
        <v>330</v>
      </c>
      <c r="O30" s="192" t="s">
        <v>945</v>
      </c>
      <c r="P30" s="186" t="s">
        <v>161</v>
      </c>
      <c r="Q30" s="193" t="s">
        <v>652</v>
      </c>
      <c r="R30" s="191" t="s">
        <v>331</v>
      </c>
      <c r="S30" s="162" t="str">
        <f>MID(PAA[[#This Row],[Meta Proyecto de Inversión]],1,4)</f>
        <v>No a</v>
      </c>
      <c r="T30" s="162" t="str">
        <f>MID(PAA[[#This Row],[Meta Proyecto de Inversión]],6,1)</f>
        <v>l</v>
      </c>
      <c r="U30" s="194" t="str">
        <f>IFERROR(VLOOKUP(N30,TD!$B$50:$F$54,2,0)," ")</f>
        <v>NA</v>
      </c>
      <c r="V30" s="194" t="str">
        <f>IFERROR(VLOOKUP(N30,TD!$B$50:$F$54,3,0)," ")</f>
        <v>NA</v>
      </c>
      <c r="W30" s="194" t="str">
        <f>IFERROR(VLOOKUP(N30,TD!$B$50:$F$54,4,0)," ")</f>
        <v>NA</v>
      </c>
      <c r="X30" s="191" t="s">
        <v>335</v>
      </c>
      <c r="Y30" s="194" t="str">
        <f>IFERROR(VLOOKUP(X30,TD!$J$51:$K$64,2,0)," ")</f>
        <v>N/A</v>
      </c>
      <c r="Z30" s="164" t="str">
        <f>CONCATENATE(X30,"-",Y30)</f>
        <v>N/A-N/A</v>
      </c>
      <c r="AA30" s="195" t="s">
        <v>335</v>
      </c>
      <c r="AB30" s="194" t="str">
        <f>IFERROR(VLOOKUP(AA30,TD!$N$51:$O$66,2,0)," ")</f>
        <v>N/A</v>
      </c>
      <c r="AC30" s="164" t="str">
        <f>CONCATENATE(AA30,"_",AB30)</f>
        <v>N/A_N/A</v>
      </c>
      <c r="AD30" s="164" t="str">
        <f>CONCATENATE(Z30," ",AC30)</f>
        <v>N/A-N/A N/A_N/A</v>
      </c>
      <c r="AE30" s="194" t="str">
        <f>CONCATENATE(U30,V30,W30,X30,AA30)</f>
        <v>NANANAN/AN/A</v>
      </c>
      <c r="AF30" s="194" t="str">
        <f>IFERROR(VLOOKUP(AD30,TD!$J$66:$K$89,2,0)," ")</f>
        <v>N/A</v>
      </c>
      <c r="AG30" s="196" t="s">
        <v>332</v>
      </c>
      <c r="AH30" s="191" t="s">
        <v>193</v>
      </c>
      <c r="AI30" s="197" t="str">
        <f>CONCATENATE(PAA[[#This Row],[Id Interno]],"-",PAA[[#This Row],[tipo de Contrato (TH talento humano - B/S bienes y/o servicios)]],"-",S30,"-",T30,"-",PAA[[#This Row],[Objeto de la contratación]])</f>
        <v>20260195-BS-No a-l-SGH - Adquirir elementos de protección personal para prevenir la aparición de enfermedades ocupacionales en el oido, del personal operativo de la UAE Cuerpo Oficial de Bomberos de Bogotá</v>
      </c>
    </row>
    <row r="31" spans="2:35" s="145" customFormat="1" ht="84" x14ac:dyDescent="0.35">
      <c r="B31" s="184">
        <v>20260248</v>
      </c>
      <c r="C31" s="185" t="s">
        <v>510</v>
      </c>
      <c r="D31" s="184" t="s">
        <v>88</v>
      </c>
      <c r="E31" s="184" t="s">
        <v>402</v>
      </c>
      <c r="F31" s="186" t="s">
        <v>111</v>
      </c>
      <c r="G31" s="187" t="s">
        <v>377</v>
      </c>
      <c r="H31" s="188">
        <v>8</v>
      </c>
      <c r="I31" s="188">
        <v>0</v>
      </c>
      <c r="J31" s="189">
        <f>75000000+84070000</f>
        <v>159070000</v>
      </c>
      <c r="K31" s="190" t="s">
        <v>398</v>
      </c>
      <c r="L31" s="186" t="s">
        <v>157</v>
      </c>
      <c r="M31" s="191" t="s">
        <v>501</v>
      </c>
      <c r="N31" s="184" t="s">
        <v>198</v>
      </c>
      <c r="O31" s="192" t="s">
        <v>946</v>
      </c>
      <c r="P31" s="186" t="s">
        <v>348</v>
      </c>
      <c r="Q31" s="193" t="s">
        <v>511</v>
      </c>
      <c r="R31" s="191" t="s">
        <v>213</v>
      </c>
      <c r="S31" s="162" t="str">
        <f>MID(PAA[[#This Row],[Meta Proyecto de Inversión]],1,4)</f>
        <v>8173</v>
      </c>
      <c r="T31" s="162" t="str">
        <f>MID(PAA[[#This Row],[Meta Proyecto de Inversión]],6,1)</f>
        <v>4</v>
      </c>
      <c r="U31" s="194" t="str">
        <f>IFERROR(VLOOKUP(N31,TD!$B$50:$F$54,2,0)," ")</f>
        <v>O230117</v>
      </c>
      <c r="V31" s="194" t="str">
        <f>IFERROR(VLOOKUP(N31,TD!$B$50:$F$54,3,0)," ")</f>
        <v>4503</v>
      </c>
      <c r="W31" s="194">
        <f>IFERROR(VLOOKUP(N31,TD!$B$50:$F$54,4,0)," ")</f>
        <v>20240255</v>
      </c>
      <c r="X31" s="191" t="s">
        <v>180</v>
      </c>
      <c r="Y31" s="194" t="str">
        <f>IFERROR(VLOOKUP(X31,TD!$J$51:$K$64,2,0)," ")</f>
        <v>Servicio de apoyo   logístico  en eventos operativos y/o emergencias.</v>
      </c>
      <c r="Z31" s="164" t="str">
        <f>CONCATENATE(X31,"-",Y31)</f>
        <v>12-Servicio de apoyo   logístico  en eventos operativos y/o emergencias.</v>
      </c>
      <c r="AA31" s="191" t="s">
        <v>221</v>
      </c>
      <c r="AB31" s="194" t="str">
        <f>IFERROR(VLOOKUP(AA31,TD!$N$51:$O$66,2,0)," ")</f>
        <v>Servicio de atención a emergencias y desastres</v>
      </c>
      <c r="AC31" s="164" t="str">
        <f>CONCATENATE(AA31,"_",AB31)</f>
        <v>004_Servicio de atención a emergencias y desastres</v>
      </c>
      <c r="AD31" s="164" t="str">
        <f>CONCATENATE(Z31," ",AC31)</f>
        <v>12-Servicio de apoyo   logístico  en eventos operativos y/o emergencias. 004_Servicio de atención a emergencias y desastres</v>
      </c>
      <c r="AE31" s="194" t="str">
        <f>CONCATENATE(U31,V31,W31,X31,AA31)</f>
        <v>O23011745032024025512004</v>
      </c>
      <c r="AF31" s="194" t="str">
        <f>IFERROR(VLOOKUP(AD31,TD!$J$66:$K$89,2,0)," ")</f>
        <v>PM/0131/0112/45030040255</v>
      </c>
      <c r="AG31" s="196" t="s">
        <v>102</v>
      </c>
      <c r="AH31" s="191" t="s">
        <v>193</v>
      </c>
      <c r="AI31" s="197" t="str">
        <f>CONCATENATE(PAA[[#This Row],[Id Interno]],"-",PAA[[#This Row],[tipo de Contrato (TH talento humano - B/S bienes y/o servicios)]],"-",S31,"-",T31,"-",PAA[[#This Row],[Objeto de la contratación]])</f>
        <v>20260248-BS-8173-4-Suministro de alimentación e hidratación para el cuerpo operativo en la atención de emergencias, entrenamientos, capacitaciones y actividades de prevención.-SBLG </v>
      </c>
    </row>
    <row r="32" spans="2:35" s="145" customFormat="1" ht="70" x14ac:dyDescent="0.35">
      <c r="B32" s="184">
        <v>20260318</v>
      </c>
      <c r="C32" s="185" t="s">
        <v>1011</v>
      </c>
      <c r="D32" s="185" t="s">
        <v>105</v>
      </c>
      <c r="E32" s="185" t="s">
        <v>363</v>
      </c>
      <c r="F32" s="187" t="s">
        <v>144</v>
      </c>
      <c r="G32" s="187" t="s">
        <v>379</v>
      </c>
      <c r="H32" s="198">
        <v>12</v>
      </c>
      <c r="I32" s="198">
        <v>0</v>
      </c>
      <c r="J32" s="196">
        <v>599899660</v>
      </c>
      <c r="K32" s="199" t="s">
        <v>398</v>
      </c>
      <c r="L32" s="187" t="s">
        <v>158</v>
      </c>
      <c r="M32" s="195" t="s">
        <v>421</v>
      </c>
      <c r="N32" s="185" t="s">
        <v>198</v>
      </c>
      <c r="O32" s="192" t="s">
        <v>946</v>
      </c>
      <c r="P32" s="187" t="s">
        <v>348</v>
      </c>
      <c r="Q32" s="200">
        <v>80111600</v>
      </c>
      <c r="R32" s="195" t="s">
        <v>211</v>
      </c>
      <c r="S32" s="162" t="str">
        <f>MID(PAA[[#This Row],[Meta Proyecto de Inversión]],1,4)</f>
        <v>8173</v>
      </c>
      <c r="T32" s="162" t="str">
        <f>MID(PAA[[#This Row],[Meta Proyecto de Inversión]],6,1)</f>
        <v>2</v>
      </c>
      <c r="U32" s="194" t="str">
        <f>IFERROR(VLOOKUP(N32,TD!$B$50:$F$54,2,0)," ")</f>
        <v>O230117</v>
      </c>
      <c r="V32" s="194" t="str">
        <f>IFERROR(VLOOKUP(N32,TD!$B$50:$F$54,3,0)," ")</f>
        <v>4503</v>
      </c>
      <c r="W32" s="194">
        <f>IFERROR(VLOOKUP(N32,TD!$B$50:$F$54,4,0)," ")</f>
        <v>20240255</v>
      </c>
      <c r="X32" s="191" t="s">
        <v>178</v>
      </c>
      <c r="Y32" s="194" t="str">
        <f>IFERROR(VLOOKUP(X32,TD!$J$51:$K$64,2,0)," ")</f>
        <v>Servicio de dotación y equipamento para el personal operativo</v>
      </c>
      <c r="Z32" s="164" t="str">
        <f>CONCATENATE(X32,"-",Y32)</f>
        <v>10-Servicio de dotación y equipamento para el personal operativo</v>
      </c>
      <c r="AA32" s="191" t="s">
        <v>221</v>
      </c>
      <c r="AB32" s="194" t="str">
        <f>IFERROR(VLOOKUP(AA32,TD!$N$51:$O$66,2,0)," ")</f>
        <v>Servicio de atención a emergencias y desastres</v>
      </c>
      <c r="AC32" s="164" t="str">
        <f>CONCATENATE(AA32,"_",AB32)</f>
        <v>004_Servicio de atención a emergencias y desastres</v>
      </c>
      <c r="AD32" s="164" t="str">
        <f>CONCATENATE(Z32," ",AC32)</f>
        <v>10-Servicio de dotación y equipamento para el personal operativo 004_Servicio de atención a emergencias y desastres</v>
      </c>
      <c r="AE32" s="194" t="str">
        <f>CONCATENATE(U32,V32,W32,X32,AA32)</f>
        <v>O23011745032024025510004</v>
      </c>
      <c r="AF32" s="194" t="str">
        <f>IFERROR(VLOOKUP(AD32,TD!$J$66:$K$89,2,0)," ")</f>
        <v>PM/0131/0110/45030040255</v>
      </c>
      <c r="AG32" s="196" t="s">
        <v>921</v>
      </c>
      <c r="AH32" s="191" t="s">
        <v>193</v>
      </c>
      <c r="AI32" s="197" t="str">
        <f>CONCATENATE(PAA[[#This Row],[Id Interno]],"-",PAA[[#This Row],[tipo de Contrato (TH talento humano - B/S bienes y/o servicios)]],"-",S32,"-",T32,"-",PAA[[#This Row],[Objeto de la contratación]])</f>
        <v>20260318-TH-8173-2-Prestación de servicios profesionales para atender las actividades de seguimiento, verificación y control de los procesos y procedimientos, para el desarrollo de los programas a cargo de la Subdirección Operativa-S.O.</v>
      </c>
    </row>
    <row r="33" spans="2:35" s="145" customFormat="1" ht="70" x14ac:dyDescent="0.35">
      <c r="B33" s="184">
        <v>20260319</v>
      </c>
      <c r="C33" s="185" t="s">
        <v>499</v>
      </c>
      <c r="D33" s="185" t="s">
        <v>78</v>
      </c>
      <c r="E33" s="185" t="s">
        <v>402</v>
      </c>
      <c r="F33" s="187" t="s">
        <v>101</v>
      </c>
      <c r="G33" s="187" t="s">
        <v>379</v>
      </c>
      <c r="H33" s="198">
        <v>12</v>
      </c>
      <c r="I33" s="198">
        <v>0</v>
      </c>
      <c r="J33" s="196">
        <v>600000000</v>
      </c>
      <c r="K33" s="199" t="s">
        <v>398</v>
      </c>
      <c r="L33" s="187" t="s">
        <v>158</v>
      </c>
      <c r="M33" s="195" t="s">
        <v>421</v>
      </c>
      <c r="N33" s="185" t="s">
        <v>198</v>
      </c>
      <c r="O33" s="192" t="s">
        <v>946</v>
      </c>
      <c r="P33" s="187" t="s">
        <v>348</v>
      </c>
      <c r="Q33" s="200">
        <v>80111600</v>
      </c>
      <c r="R33" s="195" t="s">
        <v>211</v>
      </c>
      <c r="S33" s="162" t="str">
        <f>MID(PAA[[#This Row],[Meta Proyecto de Inversión]],1,4)</f>
        <v>8173</v>
      </c>
      <c r="T33" s="162" t="str">
        <f>MID(PAA[[#This Row],[Meta Proyecto de Inversión]],6,1)</f>
        <v>2</v>
      </c>
      <c r="U33" s="194" t="str">
        <f>IFERROR(VLOOKUP(N33,TD!$B$50:$F$54,2,0)," ")</f>
        <v>O230117</v>
      </c>
      <c r="V33" s="194" t="str">
        <f>IFERROR(VLOOKUP(N33,TD!$B$50:$F$54,3,0)," ")</f>
        <v>4503</v>
      </c>
      <c r="W33" s="194">
        <f>IFERROR(VLOOKUP(N33,TD!$B$50:$F$54,4,0)," ")</f>
        <v>20240255</v>
      </c>
      <c r="X33" s="191" t="s">
        <v>178</v>
      </c>
      <c r="Y33" s="194" t="str">
        <f>IFERROR(VLOOKUP(X33,TD!$J$51:$K$64,2,0)," ")</f>
        <v>Servicio de dotación y equipamento para el personal operativo</v>
      </c>
      <c r="Z33" s="164" t="str">
        <f>CONCATENATE(X33,"-",Y33)</f>
        <v>10-Servicio de dotación y equipamento para el personal operativo</v>
      </c>
      <c r="AA33" s="191" t="s">
        <v>221</v>
      </c>
      <c r="AB33" s="194" t="str">
        <f>IFERROR(VLOOKUP(AA33,TD!$N$51:$O$66,2,0)," ")</f>
        <v>Servicio de atención a emergencias y desastres</v>
      </c>
      <c r="AC33" s="164" t="str">
        <f>CONCATENATE(AA33,"_",AB33)</f>
        <v>004_Servicio de atención a emergencias y desastres</v>
      </c>
      <c r="AD33" s="164" t="str">
        <f>CONCATENATE(Z33," ",AC33)</f>
        <v>10-Servicio de dotación y equipamento para el personal operativo 004_Servicio de atención a emergencias y desastres</v>
      </c>
      <c r="AE33" s="194" t="str">
        <f>CONCATENATE(U33,V33,W33,X33,AA33)</f>
        <v>O23011745032024025510004</v>
      </c>
      <c r="AF33" s="194" t="str">
        <f>IFERROR(VLOOKUP(AD33,TD!$J$66:$K$89,2,0)," ")</f>
        <v>PM/0131/0110/45030040255</v>
      </c>
      <c r="AG33" s="196" t="s">
        <v>80</v>
      </c>
      <c r="AH33" s="191" t="s">
        <v>193</v>
      </c>
      <c r="AI33" s="197" t="str">
        <f>CONCATENATE(PAA[[#This Row],[Id Interno]],"-",PAA[[#This Row],[tipo de Contrato (TH talento humano - B/S bienes y/o servicios)]],"-",S33,"-",T33,"-",PAA[[#This Row],[Objeto de la contratación]])</f>
        <v>20260319-BS-8173-2-Adquisición de equipos, herramientas y accesorios (E.H.A.)  para la atención de emergencias de la UAE Cuerpo Oficial de Bomberos de Bogota, S.O.</v>
      </c>
    </row>
    <row r="34" spans="2:35" s="145" customFormat="1" ht="84" x14ac:dyDescent="0.35">
      <c r="B34" s="184">
        <v>20260331</v>
      </c>
      <c r="C34" s="185" t="s">
        <v>665</v>
      </c>
      <c r="D34" s="185" t="s">
        <v>88</v>
      </c>
      <c r="E34" s="185" t="s">
        <v>402</v>
      </c>
      <c r="F34" s="187" t="s">
        <v>101</v>
      </c>
      <c r="G34" s="187" t="s">
        <v>379</v>
      </c>
      <c r="H34" s="198">
        <v>6</v>
      </c>
      <c r="I34" s="198">
        <v>0</v>
      </c>
      <c r="J34" s="196">
        <v>245725876</v>
      </c>
      <c r="K34" s="199" t="s">
        <v>398</v>
      </c>
      <c r="L34" s="187" t="s">
        <v>158</v>
      </c>
      <c r="M34" s="195" t="s">
        <v>421</v>
      </c>
      <c r="N34" s="185" t="s">
        <v>330</v>
      </c>
      <c r="O34" s="192" t="s">
        <v>945</v>
      </c>
      <c r="P34" s="187" t="s">
        <v>161</v>
      </c>
      <c r="Q34" s="200">
        <v>53102710</v>
      </c>
      <c r="R34" s="195" t="s">
        <v>331</v>
      </c>
      <c r="S34" s="162" t="str">
        <f>MID(PAA[[#This Row],[Meta Proyecto de Inversión]],1,4)</f>
        <v>No a</v>
      </c>
      <c r="T34" s="162" t="str">
        <f>MID(PAA[[#This Row],[Meta Proyecto de Inversión]],6,1)</f>
        <v>l</v>
      </c>
      <c r="U34" s="194" t="str">
        <f>IFERROR(VLOOKUP(N34,TD!$B$50:$F$54,2,0)," ")</f>
        <v>NA</v>
      </c>
      <c r="V34" s="194" t="str">
        <f>IFERROR(VLOOKUP(N34,TD!$B$50:$F$54,3,0)," ")</f>
        <v>NA</v>
      </c>
      <c r="W34" s="194" t="str">
        <f>IFERROR(VLOOKUP(N34,TD!$B$50:$F$54,4,0)," ")</f>
        <v>NA</v>
      </c>
      <c r="X34" s="191" t="s">
        <v>335</v>
      </c>
      <c r="Y34" s="194" t="str">
        <f>IFERROR(VLOOKUP(X34,TD!$J$51:$K$64,2,0)," ")</f>
        <v>N/A</v>
      </c>
      <c r="Z34" s="164" t="str">
        <f>CONCATENATE(X34,"-",Y34)</f>
        <v>N/A-N/A</v>
      </c>
      <c r="AA34" s="191" t="s">
        <v>335</v>
      </c>
      <c r="AB34" s="194" t="str">
        <f>IFERROR(VLOOKUP(AA34,TD!$N$51:$O$66,2,0)," ")</f>
        <v>N/A</v>
      </c>
      <c r="AC34" s="164" t="str">
        <f>CONCATENATE(AA34,"_",AB34)</f>
        <v>N/A_N/A</v>
      </c>
      <c r="AD34" s="164" t="str">
        <f>CONCATENATE(Z34," ",AC34)</f>
        <v>N/A-N/A N/A_N/A</v>
      </c>
      <c r="AE34" s="194" t="str">
        <f>CONCATENATE(U34,V34,W34,X34,AA34)</f>
        <v>NANANAN/AN/A</v>
      </c>
      <c r="AF34" s="194" t="str">
        <f>IFERROR(VLOOKUP(AD34,TD!$J$66:$K$89,2,0)," ")</f>
        <v>N/A</v>
      </c>
      <c r="AG34" s="196" t="s">
        <v>349</v>
      </c>
      <c r="AH34" s="191" t="s">
        <v>193</v>
      </c>
      <c r="AI34" s="197" t="str">
        <f>CONCATENATE(PAA[[#This Row],[Id Interno]],"-",PAA[[#This Row],[tipo de Contrato (TH talento humano - B/S bienes y/o servicios)]],"-",S34,"-",T34,"-",PAA[[#This Row],[Objeto de la contratación]])</f>
        <v>20260331-BS-No a-l-Adquisición de uniformes para el personal operativo de la UAECOB</v>
      </c>
    </row>
    <row r="35" spans="2:35" s="145" customFormat="1" ht="56" x14ac:dyDescent="0.35">
      <c r="B35" s="184">
        <v>20260618</v>
      </c>
      <c r="C35" s="185" t="s">
        <v>974</v>
      </c>
      <c r="D35" s="184" t="s">
        <v>114</v>
      </c>
      <c r="E35" s="184" t="s">
        <v>402</v>
      </c>
      <c r="F35" s="184" t="s">
        <v>79</v>
      </c>
      <c r="G35" s="201" t="s">
        <v>379</v>
      </c>
      <c r="H35" s="202">
        <v>4</v>
      </c>
      <c r="I35" s="202">
        <v>0</v>
      </c>
      <c r="J35" s="189">
        <v>169000000</v>
      </c>
      <c r="K35" s="190" t="s">
        <v>397</v>
      </c>
      <c r="L35" s="186" t="s">
        <v>158</v>
      </c>
      <c r="M35" s="191" t="s">
        <v>421</v>
      </c>
      <c r="N35" s="184" t="s">
        <v>198</v>
      </c>
      <c r="O35" s="195" t="s">
        <v>946</v>
      </c>
      <c r="P35" s="191" t="s">
        <v>348</v>
      </c>
      <c r="Q35" s="193">
        <v>80111600</v>
      </c>
      <c r="R35" s="191" t="s">
        <v>212</v>
      </c>
      <c r="S35" s="162" t="str">
        <f>MID(PAA[[#This Row],[Meta Proyecto de Inversión]],1,4)</f>
        <v>8173</v>
      </c>
      <c r="T35" s="162" t="str">
        <f>MID(PAA[[#This Row],[Meta Proyecto de Inversión]],6,1)</f>
        <v>3</v>
      </c>
      <c r="U35" s="194" t="str">
        <f>IFERROR(VLOOKUP(N35,TD!$B$50:$F$54,2,0)," ")</f>
        <v>O230117</v>
      </c>
      <c r="V35" s="194" t="str">
        <f>IFERROR(VLOOKUP(N35,TD!$B$50:$F$54,3,0)," ")</f>
        <v>4503</v>
      </c>
      <c r="W35" s="194">
        <f>IFERROR(VLOOKUP(N35,TD!$B$50:$F$54,4,0)," ")</f>
        <v>20240255</v>
      </c>
      <c r="X35" s="195" t="s">
        <v>178</v>
      </c>
      <c r="Y35" s="203" t="str">
        <f>IFERROR(VLOOKUP(X35,TD!$J$51:$K$64,2,0)," ")</f>
        <v>Servicio de dotación y equipamento para el personal operativo</v>
      </c>
      <c r="Z35" s="164" t="str">
        <f>CONCATENATE(X35,"-",Y35)</f>
        <v>10-Servicio de dotación y equipamento para el personal operativo</v>
      </c>
      <c r="AA35" s="195" t="s">
        <v>221</v>
      </c>
      <c r="AB35" s="203" t="str">
        <f>IFERROR(VLOOKUP(AA35,TD!$N$51:$O$66,2,0)," ")</f>
        <v>Servicio de atención a emergencias y desastres</v>
      </c>
      <c r="AC35" s="164" t="str">
        <f>CONCATENATE(AA35,"_",AB35)</f>
        <v>004_Servicio de atención a emergencias y desastres</v>
      </c>
      <c r="AD35" s="164" t="str">
        <f>CONCATENATE(Z35," ",AC35)</f>
        <v>10-Servicio de dotación y equipamento para el personal operativo 004_Servicio de atención a emergencias y desastres</v>
      </c>
      <c r="AE35" s="194" t="str">
        <f>CONCATENATE(U35,V35,W35,X35,AA35)</f>
        <v>O23011745032024025510004</v>
      </c>
      <c r="AF35" s="194" t="str">
        <f>IFERROR(VLOOKUP(AD35,TD!$J$66:$K$89,2,0)," ")</f>
        <v>PM/0131/0110/45030040255</v>
      </c>
      <c r="AG35" s="196" t="s">
        <v>80</v>
      </c>
      <c r="AH35" s="191" t="s">
        <v>193</v>
      </c>
      <c r="AI35" s="208" t="str">
        <f>CONCATENATE(PAA[[#This Row],[Id Interno]],"-",PAA[[#This Row],[tipo de Contrato (TH talento humano - B/S bienes y/o servicios)]],"-",S35,"-",T35,"-",PAA[[#This Row],[Objeto de la contratación]])</f>
        <v>20260618-BS-8173-3-Adquisición de vehiculos operativos para la atención de emergencias para la UAE Cuerpo Oficial de Bomberos de Bogotá, S.O.</v>
      </c>
    </row>
    <row r="36" spans="2:35" s="145" customFormat="1" ht="84" x14ac:dyDescent="0.35">
      <c r="B36" s="184">
        <v>20260635</v>
      </c>
      <c r="C36" s="185" t="s">
        <v>993</v>
      </c>
      <c r="D36" s="184" t="s">
        <v>78</v>
      </c>
      <c r="E36" s="184" t="s">
        <v>402</v>
      </c>
      <c r="F36" s="184" t="s">
        <v>89</v>
      </c>
      <c r="G36" s="201" t="s">
        <v>377</v>
      </c>
      <c r="H36" s="202">
        <v>0</v>
      </c>
      <c r="I36" s="202">
        <v>0</v>
      </c>
      <c r="J36" s="189">
        <f>497000000-5100000</f>
        <v>491900000</v>
      </c>
      <c r="K36" s="190" t="s">
        <v>398</v>
      </c>
      <c r="L36" s="186" t="s">
        <v>155</v>
      </c>
      <c r="M36" s="191" t="s">
        <v>422</v>
      </c>
      <c r="N36" s="184" t="s">
        <v>197</v>
      </c>
      <c r="O36" s="191" t="s">
        <v>945</v>
      </c>
      <c r="P36" s="191" t="s">
        <v>348</v>
      </c>
      <c r="Q36" s="193" t="s">
        <v>763</v>
      </c>
      <c r="R36" s="191" t="s">
        <v>207</v>
      </c>
      <c r="S36" s="162" t="str">
        <f>MID(PAA[[#This Row],[Meta Proyecto de Inversión]],1,4)</f>
        <v>8126</v>
      </c>
      <c r="T36" s="162" t="str">
        <f>MID(PAA[[#This Row],[Meta Proyecto de Inversión]],6,1)</f>
        <v>8</v>
      </c>
      <c r="U36" s="194" t="str">
        <f>IFERROR(VLOOKUP(N36,TD!$B$50:$F$54,2,0)," ")</f>
        <v>O230117</v>
      </c>
      <c r="V36" s="194" t="str">
        <f>IFERROR(VLOOKUP(N36,TD!$B$50:$F$54,3,0)," ")</f>
        <v>4599</v>
      </c>
      <c r="W36" s="194">
        <f>IFERROR(VLOOKUP(N36,TD!$B$50:$F$54,4,0)," ")</f>
        <v>20240207</v>
      </c>
      <c r="X36" s="191" t="s">
        <v>174</v>
      </c>
      <c r="Y36" s="194" t="str">
        <f>IFERROR(VLOOKUP(X36,TD!$J$51:$K$64,2,0)," ")</f>
        <v>Infraestructura física, mantenimiento y dotación (Sedes construidas, mantenidas reforzadas)</v>
      </c>
      <c r="Z36" s="164" t="str">
        <f>CONCATENATE(X36,"-",Y36)</f>
        <v>08-Infraestructura física, mantenimiento y dotación (Sedes construidas, mantenidas reforzadas)</v>
      </c>
      <c r="AA36" s="191" t="s">
        <v>227</v>
      </c>
      <c r="AB36" s="194" t="str">
        <f>IFERROR(VLOOKUP(AA36,TD!$N$51:$O$66,2,0)," ")</f>
        <v>Sedes mantenidas</v>
      </c>
      <c r="AC36" s="164" t="str">
        <f>CONCATENATE(AA36,"_",AB36)</f>
        <v>016_Sedes mantenidas</v>
      </c>
      <c r="AD36" s="164" t="str">
        <f>CONCATENATE(Z36," ",AC36)</f>
        <v>08-Infraestructura física, mantenimiento y dotación (Sedes construidas, mantenidas reforzadas) 016_Sedes mantenidas</v>
      </c>
      <c r="AE36" s="194" t="str">
        <f>CONCATENATE(U36,V36,W36,X36,AA36)</f>
        <v>O23011745992024020708016</v>
      </c>
      <c r="AF36" s="194" t="str">
        <f>IFERROR(VLOOKUP(AD36,TD!$J$66:$K$89,2,0)," ")</f>
        <v>PM/0131/0108/45990160207</v>
      </c>
      <c r="AG36" s="196" t="s">
        <v>132</v>
      </c>
      <c r="AH36" s="191" t="s">
        <v>194</v>
      </c>
      <c r="AI36" s="208" t="str">
        <f>CONCATENATE(PAA[[#This Row],[Id Interno]],"-",PAA[[#This Row],[tipo de Contrato (TH talento humano - B/S bienes y/o servicios)]],"-",S36,"-",T36,"-",PAA[[#This Row],[Objeto de la contratación]])</f>
        <v>20260635-BS-8126-8-Adición No. 1 al contrato 629 de 2025 que tiene como objeto “Prestar el servicio de vigilancia y seguridad privada en la modalidad de vigilancia fija, según especificaciones técnicas, en las instalaciones donde la UAE Especial Cuerpo Oficial de Bomberos requiera-SGC</v>
      </c>
    </row>
    <row r="37" spans="2:35" s="145" customFormat="1" ht="84" x14ac:dyDescent="0.35">
      <c r="B37" s="184">
        <v>20260659</v>
      </c>
      <c r="C37" s="185" t="s">
        <v>1007</v>
      </c>
      <c r="D37" s="184" t="s">
        <v>119</v>
      </c>
      <c r="E37" s="184" t="s">
        <v>402</v>
      </c>
      <c r="F37" s="184" t="s">
        <v>119</v>
      </c>
      <c r="G37" s="201" t="s">
        <v>375</v>
      </c>
      <c r="H37" s="202">
        <v>6</v>
      </c>
      <c r="I37" s="202">
        <v>0</v>
      </c>
      <c r="J37" s="189">
        <v>51000000</v>
      </c>
      <c r="K37" s="190" t="s">
        <v>398</v>
      </c>
      <c r="L37" s="186" t="s">
        <v>154</v>
      </c>
      <c r="M37" s="191" t="s">
        <v>451</v>
      </c>
      <c r="N37" s="184" t="s">
        <v>330</v>
      </c>
      <c r="O37" s="191" t="s">
        <v>945</v>
      </c>
      <c r="P37" s="191" t="s">
        <v>161</v>
      </c>
      <c r="Q37" s="193" t="s">
        <v>335</v>
      </c>
      <c r="R37" s="191" t="s">
        <v>331</v>
      </c>
      <c r="S37" s="206" t="str">
        <f>MID(PAA[[#This Row],[Meta Proyecto de Inversión]],1,4)</f>
        <v>No a</v>
      </c>
      <c r="T37" s="206" t="str">
        <f>MID(PAA[[#This Row],[Meta Proyecto de Inversión]],6,1)</f>
        <v>l</v>
      </c>
      <c r="U37" s="194" t="str">
        <f>IFERROR(VLOOKUP(N37,TD!$B$50:$F$54,2,0)," ")</f>
        <v>NA</v>
      </c>
      <c r="V37" s="194" t="str">
        <f>IFERROR(VLOOKUP(N37,TD!$B$50:$F$54,3,0)," ")</f>
        <v>NA</v>
      </c>
      <c r="W37" s="194" t="str">
        <f>IFERROR(VLOOKUP(N37,TD!$B$50:$F$54,4,0)," ")</f>
        <v>NA</v>
      </c>
      <c r="X37" s="191" t="s">
        <v>335</v>
      </c>
      <c r="Y37" s="194" t="str">
        <f>IFERROR(VLOOKUP(X37,TD!$J$51:$K$64,2,0)," ")</f>
        <v>N/A</v>
      </c>
      <c r="Z37" s="207" t="str">
        <f>CONCATENATE(X37,"-",Y37)</f>
        <v>N/A-N/A</v>
      </c>
      <c r="AA37" s="191" t="s">
        <v>335</v>
      </c>
      <c r="AB37" s="194" t="str">
        <f>IFERROR(VLOOKUP(AA37,TD!$N$51:$O$66,2,0)," ")</f>
        <v>N/A</v>
      </c>
      <c r="AC37" s="207" t="str">
        <f>CONCATENATE(AA37,"_",AB37)</f>
        <v>N/A_N/A</v>
      </c>
      <c r="AD37" s="207" t="str">
        <f>CONCATENATE(Z37," ",AC37)</f>
        <v>N/A-N/A N/A_N/A</v>
      </c>
      <c r="AE37" s="194" t="str">
        <f>CONCATENATE(U37,V37,W37,X37,AA37)</f>
        <v>NANANAN/AN/A</v>
      </c>
      <c r="AF37" s="194" t="str">
        <f>IFERROR(VLOOKUP(AD37,TD!$J$66:$K$89,2,0)," ")</f>
        <v>N/A</v>
      </c>
      <c r="AG37" s="196" t="s">
        <v>332</v>
      </c>
      <c r="AH37" s="191" t="s">
        <v>193</v>
      </c>
      <c r="AI37" s="208" t="str">
        <f>CONCATENATE(PAA[[#This Row],[Id Interno]],"-",PAA[[#This Row],[tipo de Contrato (TH talento humano - B/S bienes y/o servicios)]],"-",S37,"-",T37,"-",PAA[[#This Row],[Objeto de la contratación]])</f>
        <v>20260659-BS-No a-l-SGH - Utilización lista de elegibles CNSC para provisión de vacantes</v>
      </c>
    </row>
    <row r="38" spans="2:35" s="145" customFormat="1" ht="70" x14ac:dyDescent="0.35">
      <c r="B38" s="184">
        <v>20260660</v>
      </c>
      <c r="C38" s="185" t="s">
        <v>1008</v>
      </c>
      <c r="D38" s="184" t="s">
        <v>105</v>
      </c>
      <c r="E38" s="184" t="s">
        <v>363</v>
      </c>
      <c r="F38" s="184" t="s">
        <v>144</v>
      </c>
      <c r="G38" s="201" t="s">
        <v>376</v>
      </c>
      <c r="H38" s="202">
        <v>1</v>
      </c>
      <c r="I38" s="202">
        <v>15</v>
      </c>
      <c r="J38" s="189">
        <v>10500000</v>
      </c>
      <c r="K38" s="190" t="s">
        <v>398</v>
      </c>
      <c r="L38" s="186" t="s">
        <v>154</v>
      </c>
      <c r="M38" s="191" t="s">
        <v>451</v>
      </c>
      <c r="N38" s="184" t="s">
        <v>198</v>
      </c>
      <c r="O38" s="191" t="s">
        <v>946</v>
      </c>
      <c r="P38" s="191" t="s">
        <v>348</v>
      </c>
      <c r="Q38" s="193">
        <v>80111600</v>
      </c>
      <c r="R38" s="191" t="s">
        <v>218</v>
      </c>
      <c r="S38" s="206" t="str">
        <f>MID(PAA[[#This Row],[Meta Proyecto de Inversión]],1,4)</f>
        <v>8173</v>
      </c>
      <c r="T38" s="206" t="str">
        <f>MID(PAA[[#This Row],[Meta Proyecto de Inversión]],6,1)</f>
        <v>9</v>
      </c>
      <c r="U38" s="194" t="str">
        <f>IFERROR(VLOOKUP(N38,TD!$B$50:$F$54,2,0)," ")</f>
        <v>O230117</v>
      </c>
      <c r="V38" s="194" t="str">
        <f>IFERROR(VLOOKUP(N38,TD!$B$50:$F$54,3,0)," ")</f>
        <v>4503</v>
      </c>
      <c r="W38" s="194">
        <f>IFERROR(VLOOKUP(N38,TD!$B$50:$F$54,4,0)," ")</f>
        <v>20240255</v>
      </c>
      <c r="X38" s="191" t="s">
        <v>172</v>
      </c>
      <c r="Y38" s="194" t="str">
        <f>IFERROR(VLOOKUP(X38,TD!$J$51:$K$64,2,0)," ")</f>
        <v>Servicio de formación en gestión del riesgo de incendios para el personal UAECOB</v>
      </c>
      <c r="Z38" s="207" t="str">
        <f>CONCATENATE(X38,"-",Y38)</f>
        <v>07-Servicio de formación en gestión del riesgo de incendios para el personal UAECOB</v>
      </c>
      <c r="AA38" s="191" t="s">
        <v>222</v>
      </c>
      <c r="AB38" s="194" t="str">
        <f>IFERROR(VLOOKUP(AA38,TD!$N$51:$O$66,2,0)," ")</f>
        <v>Servicio de educación informal</v>
      </c>
      <c r="AC38" s="207" t="str">
        <f>CONCATENATE(AA38,"_",AB38)</f>
        <v>002_Servicio de educación informal</v>
      </c>
      <c r="AD38" s="207" t="str">
        <f>CONCATENATE(Z38," ",AC38)</f>
        <v>07-Servicio de formación en gestión del riesgo de incendios para el personal UAECOB 002_Servicio de educación informal</v>
      </c>
      <c r="AE38" s="194" t="str">
        <f>CONCATENATE(U38,V38,W38,X38,AA38)</f>
        <v>O23011745032024025507002</v>
      </c>
      <c r="AF38" s="194" t="str">
        <f>IFERROR(VLOOKUP(AD38,TD!$J$66:$K$89,2,0)," ")</f>
        <v>PM/0131/0107/45030020255</v>
      </c>
      <c r="AG38" s="196" t="s">
        <v>385</v>
      </c>
      <c r="AH38" s="191" t="s">
        <v>194</v>
      </c>
      <c r="AI38" s="208" t="str">
        <f>CONCATENATE(PAA[[#This Row],[Id Interno]],"-",PAA[[#This Row],[tipo de Contrato (TH talento humano - B/S bienes y/o servicios)]],"-",S38,"-",T38,"-",PAA[[#This Row],[Objeto de la contratación]])</f>
        <v>20260660-TH-8173-9-SGH - Adición y prórroga al contrato 717-2025 cuyo objeto es" Prestar sus servicios profesionales en la Subdirección de Gestión Humana de la UAE Cuerpo Oficial de Bomberos de Bogotá, apoyando la administración del Sistema de Gestión de Seguridad y Salud en el Trabajo (SG-SST), específicamente en la línea de Medicina Preventiva, en el marco de los procesos de fortalecimiento de capacitación y capacidades de la institución".</v>
      </c>
    </row>
    <row r="39" spans="2:35" s="145" customFormat="1" ht="84" x14ac:dyDescent="0.35">
      <c r="B39" s="184">
        <v>20260661</v>
      </c>
      <c r="C39" s="185" t="s">
        <v>1009</v>
      </c>
      <c r="D39" s="184" t="s">
        <v>100</v>
      </c>
      <c r="E39" s="184" t="s">
        <v>402</v>
      </c>
      <c r="F39" s="184" t="s">
        <v>89</v>
      </c>
      <c r="G39" s="201" t="s">
        <v>377</v>
      </c>
      <c r="H39" s="202">
        <v>24</v>
      </c>
      <c r="I39" s="202">
        <v>0</v>
      </c>
      <c r="J39" s="189">
        <v>0</v>
      </c>
      <c r="K39" s="190" t="s">
        <v>398</v>
      </c>
      <c r="L39" s="186" t="s">
        <v>154</v>
      </c>
      <c r="M39" s="191" t="s">
        <v>451</v>
      </c>
      <c r="N39" s="184" t="s">
        <v>335</v>
      </c>
      <c r="O39" s="191" t="s">
        <v>945</v>
      </c>
      <c r="P39" s="191" t="s">
        <v>335</v>
      </c>
      <c r="Q39" s="193" t="s">
        <v>335</v>
      </c>
      <c r="R39" s="191" t="s">
        <v>331</v>
      </c>
      <c r="S39" s="206" t="str">
        <f>MID(PAA[[#This Row],[Meta Proyecto de Inversión]],1,4)</f>
        <v>No a</v>
      </c>
      <c r="T39" s="206" t="str">
        <f>MID(PAA[[#This Row],[Meta Proyecto de Inversión]],6,1)</f>
        <v>l</v>
      </c>
      <c r="U39" s="194" t="str">
        <f>IFERROR(VLOOKUP(N39,TD!$B$50:$F$54,2,0)," ")</f>
        <v>NA</v>
      </c>
      <c r="V39" s="194" t="str">
        <f>IFERROR(VLOOKUP(N39,TD!$B$50:$F$54,3,0)," ")</f>
        <v>NA</v>
      </c>
      <c r="W39" s="194" t="str">
        <f>IFERROR(VLOOKUP(N39,TD!$B$50:$F$54,4,0)," ")</f>
        <v>NA</v>
      </c>
      <c r="X39" s="191" t="s">
        <v>335</v>
      </c>
      <c r="Y39" s="194" t="str">
        <f>IFERROR(VLOOKUP(X39,TD!$J$51:$K$64,2,0)," ")</f>
        <v>N/A</v>
      </c>
      <c r="Z39" s="207" t="str">
        <f>CONCATENATE(X39,"-",Y39)</f>
        <v>N/A-N/A</v>
      </c>
      <c r="AA39" s="191" t="s">
        <v>335</v>
      </c>
      <c r="AB39" s="194" t="str">
        <f>IFERROR(VLOOKUP(AA39,TD!$N$51:$O$66,2,0)," ")</f>
        <v>N/A</v>
      </c>
      <c r="AC39" s="207" t="str">
        <f>CONCATENATE(AA39,"_",AB39)</f>
        <v>N/A_N/A</v>
      </c>
      <c r="AD39" s="207" t="str">
        <f>CONCATENATE(Z39," ",AC39)</f>
        <v>N/A-N/A N/A_N/A</v>
      </c>
      <c r="AE39" s="194" t="str">
        <f>CONCATENATE(U39,V39,W39,X39,AA39)</f>
        <v>NANANAN/AN/A</v>
      </c>
      <c r="AF39" s="194" t="str">
        <f>IFERROR(VLOOKUP(AD39,TD!$J$66:$K$89,2,0)," ")</f>
        <v>N/A</v>
      </c>
      <c r="AG39" s="196" t="s">
        <v>332</v>
      </c>
      <c r="AH39" s="191" t="s">
        <v>194</v>
      </c>
      <c r="AI39" s="208" t="str">
        <f>CONCATENATE(PAA[[#This Row],[Id Interno]],"-",PAA[[#This Row],[tipo de Contrato (TH talento humano - B/S bienes y/o servicios)]],"-",S39,"-",T39,"-",PAA[[#This Row],[Objeto de la contratación]])</f>
        <v>20260661-BS-No a-l-SGH -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v>
      </c>
    </row>
    <row r="40" spans="2:35" s="145" customFormat="1" ht="84" x14ac:dyDescent="0.35">
      <c r="B40" s="184">
        <v>20260662</v>
      </c>
      <c r="C40" s="185" t="s">
        <v>1010</v>
      </c>
      <c r="D40" s="184" t="s">
        <v>88</v>
      </c>
      <c r="E40" s="184" t="s">
        <v>402</v>
      </c>
      <c r="F40" s="184" t="s">
        <v>101</v>
      </c>
      <c r="G40" s="201" t="s">
        <v>379</v>
      </c>
      <c r="H40" s="202">
        <v>3</v>
      </c>
      <c r="I40" s="202">
        <v>0</v>
      </c>
      <c r="J40" s="189">
        <v>54274124</v>
      </c>
      <c r="K40" s="190" t="s">
        <v>398</v>
      </c>
      <c r="L40" s="186" t="s">
        <v>158</v>
      </c>
      <c r="M40" s="191" t="s">
        <v>421</v>
      </c>
      <c r="N40" s="184" t="s">
        <v>330</v>
      </c>
      <c r="O40" s="191" t="s">
        <v>945</v>
      </c>
      <c r="P40" s="191" t="s">
        <v>161</v>
      </c>
      <c r="Q40" s="193">
        <v>53102710</v>
      </c>
      <c r="R40" s="191" t="s">
        <v>331</v>
      </c>
      <c r="S40" s="206" t="str">
        <f>MID(PAA[[#This Row],[Meta Proyecto de Inversión]],1,4)</f>
        <v>No a</v>
      </c>
      <c r="T40" s="206" t="str">
        <f>MID(PAA[[#This Row],[Meta Proyecto de Inversión]],6,1)</f>
        <v>l</v>
      </c>
      <c r="U40" s="194" t="str">
        <f>IFERROR(VLOOKUP(N40,TD!$B$50:$F$54,2,0)," ")</f>
        <v>NA</v>
      </c>
      <c r="V40" s="194" t="str">
        <f>IFERROR(VLOOKUP(N40,TD!$B$50:$F$54,3,0)," ")</f>
        <v>NA</v>
      </c>
      <c r="W40" s="194" t="str">
        <f>IFERROR(VLOOKUP(N40,TD!$B$50:$F$54,4,0)," ")</f>
        <v>NA</v>
      </c>
      <c r="X40" s="191" t="s">
        <v>335</v>
      </c>
      <c r="Y40" s="194" t="str">
        <f>IFERROR(VLOOKUP(X40,TD!$J$51:$K$64,2,0)," ")</f>
        <v>N/A</v>
      </c>
      <c r="Z40" s="207" t="str">
        <f>CONCATENATE(X40,"-",Y40)</f>
        <v>N/A-N/A</v>
      </c>
      <c r="AA40" s="191" t="s">
        <v>335</v>
      </c>
      <c r="AB40" s="194" t="str">
        <f>IFERROR(VLOOKUP(AA40,TD!$N$51:$O$66,2,0)," ")</f>
        <v>N/A</v>
      </c>
      <c r="AC40" s="207" t="str">
        <f>CONCATENATE(AA40,"_",AB40)</f>
        <v>N/A_N/A</v>
      </c>
      <c r="AD40" s="207" t="str">
        <f>CONCATENATE(Z40," ",AC40)</f>
        <v>N/A-N/A N/A_N/A</v>
      </c>
      <c r="AE40" s="194" t="str">
        <f>CONCATENATE(U40,V40,W40,X40,AA40)</f>
        <v>NANANAN/AN/A</v>
      </c>
      <c r="AF40" s="194" t="str">
        <f>IFERROR(VLOOKUP(AD40,TD!$J$66:$K$89,2,0)," ")</f>
        <v>N/A</v>
      </c>
      <c r="AG40" s="196" t="s">
        <v>349</v>
      </c>
      <c r="AH40" s="191" t="s">
        <v>194</v>
      </c>
      <c r="AI40" s="208" t="str">
        <f>CONCATENATE(PAA[[#This Row],[Id Interno]],"-",PAA[[#This Row],[tipo de Contrato (TH talento humano - B/S bienes y/o servicios)]],"-",S40,"-",T40,"-",PAA[[#This Row],[Objeto de la contratación]])</f>
        <v>20260662-BS-No a-l-Adición y prórrroga al contrato 604-2025, cuyo objeto es: "Adquisición de elementos de protección personal (E.P.P.) para la atención de emergencias de la UAE cuerpo oficial de bomberos de Bogotá" lote v. trajes de fontanero"</v>
      </c>
    </row>
    <row r="41" spans="2:35" s="145" customFormat="1" ht="70" x14ac:dyDescent="0.35">
      <c r="B41" s="184">
        <v>20260663</v>
      </c>
      <c r="C41" s="185" t="s">
        <v>1013</v>
      </c>
      <c r="D41" s="184" t="s">
        <v>105</v>
      </c>
      <c r="E41" s="184" t="s">
        <v>363</v>
      </c>
      <c r="F41" s="184" t="s">
        <v>145</v>
      </c>
      <c r="G41" s="201" t="s">
        <v>375</v>
      </c>
      <c r="H41" s="202">
        <v>1.5</v>
      </c>
      <c r="I41" s="202">
        <v>0</v>
      </c>
      <c r="J41" s="189">
        <v>5100000</v>
      </c>
      <c r="K41" s="190" t="s">
        <v>398</v>
      </c>
      <c r="L41" s="186" t="s">
        <v>153</v>
      </c>
      <c r="M41" s="191" t="s">
        <v>420</v>
      </c>
      <c r="N41" s="184" t="s">
        <v>197</v>
      </c>
      <c r="O41" s="191" t="s">
        <v>945</v>
      </c>
      <c r="P41" s="191" t="s">
        <v>348</v>
      </c>
      <c r="Q41" s="193">
        <v>80111600</v>
      </c>
      <c r="R41" s="191" t="s">
        <v>208</v>
      </c>
      <c r="S41" s="206" t="str">
        <f>MID(PAA[[#This Row],[Meta Proyecto de Inversión]],1,4)</f>
        <v>8126</v>
      </c>
      <c r="T41" s="206" t="str">
        <f>MID(PAA[[#This Row],[Meta Proyecto de Inversión]],6,1)</f>
        <v>9</v>
      </c>
      <c r="U41" s="194" t="str">
        <f>IFERROR(VLOOKUP(N41,TD!$B$50:$F$54,2,0)," ")</f>
        <v>O230117</v>
      </c>
      <c r="V41" s="194" t="str">
        <f>IFERROR(VLOOKUP(N41,TD!$B$50:$F$54,3,0)," ")</f>
        <v>4599</v>
      </c>
      <c r="W41" s="194">
        <f>IFERROR(VLOOKUP(N41,TD!$B$50:$F$54,4,0)," ")</f>
        <v>20240207</v>
      </c>
      <c r="X41" s="191" t="s">
        <v>174</v>
      </c>
      <c r="Y41" s="194" t="str">
        <f>IFERROR(VLOOKUP(X41,TD!$J$51:$K$64,2,0)," ")</f>
        <v>Infraestructura física, mantenimiento y dotación (Sedes construidas, mantenidas reforzadas)</v>
      </c>
      <c r="Z41" s="207" t="str">
        <f>CONCATENATE(X41,"-",Y41)</f>
        <v>08-Infraestructura física, mantenimiento y dotación (Sedes construidas, mantenidas reforzadas)</v>
      </c>
      <c r="AA41" s="191" t="s">
        <v>227</v>
      </c>
      <c r="AB41" s="194" t="str">
        <f>IFERROR(VLOOKUP(AA41,TD!$N$51:$O$66,2,0)," ")</f>
        <v>Sedes mantenidas</v>
      </c>
      <c r="AC41" s="207" t="str">
        <f>CONCATENATE(AA41,"_",AB41)</f>
        <v>016_Sedes mantenidas</v>
      </c>
      <c r="AD41" s="207" t="str">
        <f>CONCATENATE(Z41," ",AC41)</f>
        <v>08-Infraestructura física, mantenimiento y dotación (Sedes construidas, mantenidas reforzadas) 016_Sedes mantenidas</v>
      </c>
      <c r="AE41" s="194" t="str">
        <f>CONCATENATE(U41,V41,W41,X41,AA41)</f>
        <v>O23011745992024020708016</v>
      </c>
      <c r="AF41" s="194" t="str">
        <f>IFERROR(VLOOKUP(AD41,TD!$J$66:$K$89,2,0)," ")</f>
        <v>PM/0131/0108/45990160207</v>
      </c>
      <c r="AG41" s="196" t="s">
        <v>385</v>
      </c>
      <c r="AH41" s="191" t="s">
        <v>194</v>
      </c>
      <c r="AI41" s="208" t="str">
        <f>CONCATENATE(PAA[[#This Row],[Id Interno]],"-",PAA[[#This Row],[tipo de Contrato (TH talento humano - B/S bienes y/o servicios)]],"-",S41,"-",T41,"-",PAA[[#This Row],[Objeto de la contratación]])</f>
        <v>20260663-TH-8126-9-Adición y prórroga al contrato 692 de 2025 cuyo objeto es: "Brindar apoyo en temas propios de gestión documental de expedientes físicos y de soporte administrativo que se requieran en las actividades desplegadas por la Oficina Jurídica".</v>
      </c>
    </row>
    <row r="42" spans="2:35" s="145" customFormat="1" ht="84" x14ac:dyDescent="0.35">
      <c r="B42" s="184">
        <v>20260664</v>
      </c>
      <c r="C42" s="185" t="s">
        <v>1014</v>
      </c>
      <c r="D42" s="184" t="s">
        <v>105</v>
      </c>
      <c r="E42" s="184" t="s">
        <v>363</v>
      </c>
      <c r="F42" s="184" t="s">
        <v>144</v>
      </c>
      <c r="G42" s="201" t="s">
        <v>375</v>
      </c>
      <c r="H42" s="202">
        <v>1.5</v>
      </c>
      <c r="I42" s="202">
        <v>0</v>
      </c>
      <c r="J42" s="189">
        <v>16500000</v>
      </c>
      <c r="K42" s="190" t="s">
        <v>398</v>
      </c>
      <c r="L42" s="186" t="s">
        <v>153</v>
      </c>
      <c r="M42" s="191" t="s">
        <v>420</v>
      </c>
      <c r="N42" s="184" t="s">
        <v>197</v>
      </c>
      <c r="O42" s="191" t="s">
        <v>945</v>
      </c>
      <c r="P42" s="191" t="s">
        <v>348</v>
      </c>
      <c r="Q42" s="193">
        <v>80111600</v>
      </c>
      <c r="R42" s="191" t="s">
        <v>208</v>
      </c>
      <c r="S42" s="206" t="str">
        <f>MID(PAA[[#This Row],[Meta Proyecto de Inversión]],1,4)</f>
        <v>8126</v>
      </c>
      <c r="T42" s="206" t="str">
        <f>MID(PAA[[#This Row],[Meta Proyecto de Inversión]],6,1)</f>
        <v>9</v>
      </c>
      <c r="U42" s="194" t="str">
        <f>IFERROR(VLOOKUP(N42,TD!$B$50:$F$54,2,0)," ")</f>
        <v>O230117</v>
      </c>
      <c r="V42" s="194" t="str">
        <f>IFERROR(VLOOKUP(N42,TD!$B$50:$F$54,3,0)," ")</f>
        <v>4599</v>
      </c>
      <c r="W42" s="194">
        <f>IFERROR(VLOOKUP(N42,TD!$B$50:$F$54,4,0)," ")</f>
        <v>20240207</v>
      </c>
      <c r="X42" s="191" t="s">
        <v>174</v>
      </c>
      <c r="Y42" s="194" t="str">
        <f>IFERROR(VLOOKUP(X42,TD!$J$51:$K$64,2,0)," ")</f>
        <v>Infraestructura física, mantenimiento y dotación (Sedes construidas, mantenidas reforzadas)</v>
      </c>
      <c r="Z42" s="207" t="str">
        <f>CONCATENATE(X42,"-",Y42)</f>
        <v>08-Infraestructura física, mantenimiento y dotación (Sedes construidas, mantenidas reforzadas)</v>
      </c>
      <c r="AA42" s="191" t="s">
        <v>227</v>
      </c>
      <c r="AB42" s="194" t="str">
        <f>IFERROR(VLOOKUP(AA42,TD!$N$51:$O$66,2,0)," ")</f>
        <v>Sedes mantenidas</v>
      </c>
      <c r="AC42" s="207" t="str">
        <f>CONCATENATE(AA42,"_",AB42)</f>
        <v>016_Sedes mantenidas</v>
      </c>
      <c r="AD42" s="207" t="str">
        <f>CONCATENATE(Z42," ",AC42)</f>
        <v>08-Infraestructura física, mantenimiento y dotación (Sedes construidas, mantenidas reforzadas) 016_Sedes mantenidas</v>
      </c>
      <c r="AE42" s="194" t="str">
        <f>CONCATENATE(U42,V42,W42,X42,AA42)</f>
        <v>O23011745992024020708016</v>
      </c>
      <c r="AF42" s="194" t="str">
        <f>IFERROR(VLOOKUP(AD42,TD!$J$66:$K$89,2,0)," ")</f>
        <v>PM/0131/0108/45990160207</v>
      </c>
      <c r="AG42" s="196" t="s">
        <v>385</v>
      </c>
      <c r="AH42" s="191" t="s">
        <v>194</v>
      </c>
      <c r="AI42" s="208" t="str">
        <f>CONCATENATE(PAA[[#This Row],[Id Interno]],"-",PAA[[#This Row],[tipo de Contrato (TH talento humano - B/S bienes y/o servicios)]],"-",S42,"-",T42,"-",PAA[[#This Row],[Objeto de la contratación]])</f>
        <v>20260664-TH-8126-9-Adición y prórroga al contrato 702 de 2025 cuyo objeto es: "Prestar los servicios profesionales jurídicos especializados para apoyar el desarrollo de las funciones de la Oficina Jurídica"</v>
      </c>
    </row>
    <row r="43" spans="2:35" s="145" customFormat="1" ht="42" x14ac:dyDescent="0.35">
      <c r="B43" s="184">
        <v>20260665</v>
      </c>
      <c r="C43" s="185" t="s">
        <v>1015</v>
      </c>
      <c r="D43" s="184" t="s">
        <v>105</v>
      </c>
      <c r="E43" s="184" t="s">
        <v>363</v>
      </c>
      <c r="F43" s="184" t="s">
        <v>144</v>
      </c>
      <c r="G43" s="201" t="s">
        <v>377</v>
      </c>
      <c r="H43" s="202">
        <v>2</v>
      </c>
      <c r="I43" s="202">
        <v>0</v>
      </c>
      <c r="J43" s="234">
        <v>6800000</v>
      </c>
      <c r="K43" s="190" t="s">
        <v>398</v>
      </c>
      <c r="L43" s="186" t="s">
        <v>153</v>
      </c>
      <c r="M43" s="191" t="s">
        <v>420</v>
      </c>
      <c r="N43" s="184" t="s">
        <v>197</v>
      </c>
      <c r="O43" s="191" t="s">
        <v>945</v>
      </c>
      <c r="P43" s="191" t="s">
        <v>348</v>
      </c>
      <c r="Q43" s="193">
        <v>80111600</v>
      </c>
      <c r="R43" s="191" t="s">
        <v>208</v>
      </c>
      <c r="S43" s="206" t="str">
        <f>MID(PAA[[#This Row],[Meta Proyecto de Inversión]],1,4)</f>
        <v>8126</v>
      </c>
      <c r="T43" s="206" t="str">
        <f>MID(PAA[[#This Row],[Meta Proyecto de Inversión]],6,1)</f>
        <v>9</v>
      </c>
      <c r="U43" s="194" t="str">
        <f>IFERROR(VLOOKUP(N43,TD!$B$50:$F$54,2,0)," ")</f>
        <v>O230117</v>
      </c>
      <c r="V43" s="194" t="str">
        <f>IFERROR(VLOOKUP(N43,TD!$B$50:$F$54,3,0)," ")</f>
        <v>4599</v>
      </c>
      <c r="W43" s="194">
        <f>IFERROR(VLOOKUP(N43,TD!$B$50:$F$54,4,0)," ")</f>
        <v>20240207</v>
      </c>
      <c r="X43" s="191" t="s">
        <v>174</v>
      </c>
      <c r="Y43" s="194" t="str">
        <f>IFERROR(VLOOKUP(X43,TD!$J$51:$K$64,2,0)," ")</f>
        <v>Infraestructura física, mantenimiento y dotación (Sedes construidas, mantenidas reforzadas)</v>
      </c>
      <c r="Z43" s="207" t="str">
        <f>CONCATENATE(X43,"-",Y43)</f>
        <v>08-Infraestructura física, mantenimiento y dotación (Sedes construidas, mantenidas reforzadas)</v>
      </c>
      <c r="AA43" s="191" t="s">
        <v>227</v>
      </c>
      <c r="AB43" s="194" t="str">
        <f>IFERROR(VLOOKUP(AA43,TD!$N$51:$O$66,2,0)," ")</f>
        <v>Sedes mantenidas</v>
      </c>
      <c r="AC43" s="207" t="str">
        <f>CONCATENATE(AA43,"_",AB43)</f>
        <v>016_Sedes mantenidas</v>
      </c>
      <c r="AD43" s="207" t="str">
        <f>CONCATENATE(Z43," ",AC43)</f>
        <v>08-Infraestructura física, mantenimiento y dotación (Sedes construidas, mantenidas reforzadas) 016_Sedes mantenidas</v>
      </c>
      <c r="AE43" s="194" t="str">
        <f>CONCATENATE(U43,V43,W43,X43,AA43)</f>
        <v>O23011745992024020708016</v>
      </c>
      <c r="AF43" s="194" t="str">
        <f>IFERROR(VLOOKUP(AD43,TD!$J$66:$K$89,2,0)," ")</f>
        <v>PM/0131/0108/45990160207</v>
      </c>
      <c r="AG43" s="196" t="s">
        <v>385</v>
      </c>
      <c r="AH43" s="191" t="s">
        <v>194</v>
      </c>
      <c r="AI43" s="208" t="str">
        <f>CONCATENATE(PAA[[#This Row],[Id Interno]],"-",PAA[[#This Row],[tipo de Contrato (TH talento humano - B/S bienes y/o servicios)]],"-",S43,"-",T43,"-",PAA[[#This Row],[Objeto de la contratación]])</f>
        <v>20260665-TH-8126-9-Adición y prórroga al contrato 702 de 2025 cuyo objeto es: "Prestar el servicio de apoyo técnico y operativo a la gestión de los procesos disciplinarios en la etapa de juzgamiento, mediante la ejecución de tareas administrativas, logísticas y de soporte documental en la Oficina Jurídica"</v>
      </c>
    </row>
    <row r="44" spans="2:35" s="145" customFormat="1" ht="70" x14ac:dyDescent="0.35">
      <c r="B44" s="184">
        <v>20260666</v>
      </c>
      <c r="C44" s="185" t="s">
        <v>410</v>
      </c>
      <c r="D44" s="184" t="s">
        <v>105</v>
      </c>
      <c r="E44" s="184" t="s">
        <v>363</v>
      </c>
      <c r="F44" s="184" t="s">
        <v>145</v>
      </c>
      <c r="G44" s="201" t="s">
        <v>376</v>
      </c>
      <c r="H44" s="202">
        <v>2</v>
      </c>
      <c r="I44" s="202">
        <v>0</v>
      </c>
      <c r="J44" s="234">
        <v>12400000</v>
      </c>
      <c r="K44" s="190" t="s">
        <v>398</v>
      </c>
      <c r="L44" s="186" t="s">
        <v>153</v>
      </c>
      <c r="M44" s="191" t="s">
        <v>420</v>
      </c>
      <c r="N44" s="184" t="s">
        <v>197</v>
      </c>
      <c r="O44" s="191" t="s">
        <v>945</v>
      </c>
      <c r="P44" s="191" t="s">
        <v>348</v>
      </c>
      <c r="Q44" s="193">
        <v>80111600</v>
      </c>
      <c r="R44" s="191" t="s">
        <v>208</v>
      </c>
      <c r="S44" s="206" t="str">
        <f>MID(PAA[[#This Row],[Meta Proyecto de Inversión]],1,4)</f>
        <v>8126</v>
      </c>
      <c r="T44" s="206" t="str">
        <f>MID(PAA[[#This Row],[Meta Proyecto de Inversión]],6,1)</f>
        <v>9</v>
      </c>
      <c r="U44" s="194" t="str">
        <f>IFERROR(VLOOKUP(N44,TD!$B$50:$F$54,2,0)," ")</f>
        <v>O230117</v>
      </c>
      <c r="V44" s="194" t="str">
        <f>IFERROR(VLOOKUP(N44,TD!$B$50:$F$54,3,0)," ")</f>
        <v>4599</v>
      </c>
      <c r="W44" s="194">
        <f>IFERROR(VLOOKUP(N44,TD!$B$50:$F$54,4,0)," ")</f>
        <v>20240207</v>
      </c>
      <c r="X44" s="191" t="s">
        <v>174</v>
      </c>
      <c r="Y44" s="194" t="str">
        <f>IFERROR(VLOOKUP(X44,TD!$J$51:$K$64,2,0)," ")</f>
        <v>Infraestructura física, mantenimiento y dotación (Sedes construidas, mantenidas reforzadas)</v>
      </c>
      <c r="Z44" s="207" t="str">
        <f>CONCATENATE(X44,"-",Y44)</f>
        <v>08-Infraestructura física, mantenimiento y dotación (Sedes construidas, mantenidas reforzadas)</v>
      </c>
      <c r="AA44" s="191" t="s">
        <v>227</v>
      </c>
      <c r="AB44" s="194" t="str">
        <f>IFERROR(VLOOKUP(AA44,TD!$N$51:$O$66,2,0)," ")</f>
        <v>Sedes mantenidas</v>
      </c>
      <c r="AC44" s="207" t="str">
        <f>CONCATENATE(AA44,"_",AB44)</f>
        <v>016_Sedes mantenidas</v>
      </c>
      <c r="AD44" s="207" t="str">
        <f>CONCATENATE(Z44," ",AC44)</f>
        <v>08-Infraestructura física, mantenimiento y dotación (Sedes construidas, mantenidas reforzadas) 016_Sedes mantenidas</v>
      </c>
      <c r="AE44" s="194" t="str">
        <f>CONCATENATE(U44,V44,W44,X44,AA44)</f>
        <v>O23011745992024020708016</v>
      </c>
      <c r="AF44" s="194" t="str">
        <f>IFERROR(VLOOKUP(AD44,TD!$J$66:$K$89,2,0)," ")</f>
        <v>PM/0131/0108/45990160207</v>
      </c>
      <c r="AG44" s="196" t="s">
        <v>385</v>
      </c>
      <c r="AH44" s="191" t="s">
        <v>193</v>
      </c>
      <c r="AI44" s="208" t="str">
        <f>CONCATENATE(PAA[[#This Row],[Id Interno]],"-",PAA[[#This Row],[tipo de Contrato (TH talento humano - B/S bienes y/o servicios)]],"-",S44,"-",T44,"-",PAA[[#This Row],[Objeto de la contratación]])</f>
        <v>20260666-TH-8126-9-Prestar los servicios profesionales para apoyar las actividades propias de la gestión contractual a cargo de la Oficina Jurídica, en función de las necesidades identificadas por la entidad y con el propósito de garantizar el cumplimiento de su misionalidad.</v>
      </c>
    </row>
    <row r="45" spans="2:35" s="145" customFormat="1" ht="70" x14ac:dyDescent="0.35">
      <c r="B45" s="184">
        <v>20260667</v>
      </c>
      <c r="C45" s="185" t="s">
        <v>1016</v>
      </c>
      <c r="D45" s="184" t="s">
        <v>114</v>
      </c>
      <c r="E45" s="184" t="s">
        <v>402</v>
      </c>
      <c r="F45" s="184" t="s">
        <v>143</v>
      </c>
      <c r="G45" s="201" t="s">
        <v>376</v>
      </c>
      <c r="H45" s="202">
        <v>2</v>
      </c>
      <c r="I45" s="202">
        <v>26</v>
      </c>
      <c r="J45" s="234">
        <v>60000000</v>
      </c>
      <c r="K45" s="190" t="s">
        <v>398</v>
      </c>
      <c r="L45" s="186" t="s">
        <v>151</v>
      </c>
      <c r="M45" s="191" t="s">
        <v>401</v>
      </c>
      <c r="N45" s="184" t="s">
        <v>330</v>
      </c>
      <c r="O45" s="191" t="s">
        <v>945</v>
      </c>
      <c r="P45" s="191" t="s">
        <v>348</v>
      </c>
      <c r="Q45" s="193">
        <v>80111600</v>
      </c>
      <c r="R45" s="191" t="s">
        <v>335</v>
      </c>
      <c r="S45" s="236" t="str">
        <f>MID(PAA[[#This Row],[Meta Proyecto de Inversión]],1,4)</f>
        <v>N/A</v>
      </c>
      <c r="T45" s="236" t="str">
        <f>MID(PAA[[#This Row],[Meta Proyecto de Inversión]],6,1)</f>
        <v/>
      </c>
      <c r="U45" s="237" t="str">
        <f>IFERROR(VLOOKUP(N45,TD!$B$50:$F$54,2,0)," ")</f>
        <v>NA</v>
      </c>
      <c r="V45" s="237" t="str">
        <f>IFERROR(VLOOKUP(N45,TD!$B$50:$F$54,3,0)," ")</f>
        <v>NA</v>
      </c>
      <c r="W45" s="237" t="str">
        <f>IFERROR(VLOOKUP(N45,TD!$B$50:$F$54,4,0)," ")</f>
        <v>NA</v>
      </c>
      <c r="X45" s="191" t="s">
        <v>335</v>
      </c>
      <c r="Y45" s="194" t="str">
        <f>IFERROR(VLOOKUP(X45,TD!$J$51:$K$64,2,0)," ")</f>
        <v>N/A</v>
      </c>
      <c r="Z45" s="207" t="str">
        <f>CONCATENATE(X45,"-",Y45)</f>
        <v>N/A-N/A</v>
      </c>
      <c r="AA45" s="191" t="s">
        <v>335</v>
      </c>
      <c r="AB45" s="194" t="str">
        <f>IFERROR(VLOOKUP(AA45,TD!$N$51:$O$66,2,0)," ")</f>
        <v>N/A</v>
      </c>
      <c r="AC45" s="207" t="str">
        <f>CONCATENATE(AA45,"_",AB45)</f>
        <v>N/A_N/A</v>
      </c>
      <c r="AD45" s="207" t="str">
        <f>CONCATENATE(Z45," ",AC45)</f>
        <v>N/A-N/A N/A_N/A</v>
      </c>
      <c r="AE45" s="194" t="str">
        <f>CONCATENATE(U45,V45,W45,X45,AA45)</f>
        <v>NANANAN/AN/A</v>
      </c>
      <c r="AF45" s="194" t="str">
        <f>IFERROR(VLOOKUP(AD45,TD!$J$66:$K$89,2,0)," ")</f>
        <v>N/A</v>
      </c>
      <c r="AG45" s="196" t="s">
        <v>332</v>
      </c>
      <c r="AH45" s="191" t="s">
        <v>194</v>
      </c>
      <c r="AI45" s="238" t="str">
        <f>CONCATENATE(PAA[[#This Row],[Id Interno]],"-",PAA[[#This Row],[tipo de Contrato (TH talento humano - B/S bienes y/o servicios)]],"-",S45,"-",T45,"-",PAA[[#This Row],[Objeto de la contratación]])</f>
        <v>20260667-BS-N/A--Adición y prórroga al Contrato No. 363-2025 cuyo objeto es: Contratar los servicios de canales de datos dedicados para la UAE Cuerpo Oficial de Bomberos de Bogotá – TIC</v>
      </c>
    </row>
    <row r="46" spans="2:35" ht="56" x14ac:dyDescent="0.35">
      <c r="B46" s="184">
        <v>20260668</v>
      </c>
      <c r="C46" s="185" t="s">
        <v>1017</v>
      </c>
      <c r="D46" s="184" t="s">
        <v>78</v>
      </c>
      <c r="E46" s="184" t="s">
        <v>402</v>
      </c>
      <c r="F46" s="184" t="s">
        <v>101</v>
      </c>
      <c r="G46" s="201" t="s">
        <v>375</v>
      </c>
      <c r="H46" s="202">
        <v>12</v>
      </c>
      <c r="I46" s="202">
        <v>0</v>
      </c>
      <c r="J46" s="234">
        <v>1748139314</v>
      </c>
      <c r="K46" s="190" t="s">
        <v>398</v>
      </c>
      <c r="L46" s="186" t="s">
        <v>151</v>
      </c>
      <c r="M46" s="191" t="s">
        <v>401</v>
      </c>
      <c r="N46" s="184" t="s">
        <v>197</v>
      </c>
      <c r="O46" s="191" t="s">
        <v>945</v>
      </c>
      <c r="P46" s="191" t="s">
        <v>348</v>
      </c>
      <c r="Q46" s="193" t="s">
        <v>1018</v>
      </c>
      <c r="R46" s="191" t="s">
        <v>206</v>
      </c>
      <c r="S46" s="236" t="str">
        <f>MID(PAA[[#This Row],[Meta Proyecto de Inversión]],1,4)</f>
        <v>8126</v>
      </c>
      <c r="T46" s="236" t="str">
        <f>MID(PAA[[#This Row],[Meta Proyecto de Inversión]],6,1)</f>
        <v>7</v>
      </c>
      <c r="U46" s="237" t="str">
        <f>IFERROR(VLOOKUP(N46,TD!$B$50:$F$54,2,0)," ")</f>
        <v>O230117</v>
      </c>
      <c r="V46" s="237" t="str">
        <f>IFERROR(VLOOKUP(N46,TD!$B$50:$F$54,3,0)," ")</f>
        <v>4599</v>
      </c>
      <c r="W46" s="237">
        <f>IFERROR(VLOOKUP(N46,TD!$B$50:$F$54,4,0)," ")</f>
        <v>20240207</v>
      </c>
      <c r="X46" s="191" t="s">
        <v>168</v>
      </c>
      <c r="Y46" s="194" t="str">
        <f>IFERROR(VLOOKUP(X46,TD!$J$51:$K$64,2,0)," ")</f>
        <v>Infraestructura Tecnológica   (Sistemas de Información y Tecnologia)</v>
      </c>
      <c r="Z46" s="207" t="str">
        <f>CONCATENATE(X46,"-",Y46)</f>
        <v>11-Infraestructura Tecnológica   (Sistemas de Información y Tecnologia)</v>
      </c>
      <c r="AA46" s="191" t="s">
        <v>228</v>
      </c>
      <c r="AB46" s="194" t="str">
        <f>IFERROR(VLOOKUP(AA46,TD!$N$51:$O$66,2,0)," ")</f>
        <v>Servicios tecnológicos</v>
      </c>
      <c r="AC46" s="207" t="str">
        <f>CONCATENATE(AA46,"_",AB46)</f>
        <v>007_Servicios tecnológicos</v>
      </c>
      <c r="AD46" s="207" t="str">
        <f>CONCATENATE(Z46," ",AC46)</f>
        <v>11-Infraestructura Tecnológica   (Sistemas de Información y Tecnologia) 007_Servicios tecnológicos</v>
      </c>
      <c r="AE46" s="194" t="str">
        <f>CONCATENATE(U46,V46,W46,X46,AA46)</f>
        <v>O23011745992024020711007</v>
      </c>
      <c r="AF46" s="194" t="str">
        <f>IFERROR(VLOOKUP(AD46,TD!$J$66:$K$89,2,0)," ")</f>
        <v>PM/0131/0111/45990070207</v>
      </c>
      <c r="AG46" s="196" t="s">
        <v>116</v>
      </c>
      <c r="AH46" s="191" t="s">
        <v>193</v>
      </c>
      <c r="AI46" s="238" t="str">
        <f>CONCATENATE(PAA[[#This Row],[Id Interno]],"-",PAA[[#This Row],[tipo de Contrato (TH talento humano - B/S bienes y/o servicios)]],"-",S46,"-",T46,"-",PAA[[#This Row],[Objeto de la contratación]])</f>
        <v>20260668-BS-8126-7-Contratar la adquisición, renovación, implementación y soporte técnico de soluciones integrales de infraestructura tecnológica, seguridad perimetral, gestión de servicios TI y continuidad del negocio (Cloud &amp; Backup) para la Unidad Administrativa Especial Cuerpo Oficial de Bomberos de Bogotá</v>
      </c>
    </row>
    <row r="47" spans="2:35" ht="56" x14ac:dyDescent="0.35">
      <c r="B47" s="184">
        <v>20260669</v>
      </c>
      <c r="C47" s="185" t="s">
        <v>1019</v>
      </c>
      <c r="D47" s="184" t="s">
        <v>119</v>
      </c>
      <c r="E47" s="184" t="s">
        <v>402</v>
      </c>
      <c r="F47" s="184" t="s">
        <v>89</v>
      </c>
      <c r="G47" s="201" t="s">
        <v>375</v>
      </c>
      <c r="H47" s="202">
        <v>1</v>
      </c>
      <c r="I47" s="202">
        <v>0</v>
      </c>
      <c r="J47" s="234">
        <v>3212500</v>
      </c>
      <c r="K47" s="190" t="s">
        <v>398</v>
      </c>
      <c r="L47" s="186" t="s">
        <v>151</v>
      </c>
      <c r="M47" s="191" t="s">
        <v>401</v>
      </c>
      <c r="N47" s="184" t="s">
        <v>197</v>
      </c>
      <c r="O47" s="191" t="s">
        <v>945</v>
      </c>
      <c r="P47" s="191" t="s">
        <v>162</v>
      </c>
      <c r="Q47" s="193" t="s">
        <v>335</v>
      </c>
      <c r="R47" s="191" t="s">
        <v>204</v>
      </c>
      <c r="S47" s="236" t="str">
        <f>MID(PAA[[#This Row],[Meta Proyecto de Inversión]],1,4)</f>
        <v>8126</v>
      </c>
      <c r="T47" s="236" t="str">
        <f>MID(PAA[[#This Row],[Meta Proyecto de Inversión]],6,1)</f>
        <v>5</v>
      </c>
      <c r="U47" s="237" t="str">
        <f>IFERROR(VLOOKUP(N47,TD!$B$50:$F$54,2,0)," ")</f>
        <v>O230117</v>
      </c>
      <c r="V47" s="237" t="str">
        <f>IFERROR(VLOOKUP(N47,TD!$B$50:$F$54,3,0)," ")</f>
        <v>4599</v>
      </c>
      <c r="W47" s="237">
        <f>IFERROR(VLOOKUP(N47,TD!$B$50:$F$54,4,0)," ")</f>
        <v>20240207</v>
      </c>
      <c r="X47" s="191" t="s">
        <v>168</v>
      </c>
      <c r="Y47" s="194" t="str">
        <f>IFERROR(VLOOKUP(X47,TD!$J$51:$K$64,2,0)," ")</f>
        <v>Infraestructura Tecnológica   (Sistemas de Información y Tecnologia)</v>
      </c>
      <c r="Z47" s="207" t="str">
        <f>CONCATENATE(X47,"-",Y47)</f>
        <v>11-Infraestructura Tecnológica   (Sistemas de Información y Tecnologia)</v>
      </c>
      <c r="AA47" s="191" t="s">
        <v>228</v>
      </c>
      <c r="AB47" s="194" t="str">
        <f>IFERROR(VLOOKUP(AA47,TD!$N$51:$O$66,2,0)," ")</f>
        <v>Servicios tecnológicos</v>
      </c>
      <c r="AC47" s="207" t="str">
        <f>CONCATENATE(AA47,"_",AB47)</f>
        <v>007_Servicios tecnológicos</v>
      </c>
      <c r="AD47" s="207" t="str">
        <f>CONCATENATE(Z47," ",AC47)</f>
        <v>11-Infraestructura Tecnológica   (Sistemas de Información y Tecnologia) 007_Servicios tecnológicos</v>
      </c>
      <c r="AE47" s="194" t="str">
        <f>CONCATENATE(U47,V47,W47,X47,AA47)</f>
        <v>O23011745992024020711007</v>
      </c>
      <c r="AF47" s="194" t="str">
        <f>IFERROR(VLOOKUP(AD47,TD!$J$66:$K$89,2,0)," ")</f>
        <v>PM/0131/0111/45990070207</v>
      </c>
      <c r="AG47" s="196" t="s">
        <v>385</v>
      </c>
      <c r="AH47" s="191" t="s">
        <v>194</v>
      </c>
      <c r="AI47" s="238" t="str">
        <f>CONCATENATE(PAA[[#This Row],[Id Interno]],"-",PAA[[#This Row],[tipo de Contrato (TH talento humano - B/S bienes y/o servicios)]],"-",S47,"-",T47,"-",PAA[[#This Row],[Objeto de la contratación]])</f>
        <v>20260669-BS-8126-5-Pago pasivo contrato 815 de 2024 cuyo objeto es: "Contratar el servicio de soporte y mantenimiento del sistema de control de acceso para los visitantes y los funcionarios de la U.A.E. Cuerpo Oficial Bomberos de Bogotá", Otro Si No. 01 de 2025.</v>
      </c>
    </row>
    <row r="48" spans="2:35" ht="70" x14ac:dyDescent="0.35">
      <c r="B48" s="23">
        <v>20260002</v>
      </c>
      <c r="C48" s="99" t="s">
        <v>578</v>
      </c>
      <c r="D48" s="23" t="s">
        <v>105</v>
      </c>
      <c r="E48" s="23" t="s">
        <v>363</v>
      </c>
      <c r="F48" s="159" t="s">
        <v>144</v>
      </c>
      <c r="G48" s="160" t="s">
        <v>373</v>
      </c>
      <c r="H48" s="161">
        <v>6</v>
      </c>
      <c r="I48" s="161">
        <v>0</v>
      </c>
      <c r="J48" s="150">
        <v>45000000</v>
      </c>
      <c r="K48" s="88" t="s">
        <v>398</v>
      </c>
      <c r="L48" s="159" t="s">
        <v>151</v>
      </c>
      <c r="M48" s="162" t="s">
        <v>401</v>
      </c>
      <c r="N48" s="23" t="s">
        <v>197</v>
      </c>
      <c r="O48" s="151" t="s">
        <v>945</v>
      </c>
      <c r="P48" s="159" t="s">
        <v>348</v>
      </c>
      <c r="Q48" s="53">
        <v>80111600</v>
      </c>
      <c r="R48" s="162" t="s">
        <v>204</v>
      </c>
      <c r="S48" s="162" t="str">
        <f>MID(PAA[[#This Row],[Meta Proyecto de Inversión]],1,4)</f>
        <v>8126</v>
      </c>
      <c r="T48" s="162" t="str">
        <f>MID(PAA[[#This Row],[Meta Proyecto de Inversión]],6,1)</f>
        <v>5</v>
      </c>
      <c r="U48" s="163" t="str">
        <f>IFERROR(VLOOKUP(N48,TD!$B$50:$F$54,2,0)," ")</f>
        <v>O230117</v>
      </c>
      <c r="V48" s="163" t="str">
        <f>IFERROR(VLOOKUP(N48,TD!$B$50:$F$54,3,0)," ")</f>
        <v>4599</v>
      </c>
      <c r="W48" s="163">
        <f>IFERROR(VLOOKUP(N48,TD!$B$50:$F$54,4,0)," ")</f>
        <v>20240207</v>
      </c>
      <c r="X48" s="162" t="s">
        <v>168</v>
      </c>
      <c r="Y48" s="163" t="str">
        <f>IFERROR(VLOOKUP(X48,TD!$J$51:$K$64,2,0)," ")</f>
        <v>Infraestructura Tecnológica   (Sistemas de Información y Tecnologia)</v>
      </c>
      <c r="Z48" s="164" t="str">
        <f>CONCATENATE(X48,"-",Y48)</f>
        <v>11-Infraestructura Tecnológica   (Sistemas de Información y Tecnologia)</v>
      </c>
      <c r="AA48" s="162" t="s">
        <v>228</v>
      </c>
      <c r="AB48" s="163" t="str">
        <f>IFERROR(VLOOKUP(AA48,TD!$N$51:$O$66,2,0)," ")</f>
        <v>Servicios tecnológicos</v>
      </c>
      <c r="AC48" s="164" t="str">
        <f>CONCATENATE(AA48,"_",AB48)</f>
        <v>007_Servicios tecnológicos</v>
      </c>
      <c r="AD48" s="164" t="str">
        <f>CONCATENATE(Z48," ",AC48)</f>
        <v>11-Infraestructura Tecnológica   (Sistemas de Información y Tecnologia) 007_Servicios tecnológicos</v>
      </c>
      <c r="AE48" s="163" t="str">
        <f>CONCATENATE(U48,V48,W48,X48,AA48)</f>
        <v>O23011745992024020711007</v>
      </c>
      <c r="AF48" s="163" t="str">
        <f>IFERROR(VLOOKUP(AD48,TD!$J$66:$K$89,2,0)," ")</f>
        <v>PM/0131/0111/45990070207</v>
      </c>
      <c r="AG48" s="118" t="s">
        <v>385</v>
      </c>
      <c r="AH48" s="162" t="s">
        <v>193</v>
      </c>
      <c r="AI48" s="165" t="str">
        <f>CONCATENATE(PAA[[#This Row],[Id Interno]],"-",PAA[[#This Row],[tipo de Contrato (TH talento humano - B/S bienes y/o servicios)]],"-",S48,"-",T48,"-",PAA[[#This Row],[Objeto de la contratación]])</f>
        <v>20260002-TH-8126-5-Brindar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v>
      </c>
    </row>
    <row r="49" spans="2:35" ht="70" x14ac:dyDescent="0.35">
      <c r="B49" s="23">
        <v>20260003</v>
      </c>
      <c r="C49" s="99" t="s">
        <v>579</v>
      </c>
      <c r="D49" s="23" t="s">
        <v>105</v>
      </c>
      <c r="E49" s="23" t="s">
        <v>363</v>
      </c>
      <c r="F49" s="159" t="s">
        <v>144</v>
      </c>
      <c r="G49" s="160" t="s">
        <v>373</v>
      </c>
      <c r="H49" s="161">
        <v>6</v>
      </c>
      <c r="I49" s="161">
        <v>0</v>
      </c>
      <c r="J49" s="150">
        <v>33000000</v>
      </c>
      <c r="K49" s="88" t="s">
        <v>398</v>
      </c>
      <c r="L49" s="159" t="s">
        <v>151</v>
      </c>
      <c r="M49" s="162" t="s">
        <v>401</v>
      </c>
      <c r="N49" s="23" t="s">
        <v>197</v>
      </c>
      <c r="O49" s="151" t="s">
        <v>945</v>
      </c>
      <c r="P49" s="159" t="s">
        <v>348</v>
      </c>
      <c r="Q49" s="53">
        <v>80111600</v>
      </c>
      <c r="R49" s="162" t="s">
        <v>203</v>
      </c>
      <c r="S49" s="162" t="str">
        <f>MID(PAA[[#This Row],[Meta Proyecto de Inversión]],1,4)</f>
        <v>8126</v>
      </c>
      <c r="T49" s="162" t="str">
        <f>MID(PAA[[#This Row],[Meta Proyecto de Inversión]],6,1)</f>
        <v>4</v>
      </c>
      <c r="U49" s="163" t="str">
        <f>IFERROR(VLOOKUP(N49,TD!$B$50:$F$54,2,0)," ")</f>
        <v>O230117</v>
      </c>
      <c r="V49" s="163" t="str">
        <f>IFERROR(VLOOKUP(N49,TD!$B$50:$F$54,3,0)," ")</f>
        <v>4599</v>
      </c>
      <c r="W49" s="163">
        <f>IFERROR(VLOOKUP(N49,TD!$B$50:$F$54,4,0)," ")</f>
        <v>20240207</v>
      </c>
      <c r="X49" s="162" t="s">
        <v>168</v>
      </c>
      <c r="Y49" s="163" t="str">
        <f>IFERROR(VLOOKUP(X49,TD!$J$51:$K$64,2,0)," ")</f>
        <v>Infraestructura Tecnológica   (Sistemas de Información y Tecnologia)</v>
      </c>
      <c r="Z49" s="164" t="str">
        <f>CONCATENATE(X49,"-",Y49)</f>
        <v>11-Infraestructura Tecnológica   (Sistemas de Información y Tecnologia)</v>
      </c>
      <c r="AA49" s="162" t="s">
        <v>228</v>
      </c>
      <c r="AB49" s="163" t="str">
        <f>IFERROR(VLOOKUP(AA49,TD!$N$51:$O$66,2,0)," ")</f>
        <v>Servicios tecnológicos</v>
      </c>
      <c r="AC49" s="164" t="str">
        <f>CONCATENATE(AA49,"_",AB49)</f>
        <v>007_Servicios tecnológicos</v>
      </c>
      <c r="AD49" s="164" t="str">
        <f>CONCATENATE(Z49," ",AC49)</f>
        <v>11-Infraestructura Tecnológica   (Sistemas de Información y Tecnologia) 007_Servicios tecnológicos</v>
      </c>
      <c r="AE49" s="163" t="str">
        <f>CONCATENATE(U49,V49,W49,X49,AA49)</f>
        <v>O23011745992024020711007</v>
      </c>
      <c r="AF49" s="163" t="str">
        <f>IFERROR(VLOOKUP(AD49,TD!$J$66:$K$89,2,0)," ")</f>
        <v>PM/0131/0111/45990070207</v>
      </c>
      <c r="AG49" s="118" t="s">
        <v>385</v>
      </c>
      <c r="AH49" s="162" t="s">
        <v>193</v>
      </c>
      <c r="AI49" s="165" t="str">
        <f>CONCATENATE(PAA[[#This Row],[Id Interno]],"-",PAA[[#This Row],[tipo de Contrato (TH talento humano - B/S bienes y/o servicios)]],"-",S49,"-",T49,"-",PAA[[#This Row],[Objeto de la contratación]])</f>
        <v>20260003-TH-8126-4-Prestar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v>
      </c>
    </row>
    <row r="50" spans="2:35" ht="42" x14ac:dyDescent="0.35">
      <c r="B50" s="23">
        <v>20260004</v>
      </c>
      <c r="C50" s="121" t="s">
        <v>580</v>
      </c>
      <c r="D50" s="23" t="s">
        <v>105</v>
      </c>
      <c r="E50" s="23" t="s">
        <v>363</v>
      </c>
      <c r="F50" s="159" t="s">
        <v>144</v>
      </c>
      <c r="G50" s="160" t="s">
        <v>373</v>
      </c>
      <c r="H50" s="161">
        <v>6</v>
      </c>
      <c r="I50" s="161">
        <v>0</v>
      </c>
      <c r="J50" s="150">
        <v>57000000</v>
      </c>
      <c r="K50" s="88" t="s">
        <v>398</v>
      </c>
      <c r="L50" s="159" t="s">
        <v>151</v>
      </c>
      <c r="M50" s="162" t="s">
        <v>401</v>
      </c>
      <c r="N50" s="23" t="s">
        <v>197</v>
      </c>
      <c r="O50" s="151" t="s">
        <v>945</v>
      </c>
      <c r="P50" s="159" t="s">
        <v>348</v>
      </c>
      <c r="Q50" s="53">
        <v>80111600</v>
      </c>
      <c r="R50" s="162" t="s">
        <v>203</v>
      </c>
      <c r="S50" s="162" t="str">
        <f>MID(PAA[[#This Row],[Meta Proyecto de Inversión]],1,4)</f>
        <v>8126</v>
      </c>
      <c r="T50" s="162" t="str">
        <f>MID(PAA[[#This Row],[Meta Proyecto de Inversión]],6,1)</f>
        <v>4</v>
      </c>
      <c r="U50" s="163" t="str">
        <f>IFERROR(VLOOKUP(N50,TD!$B$50:$F$54,2,0)," ")</f>
        <v>O230117</v>
      </c>
      <c r="V50" s="163" t="str">
        <f>IFERROR(VLOOKUP(N50,TD!$B$50:$F$54,3,0)," ")</f>
        <v>4599</v>
      </c>
      <c r="W50" s="163">
        <f>IFERROR(VLOOKUP(N50,TD!$B$50:$F$54,4,0)," ")</f>
        <v>20240207</v>
      </c>
      <c r="X50" s="162" t="s">
        <v>168</v>
      </c>
      <c r="Y50" s="163" t="str">
        <f>IFERROR(VLOOKUP(X50,TD!$J$51:$K$64,2,0)," ")</f>
        <v>Infraestructura Tecnológica   (Sistemas de Información y Tecnologia)</v>
      </c>
      <c r="Z50" s="164" t="str">
        <f>CONCATENATE(X50,"-",Y50)</f>
        <v>11-Infraestructura Tecnológica   (Sistemas de Información y Tecnologia)</v>
      </c>
      <c r="AA50" s="162" t="s">
        <v>228</v>
      </c>
      <c r="AB50" s="163" t="str">
        <f>IFERROR(VLOOKUP(AA50,TD!$N$51:$O$66,2,0)," ")</f>
        <v>Servicios tecnológicos</v>
      </c>
      <c r="AC50" s="164" t="str">
        <f>CONCATENATE(AA50,"_",AB50)</f>
        <v>007_Servicios tecnológicos</v>
      </c>
      <c r="AD50" s="164" t="str">
        <f>CONCATENATE(Z50," ",AC50)</f>
        <v>11-Infraestructura Tecnológica   (Sistemas de Información y Tecnologia) 007_Servicios tecnológicos</v>
      </c>
      <c r="AE50" s="163" t="str">
        <f>CONCATENATE(U50,V50,W50,X50,AA50)</f>
        <v>O23011745992024020711007</v>
      </c>
      <c r="AF50" s="163" t="str">
        <f>IFERROR(VLOOKUP(AD50,TD!$J$66:$K$89,2,0)," ")</f>
        <v>PM/0131/0111/45990070207</v>
      </c>
      <c r="AG50" s="118" t="s">
        <v>385</v>
      </c>
      <c r="AH50" s="162" t="s">
        <v>193</v>
      </c>
      <c r="AI50" s="165" t="str">
        <f>CONCATENATE(PAA[[#This Row],[Id Interno]],"-",PAA[[#This Row],[tipo de Contrato (TH talento humano - B/S bienes y/o servicios)]],"-",S50,"-",T50,"-",PAA[[#This Row],[Objeto de la contratación]])</f>
        <v>20260004-TH-8126-4-Prestar los servicios profesionales para realizar las actividades tendientes a soportar el Sistema Integrado de Administración de Personal - SIAP  a cargo del área de Tecnologías de la Información y las Comunicaciones de la U.A.E. Cuerpo Oficial de Bomberos Bogotá</v>
      </c>
    </row>
    <row r="51" spans="2:35" ht="56" x14ac:dyDescent="0.35">
      <c r="B51" s="23">
        <v>20260005</v>
      </c>
      <c r="C51" s="99" t="s">
        <v>581</v>
      </c>
      <c r="D51" s="23" t="s">
        <v>105</v>
      </c>
      <c r="E51" s="23" t="s">
        <v>363</v>
      </c>
      <c r="F51" s="159" t="s">
        <v>144</v>
      </c>
      <c r="G51" s="160" t="s">
        <v>373</v>
      </c>
      <c r="H51" s="161">
        <v>12</v>
      </c>
      <c r="I51" s="161">
        <v>0</v>
      </c>
      <c r="J51" s="150">
        <v>93600000</v>
      </c>
      <c r="K51" s="88" t="s">
        <v>398</v>
      </c>
      <c r="L51" s="159" t="s">
        <v>151</v>
      </c>
      <c r="M51" s="162" t="s">
        <v>401</v>
      </c>
      <c r="N51" s="23" t="s">
        <v>197</v>
      </c>
      <c r="O51" s="151" t="s">
        <v>945</v>
      </c>
      <c r="P51" s="159" t="s">
        <v>348</v>
      </c>
      <c r="Q51" s="53">
        <v>80111600</v>
      </c>
      <c r="R51" s="162" t="s">
        <v>204</v>
      </c>
      <c r="S51" s="162" t="str">
        <f>MID(PAA[[#This Row],[Meta Proyecto de Inversión]],1,4)</f>
        <v>8126</v>
      </c>
      <c r="T51" s="162" t="str">
        <f>MID(PAA[[#This Row],[Meta Proyecto de Inversión]],6,1)</f>
        <v>5</v>
      </c>
      <c r="U51" s="163" t="str">
        <f>IFERROR(VLOOKUP(N51,TD!$B$50:$F$54,2,0)," ")</f>
        <v>O230117</v>
      </c>
      <c r="V51" s="163" t="str">
        <f>IFERROR(VLOOKUP(N51,TD!$B$50:$F$54,3,0)," ")</f>
        <v>4599</v>
      </c>
      <c r="W51" s="163">
        <f>IFERROR(VLOOKUP(N51,TD!$B$50:$F$54,4,0)," ")</f>
        <v>20240207</v>
      </c>
      <c r="X51" s="162" t="s">
        <v>168</v>
      </c>
      <c r="Y51" s="163" t="str">
        <f>IFERROR(VLOOKUP(X51,TD!$J$51:$K$64,2,0)," ")</f>
        <v>Infraestructura Tecnológica   (Sistemas de Información y Tecnologia)</v>
      </c>
      <c r="Z51" s="164" t="str">
        <f>CONCATENATE(X51,"-",Y51)</f>
        <v>11-Infraestructura Tecnológica   (Sistemas de Información y Tecnologia)</v>
      </c>
      <c r="AA51" s="162" t="s">
        <v>228</v>
      </c>
      <c r="AB51" s="163" t="str">
        <f>IFERROR(VLOOKUP(AA51,TD!$N$51:$O$66,2,0)," ")</f>
        <v>Servicios tecnológicos</v>
      </c>
      <c r="AC51" s="164" t="str">
        <f>CONCATENATE(AA51,"_",AB51)</f>
        <v>007_Servicios tecnológicos</v>
      </c>
      <c r="AD51" s="164" t="str">
        <f>CONCATENATE(Z51," ",AC51)</f>
        <v>11-Infraestructura Tecnológica   (Sistemas de Información y Tecnologia) 007_Servicios tecnológicos</v>
      </c>
      <c r="AE51" s="163" t="str">
        <f>CONCATENATE(U51,V51,W51,X51,AA51)</f>
        <v>O23011745992024020711007</v>
      </c>
      <c r="AF51" s="163" t="str">
        <f>IFERROR(VLOOKUP(AD51,TD!$J$66:$K$89,2,0)," ")</f>
        <v>PM/0131/0111/45990070207</v>
      </c>
      <c r="AG51" s="118" t="s">
        <v>385</v>
      </c>
      <c r="AH51" s="162" t="s">
        <v>193</v>
      </c>
      <c r="AI51" s="165" t="str">
        <f>CONCATENATE(PAA[[#This Row],[Id Interno]],"-",PAA[[#This Row],[tipo de Contrato (TH talento humano - B/S bienes y/o servicios)]],"-",S51,"-",T51,"-",PAA[[#This Row],[Objeto de la contratación]])</f>
        <v>20260005-TH-8126-5-Prestar servicios profesionales apoyando los lineamientos tecnológicos necesarios  para la administración y gestión de los servicios desarrollados por el  área de Tecnologías de la Información y las Comunicaciones de la U.A.E. Cuerpo Oficial de Bomberos Bogotá.</v>
      </c>
    </row>
    <row r="52" spans="2:35" ht="56" x14ac:dyDescent="0.35">
      <c r="B52" s="23">
        <v>20260006</v>
      </c>
      <c r="C52" s="99" t="s">
        <v>582</v>
      </c>
      <c r="D52" s="23" t="s">
        <v>105</v>
      </c>
      <c r="E52" s="23" t="s">
        <v>363</v>
      </c>
      <c r="F52" s="159" t="s">
        <v>144</v>
      </c>
      <c r="G52" s="160" t="s">
        <v>373</v>
      </c>
      <c r="H52" s="161">
        <v>10</v>
      </c>
      <c r="I52" s="161">
        <v>0</v>
      </c>
      <c r="J52" s="150">
        <v>78000000</v>
      </c>
      <c r="K52" s="88" t="s">
        <v>398</v>
      </c>
      <c r="L52" s="159" t="s">
        <v>151</v>
      </c>
      <c r="M52" s="162" t="s">
        <v>401</v>
      </c>
      <c r="N52" s="23" t="s">
        <v>197</v>
      </c>
      <c r="O52" s="151" t="s">
        <v>945</v>
      </c>
      <c r="P52" s="159" t="s">
        <v>348</v>
      </c>
      <c r="Q52" s="53">
        <v>80111600</v>
      </c>
      <c r="R52" s="162" t="s">
        <v>204</v>
      </c>
      <c r="S52" s="162" t="str">
        <f>MID(PAA[[#This Row],[Meta Proyecto de Inversión]],1,4)</f>
        <v>8126</v>
      </c>
      <c r="T52" s="162" t="str">
        <f>MID(PAA[[#This Row],[Meta Proyecto de Inversión]],6,1)</f>
        <v>5</v>
      </c>
      <c r="U52" s="163" t="str">
        <f>IFERROR(VLOOKUP(N52,TD!$B$50:$F$54,2,0)," ")</f>
        <v>O230117</v>
      </c>
      <c r="V52" s="163" t="str">
        <f>IFERROR(VLOOKUP(N52,TD!$B$50:$F$54,3,0)," ")</f>
        <v>4599</v>
      </c>
      <c r="W52" s="163">
        <f>IFERROR(VLOOKUP(N52,TD!$B$50:$F$54,4,0)," ")</f>
        <v>20240207</v>
      </c>
      <c r="X52" s="162" t="s">
        <v>168</v>
      </c>
      <c r="Y52" s="163" t="str">
        <f>IFERROR(VLOOKUP(X52,TD!$J$51:$K$64,2,0)," ")</f>
        <v>Infraestructura Tecnológica   (Sistemas de Información y Tecnologia)</v>
      </c>
      <c r="Z52" s="164" t="str">
        <f>CONCATENATE(X52,"-",Y52)</f>
        <v>11-Infraestructura Tecnológica   (Sistemas de Información y Tecnologia)</v>
      </c>
      <c r="AA52" s="162" t="s">
        <v>228</v>
      </c>
      <c r="AB52" s="163" t="str">
        <f>IFERROR(VLOOKUP(AA52,TD!$N$51:$O$66,2,0)," ")</f>
        <v>Servicios tecnológicos</v>
      </c>
      <c r="AC52" s="164" t="str">
        <f>CONCATENATE(AA52,"_",AB52)</f>
        <v>007_Servicios tecnológicos</v>
      </c>
      <c r="AD52" s="164" t="str">
        <f>CONCATENATE(Z52," ",AC52)</f>
        <v>11-Infraestructura Tecnológica   (Sistemas de Información y Tecnologia) 007_Servicios tecnológicos</v>
      </c>
      <c r="AE52" s="163" t="str">
        <f>CONCATENATE(U52,V52,W52,X52,AA52)</f>
        <v>O23011745992024020711007</v>
      </c>
      <c r="AF52" s="163" t="str">
        <f>IFERROR(VLOOKUP(AD52,TD!$J$66:$K$89,2,0)," ")</f>
        <v>PM/0131/0111/45990070207</v>
      </c>
      <c r="AG52" s="118" t="s">
        <v>385</v>
      </c>
      <c r="AH52" s="162" t="s">
        <v>193</v>
      </c>
      <c r="AI52" s="165" t="str">
        <f>CONCATENATE(PAA[[#This Row],[Id Interno]],"-",PAA[[#This Row],[tipo de Contrato (TH talento humano - B/S bienes y/o servicios)]],"-",S52,"-",T52,"-",PAA[[#This Row],[Objeto de la contratación]])</f>
        <v>20260006-TH-8126-5-Prestar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v>
      </c>
    </row>
    <row r="53" spans="2:35" ht="42" x14ac:dyDescent="0.35">
      <c r="B53" s="23">
        <v>20260008</v>
      </c>
      <c r="C53" s="99" t="s">
        <v>584</v>
      </c>
      <c r="D53" s="23" t="s">
        <v>105</v>
      </c>
      <c r="E53" s="23" t="s">
        <v>363</v>
      </c>
      <c r="F53" s="159" t="s">
        <v>145</v>
      </c>
      <c r="G53" s="160" t="s">
        <v>374</v>
      </c>
      <c r="H53" s="161">
        <v>10</v>
      </c>
      <c r="I53" s="161">
        <v>0</v>
      </c>
      <c r="J53" s="150">
        <v>40000000</v>
      </c>
      <c r="K53" s="88" t="s">
        <v>398</v>
      </c>
      <c r="L53" s="159" t="s">
        <v>151</v>
      </c>
      <c r="M53" s="162" t="s">
        <v>401</v>
      </c>
      <c r="N53" s="23" t="s">
        <v>197</v>
      </c>
      <c r="O53" s="151" t="s">
        <v>945</v>
      </c>
      <c r="P53" s="159" t="s">
        <v>348</v>
      </c>
      <c r="Q53" s="53">
        <v>80111600</v>
      </c>
      <c r="R53" s="162" t="s">
        <v>204</v>
      </c>
      <c r="S53" s="162" t="str">
        <f>MID(PAA[[#This Row],[Meta Proyecto de Inversión]],1,4)</f>
        <v>8126</v>
      </c>
      <c r="T53" s="162" t="str">
        <f>MID(PAA[[#This Row],[Meta Proyecto de Inversión]],6,1)</f>
        <v>5</v>
      </c>
      <c r="U53" s="163" t="str">
        <f>IFERROR(VLOOKUP(N53,TD!$B$50:$F$54,2,0)," ")</f>
        <v>O230117</v>
      </c>
      <c r="V53" s="163" t="str">
        <f>IFERROR(VLOOKUP(N53,TD!$B$50:$F$54,3,0)," ")</f>
        <v>4599</v>
      </c>
      <c r="W53" s="163">
        <f>IFERROR(VLOOKUP(N53,TD!$B$50:$F$54,4,0)," ")</f>
        <v>20240207</v>
      </c>
      <c r="X53" s="162" t="s">
        <v>168</v>
      </c>
      <c r="Y53" s="163" t="str">
        <f>IFERROR(VLOOKUP(X53,TD!$J$51:$K$64,2,0)," ")</f>
        <v>Infraestructura Tecnológica   (Sistemas de Información y Tecnologia)</v>
      </c>
      <c r="Z53" s="164" t="str">
        <f>CONCATENATE(X53,"-",Y53)</f>
        <v>11-Infraestructura Tecnológica   (Sistemas de Información y Tecnologia)</v>
      </c>
      <c r="AA53" s="162" t="s">
        <v>228</v>
      </c>
      <c r="AB53" s="163" t="str">
        <f>IFERROR(VLOOKUP(AA53,TD!$N$51:$O$66,2,0)," ")</f>
        <v>Servicios tecnológicos</v>
      </c>
      <c r="AC53" s="164" t="str">
        <f>CONCATENATE(AA53,"_",AB53)</f>
        <v>007_Servicios tecnológicos</v>
      </c>
      <c r="AD53" s="164" t="str">
        <f>CONCATENATE(Z53," ",AC53)</f>
        <v>11-Infraestructura Tecnológica   (Sistemas de Información y Tecnologia) 007_Servicios tecnológicos</v>
      </c>
      <c r="AE53" s="163" t="str">
        <f>CONCATENATE(U53,V53,W53,X53,AA53)</f>
        <v>O23011745992024020711007</v>
      </c>
      <c r="AF53" s="163" t="str">
        <f>IFERROR(VLOOKUP(AD53,TD!$J$66:$K$89,2,0)," ")</f>
        <v>PM/0131/0111/45990070207</v>
      </c>
      <c r="AG53" s="118" t="s">
        <v>385</v>
      </c>
      <c r="AH53" s="162" t="s">
        <v>193</v>
      </c>
      <c r="AI53" s="165" t="str">
        <f>CONCATENATE(PAA[[#This Row],[Id Interno]],"-",PAA[[#This Row],[tipo de Contrato (TH talento humano - B/S bienes y/o servicios)]],"-",S53,"-",T53,"-",PAA[[#This Row],[Objeto de la contratación]])</f>
        <v>20260008-TH-8126-5-Prestar los servicios de apoyo a la gestión para desarrollar actividades de soporte técnico nivel (1 y 2) que requiera el área de Tecnologías de la Información y las Comunicaciones de la U.A.E. Cuerpo Oficial de Bomberos Bogotá</v>
      </c>
    </row>
    <row r="54" spans="2:35" ht="56" x14ac:dyDescent="0.35">
      <c r="B54" s="23">
        <v>20260009</v>
      </c>
      <c r="C54" s="99" t="s">
        <v>584</v>
      </c>
      <c r="D54" s="23" t="s">
        <v>105</v>
      </c>
      <c r="E54" s="23" t="s">
        <v>363</v>
      </c>
      <c r="F54" s="159" t="s">
        <v>145</v>
      </c>
      <c r="G54" s="160" t="s">
        <v>373</v>
      </c>
      <c r="H54" s="161">
        <v>6</v>
      </c>
      <c r="I54" s="161">
        <v>0</v>
      </c>
      <c r="J54" s="150">
        <v>24000000</v>
      </c>
      <c r="K54" s="88" t="s">
        <v>398</v>
      </c>
      <c r="L54" s="159" t="s">
        <v>151</v>
      </c>
      <c r="M54" s="162" t="s">
        <v>401</v>
      </c>
      <c r="N54" s="23" t="s">
        <v>197</v>
      </c>
      <c r="O54" s="151" t="s">
        <v>945</v>
      </c>
      <c r="P54" s="159" t="s">
        <v>348</v>
      </c>
      <c r="Q54" s="53">
        <v>80111600</v>
      </c>
      <c r="R54" s="162" t="s">
        <v>204</v>
      </c>
      <c r="S54" s="162" t="str">
        <f>MID(PAA[[#This Row],[Meta Proyecto de Inversión]],1,4)</f>
        <v>8126</v>
      </c>
      <c r="T54" s="162" t="str">
        <f>MID(PAA[[#This Row],[Meta Proyecto de Inversión]],6,1)</f>
        <v>5</v>
      </c>
      <c r="U54" s="163" t="str">
        <f>IFERROR(VLOOKUP(N54,TD!$B$50:$F$54,2,0)," ")</f>
        <v>O230117</v>
      </c>
      <c r="V54" s="163" t="str">
        <f>IFERROR(VLOOKUP(N54,TD!$B$50:$F$54,3,0)," ")</f>
        <v>4599</v>
      </c>
      <c r="W54" s="163">
        <f>IFERROR(VLOOKUP(N54,TD!$B$50:$F$54,4,0)," ")</f>
        <v>20240207</v>
      </c>
      <c r="X54" s="162" t="s">
        <v>168</v>
      </c>
      <c r="Y54" s="163" t="str">
        <f>IFERROR(VLOOKUP(X54,TD!$J$51:$K$64,2,0)," ")</f>
        <v>Infraestructura Tecnológica   (Sistemas de Información y Tecnologia)</v>
      </c>
      <c r="Z54" s="164" t="str">
        <f>CONCATENATE(X54,"-",Y54)</f>
        <v>11-Infraestructura Tecnológica   (Sistemas de Información y Tecnologia)</v>
      </c>
      <c r="AA54" s="162" t="s">
        <v>228</v>
      </c>
      <c r="AB54" s="163" t="str">
        <f>IFERROR(VLOOKUP(AA54,TD!$N$51:$O$66,2,0)," ")</f>
        <v>Servicios tecnológicos</v>
      </c>
      <c r="AC54" s="164" t="str">
        <f>CONCATENATE(AA54,"_",AB54)</f>
        <v>007_Servicios tecnológicos</v>
      </c>
      <c r="AD54" s="164" t="str">
        <f>CONCATENATE(Z54," ",AC54)</f>
        <v>11-Infraestructura Tecnológica   (Sistemas de Información y Tecnologia) 007_Servicios tecnológicos</v>
      </c>
      <c r="AE54" s="163" t="str">
        <f>CONCATENATE(U54,V54,W54,X54,AA54)</f>
        <v>O23011745992024020711007</v>
      </c>
      <c r="AF54" s="163" t="str">
        <f>IFERROR(VLOOKUP(AD54,TD!$J$66:$K$89,2,0)," ")</f>
        <v>PM/0131/0111/45990070207</v>
      </c>
      <c r="AG54" s="118" t="s">
        <v>385</v>
      </c>
      <c r="AH54" s="162" t="s">
        <v>193</v>
      </c>
      <c r="AI54" s="165" t="str">
        <f>CONCATENATE(PAA[[#This Row],[Id Interno]],"-",PAA[[#This Row],[tipo de Contrato (TH talento humano - B/S bienes y/o servicios)]],"-",S54,"-",T54,"-",PAA[[#This Row],[Objeto de la contratación]])</f>
        <v>20260009-TH-8126-5-Prestar los servicios de apoyo a la gestión para desarrollar actividades de soporte técnico nivel (1 y 2) que requiera el área de Tecnologías de la Información y las Comunicaciones de la U.A.E. Cuerpo Oficial de Bomberos Bogotá</v>
      </c>
    </row>
    <row r="55" spans="2:35" ht="56" x14ac:dyDescent="0.35">
      <c r="B55" s="23">
        <v>20260010</v>
      </c>
      <c r="C55" s="121" t="s">
        <v>585</v>
      </c>
      <c r="D55" s="23" t="s">
        <v>105</v>
      </c>
      <c r="E55" s="23" t="s">
        <v>363</v>
      </c>
      <c r="F55" s="159" t="s">
        <v>144</v>
      </c>
      <c r="G55" s="160" t="s">
        <v>373</v>
      </c>
      <c r="H55" s="161">
        <v>12</v>
      </c>
      <c r="I55" s="161">
        <v>0</v>
      </c>
      <c r="J55" s="150">
        <v>84000000</v>
      </c>
      <c r="K55" s="88" t="s">
        <v>398</v>
      </c>
      <c r="L55" s="159" t="s">
        <v>151</v>
      </c>
      <c r="M55" s="162" t="s">
        <v>401</v>
      </c>
      <c r="N55" s="23" t="s">
        <v>197</v>
      </c>
      <c r="O55" s="151" t="s">
        <v>945</v>
      </c>
      <c r="P55" s="159" t="s">
        <v>348</v>
      </c>
      <c r="Q55" s="53">
        <v>80111600</v>
      </c>
      <c r="R55" s="162" t="s">
        <v>203</v>
      </c>
      <c r="S55" s="162" t="str">
        <f>MID(PAA[[#This Row],[Meta Proyecto de Inversión]],1,4)</f>
        <v>8126</v>
      </c>
      <c r="T55" s="162" t="str">
        <f>MID(PAA[[#This Row],[Meta Proyecto de Inversión]],6,1)</f>
        <v>4</v>
      </c>
      <c r="U55" s="163" t="str">
        <f>IFERROR(VLOOKUP(N55,TD!$B$50:$F$54,2,0)," ")</f>
        <v>O230117</v>
      </c>
      <c r="V55" s="163" t="str">
        <f>IFERROR(VLOOKUP(N55,TD!$B$50:$F$54,3,0)," ")</f>
        <v>4599</v>
      </c>
      <c r="W55" s="163">
        <f>IFERROR(VLOOKUP(N55,TD!$B$50:$F$54,4,0)," ")</f>
        <v>20240207</v>
      </c>
      <c r="X55" s="162" t="s">
        <v>168</v>
      </c>
      <c r="Y55" s="163" t="str">
        <f>IFERROR(VLOOKUP(X55,TD!$J$51:$K$64,2,0)," ")</f>
        <v>Infraestructura Tecnológica   (Sistemas de Información y Tecnologia)</v>
      </c>
      <c r="Z55" s="164" t="str">
        <f>CONCATENATE(X55,"-",Y55)</f>
        <v>11-Infraestructura Tecnológica   (Sistemas de Información y Tecnologia)</v>
      </c>
      <c r="AA55" s="162" t="s">
        <v>228</v>
      </c>
      <c r="AB55" s="163" t="str">
        <f>IFERROR(VLOOKUP(AA55,TD!$N$51:$O$66,2,0)," ")</f>
        <v>Servicios tecnológicos</v>
      </c>
      <c r="AC55" s="164" t="str">
        <f>CONCATENATE(AA55,"_",AB55)</f>
        <v>007_Servicios tecnológicos</v>
      </c>
      <c r="AD55" s="164" t="str">
        <f>CONCATENATE(Z55," ",AC55)</f>
        <v>11-Infraestructura Tecnológica   (Sistemas de Información y Tecnologia) 007_Servicios tecnológicos</v>
      </c>
      <c r="AE55" s="163" t="str">
        <f>CONCATENATE(U55,V55,W55,X55,AA55)</f>
        <v>O23011745992024020711007</v>
      </c>
      <c r="AF55" s="163" t="str">
        <f>IFERROR(VLOOKUP(AD55,TD!$J$66:$K$89,2,0)," ")</f>
        <v>PM/0131/0111/45990070207</v>
      </c>
      <c r="AG55" s="118" t="s">
        <v>385</v>
      </c>
      <c r="AH55" s="162" t="s">
        <v>193</v>
      </c>
      <c r="AI55" s="165" t="str">
        <f>CONCATENATE(PAA[[#This Row],[Id Interno]],"-",PAA[[#This Row],[tipo de Contrato (TH talento humano - B/S bienes y/o servicios)]],"-",S55,"-",T55,"-",PAA[[#This Row],[Objeto de la contratación]])</f>
        <v>20260010-TH-8126-4-Prestar servicios profesionales para apoyar el seguimiento, control y gestión de los servicios  tecnológicos asociados a  la herramienta de mesa de ayuda, directorio activo y herramientas de gestión que le sean asignados por la UAE Cuerpo Oficial de Bomberos de Bogotá - TIC.</v>
      </c>
    </row>
    <row r="56" spans="2:35" ht="42" x14ac:dyDescent="0.35">
      <c r="B56" s="23">
        <v>20260011</v>
      </c>
      <c r="C56" s="99" t="s">
        <v>586</v>
      </c>
      <c r="D56" s="23" t="s">
        <v>105</v>
      </c>
      <c r="E56" s="23" t="s">
        <v>363</v>
      </c>
      <c r="F56" s="159" t="s">
        <v>144</v>
      </c>
      <c r="G56" s="160" t="s">
        <v>374</v>
      </c>
      <c r="H56" s="161">
        <v>10</v>
      </c>
      <c r="I56" s="161">
        <v>0</v>
      </c>
      <c r="J56" s="150">
        <v>78000000</v>
      </c>
      <c r="K56" s="88" t="s">
        <v>398</v>
      </c>
      <c r="L56" s="159" t="s">
        <v>151</v>
      </c>
      <c r="M56" s="162" t="s">
        <v>401</v>
      </c>
      <c r="N56" s="23" t="s">
        <v>197</v>
      </c>
      <c r="O56" s="151" t="s">
        <v>945</v>
      </c>
      <c r="P56" s="159" t="s">
        <v>348</v>
      </c>
      <c r="Q56" s="53">
        <v>80111600</v>
      </c>
      <c r="R56" s="162" t="s">
        <v>206</v>
      </c>
      <c r="S56" s="162" t="str">
        <f>MID(PAA[[#This Row],[Meta Proyecto de Inversión]],1,4)</f>
        <v>8126</v>
      </c>
      <c r="T56" s="162" t="str">
        <f>MID(PAA[[#This Row],[Meta Proyecto de Inversión]],6,1)</f>
        <v>7</v>
      </c>
      <c r="U56" s="163" t="str">
        <f>IFERROR(VLOOKUP(N56,TD!$B$50:$F$54,2,0)," ")</f>
        <v>O230117</v>
      </c>
      <c r="V56" s="163" t="str">
        <f>IFERROR(VLOOKUP(N56,TD!$B$50:$F$54,3,0)," ")</f>
        <v>4599</v>
      </c>
      <c r="W56" s="163">
        <f>IFERROR(VLOOKUP(N56,TD!$B$50:$F$54,4,0)," ")</f>
        <v>20240207</v>
      </c>
      <c r="X56" s="162" t="s">
        <v>168</v>
      </c>
      <c r="Y56" s="163" t="str">
        <f>IFERROR(VLOOKUP(X56,TD!$J$51:$K$64,2,0)," ")</f>
        <v>Infraestructura Tecnológica   (Sistemas de Información y Tecnologia)</v>
      </c>
      <c r="Z56" s="164" t="str">
        <f>CONCATENATE(X56,"-",Y56)</f>
        <v>11-Infraestructura Tecnológica   (Sistemas de Información y Tecnologia)</v>
      </c>
      <c r="AA56" s="162" t="s">
        <v>228</v>
      </c>
      <c r="AB56" s="163" t="str">
        <f>IFERROR(VLOOKUP(AA56,TD!$N$51:$O$66,2,0)," ")</f>
        <v>Servicios tecnológicos</v>
      </c>
      <c r="AC56" s="164" t="str">
        <f>CONCATENATE(AA56,"_",AB56)</f>
        <v>007_Servicios tecnológicos</v>
      </c>
      <c r="AD56" s="164" t="str">
        <f>CONCATENATE(Z56," ",AC56)</f>
        <v>11-Infraestructura Tecnológica   (Sistemas de Información y Tecnologia) 007_Servicios tecnológicos</v>
      </c>
      <c r="AE56" s="163" t="str">
        <f>CONCATENATE(U56,V56,W56,X56,AA56)</f>
        <v>O23011745992024020711007</v>
      </c>
      <c r="AF56" s="163" t="str">
        <f>IFERROR(VLOOKUP(AD56,TD!$J$66:$K$89,2,0)," ")</f>
        <v>PM/0131/0111/45990070207</v>
      </c>
      <c r="AG56" s="118" t="s">
        <v>385</v>
      </c>
      <c r="AH56" s="162" t="s">
        <v>193</v>
      </c>
      <c r="AI56" s="165" t="str">
        <f>CONCATENATE(PAA[[#This Row],[Id Interno]],"-",PAA[[#This Row],[tipo de Contrato (TH talento humano - B/S bienes y/o servicios)]],"-",S56,"-",T56,"-",PAA[[#This Row],[Objeto de la contratación]])</f>
        <v>20260011-TH-8126-7-Prestar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v>
      </c>
    </row>
    <row r="57" spans="2:35" ht="56" x14ac:dyDescent="0.35">
      <c r="B57" s="23">
        <v>20260013</v>
      </c>
      <c r="C57" s="99" t="s">
        <v>588</v>
      </c>
      <c r="D57" s="23" t="s">
        <v>105</v>
      </c>
      <c r="E57" s="23" t="s">
        <v>363</v>
      </c>
      <c r="F57" s="159" t="s">
        <v>144</v>
      </c>
      <c r="G57" s="160" t="s">
        <v>374</v>
      </c>
      <c r="H57" s="161">
        <v>6</v>
      </c>
      <c r="I57" s="161">
        <v>0</v>
      </c>
      <c r="J57" s="150">
        <v>42000000</v>
      </c>
      <c r="K57" s="88" t="s">
        <v>398</v>
      </c>
      <c r="L57" s="159" t="s">
        <v>151</v>
      </c>
      <c r="M57" s="162" t="s">
        <v>401</v>
      </c>
      <c r="N57" s="23" t="s">
        <v>197</v>
      </c>
      <c r="O57" s="151" t="s">
        <v>945</v>
      </c>
      <c r="P57" s="159" t="s">
        <v>348</v>
      </c>
      <c r="Q57" s="53">
        <v>80111600</v>
      </c>
      <c r="R57" s="162" t="s">
        <v>203</v>
      </c>
      <c r="S57" s="162" t="str">
        <f>MID(PAA[[#This Row],[Meta Proyecto de Inversión]],1,4)</f>
        <v>8126</v>
      </c>
      <c r="T57" s="162" t="str">
        <f>MID(PAA[[#This Row],[Meta Proyecto de Inversión]],6,1)</f>
        <v>4</v>
      </c>
      <c r="U57" s="163" t="str">
        <f>IFERROR(VLOOKUP(N57,TD!$B$50:$F$54,2,0)," ")</f>
        <v>O230117</v>
      </c>
      <c r="V57" s="163" t="str">
        <f>IFERROR(VLOOKUP(N57,TD!$B$50:$F$54,3,0)," ")</f>
        <v>4599</v>
      </c>
      <c r="W57" s="163">
        <f>IFERROR(VLOOKUP(N57,TD!$B$50:$F$54,4,0)," ")</f>
        <v>20240207</v>
      </c>
      <c r="X57" s="162" t="s">
        <v>168</v>
      </c>
      <c r="Y57" s="163" t="str">
        <f>IFERROR(VLOOKUP(X57,TD!$J$51:$K$64,2,0)," ")</f>
        <v>Infraestructura Tecnológica   (Sistemas de Información y Tecnologia)</v>
      </c>
      <c r="Z57" s="164" t="str">
        <f>CONCATENATE(X57,"-",Y57)</f>
        <v>11-Infraestructura Tecnológica   (Sistemas de Información y Tecnologia)</v>
      </c>
      <c r="AA57" s="162" t="s">
        <v>228</v>
      </c>
      <c r="AB57" s="163" t="str">
        <f>IFERROR(VLOOKUP(AA57,TD!$N$51:$O$66,2,0)," ")</f>
        <v>Servicios tecnológicos</v>
      </c>
      <c r="AC57" s="164" t="str">
        <f>CONCATENATE(AA57,"_",AB57)</f>
        <v>007_Servicios tecnológicos</v>
      </c>
      <c r="AD57" s="164" t="str">
        <f>CONCATENATE(Z57," ",AC57)</f>
        <v>11-Infraestructura Tecnológica   (Sistemas de Información y Tecnologia) 007_Servicios tecnológicos</v>
      </c>
      <c r="AE57" s="163" t="str">
        <f>CONCATENATE(U57,V57,W57,X57,AA57)</f>
        <v>O23011745992024020711007</v>
      </c>
      <c r="AF57" s="163" t="str">
        <f>IFERROR(VLOOKUP(AD57,TD!$J$66:$K$89,2,0)," ")</f>
        <v>PM/0131/0111/45990070207</v>
      </c>
      <c r="AG57" s="118" t="s">
        <v>385</v>
      </c>
      <c r="AH57" s="162" t="s">
        <v>193</v>
      </c>
      <c r="AI57" s="165" t="str">
        <f>CONCATENATE(PAA[[#This Row],[Id Interno]],"-",PAA[[#This Row],[tipo de Contrato (TH talento humano - B/S bienes y/o servicios)]],"-",S57,"-",T57,"-",PAA[[#This Row],[Objeto de la contratación]])</f>
        <v>20260013-TH-8126-4-Prestar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v>
      </c>
    </row>
    <row r="58" spans="2:35" ht="42" x14ac:dyDescent="0.35">
      <c r="B58" s="23">
        <v>20260015</v>
      </c>
      <c r="C58" s="121" t="s">
        <v>584</v>
      </c>
      <c r="D58" s="23" t="s">
        <v>105</v>
      </c>
      <c r="E58" s="23" t="s">
        <v>363</v>
      </c>
      <c r="F58" s="159" t="s">
        <v>145</v>
      </c>
      <c r="G58" s="160" t="s">
        <v>373</v>
      </c>
      <c r="H58" s="161">
        <v>11</v>
      </c>
      <c r="I58" s="161">
        <v>0</v>
      </c>
      <c r="J58" s="150">
        <v>44000000</v>
      </c>
      <c r="K58" s="88" t="s">
        <v>398</v>
      </c>
      <c r="L58" s="159" t="s">
        <v>151</v>
      </c>
      <c r="M58" s="162" t="s">
        <v>401</v>
      </c>
      <c r="N58" s="23" t="s">
        <v>197</v>
      </c>
      <c r="O58" s="151" t="s">
        <v>945</v>
      </c>
      <c r="P58" s="159" t="s">
        <v>348</v>
      </c>
      <c r="Q58" s="53">
        <v>80111600</v>
      </c>
      <c r="R58" s="162" t="s">
        <v>204</v>
      </c>
      <c r="S58" s="162" t="str">
        <f>MID(PAA[[#This Row],[Meta Proyecto de Inversión]],1,4)</f>
        <v>8126</v>
      </c>
      <c r="T58" s="162" t="str">
        <f>MID(PAA[[#This Row],[Meta Proyecto de Inversión]],6,1)</f>
        <v>5</v>
      </c>
      <c r="U58" s="163" t="str">
        <f>IFERROR(VLOOKUP(N58,TD!$B$50:$F$54,2,0)," ")</f>
        <v>O230117</v>
      </c>
      <c r="V58" s="163" t="str">
        <f>IFERROR(VLOOKUP(N58,TD!$B$50:$F$54,3,0)," ")</f>
        <v>4599</v>
      </c>
      <c r="W58" s="163">
        <f>IFERROR(VLOOKUP(N58,TD!$B$50:$F$54,4,0)," ")</f>
        <v>20240207</v>
      </c>
      <c r="X58" s="162" t="s">
        <v>168</v>
      </c>
      <c r="Y58" s="163" t="str">
        <f>IFERROR(VLOOKUP(X58,TD!$J$51:$K$64,2,0)," ")</f>
        <v>Infraestructura Tecnológica   (Sistemas de Información y Tecnologia)</v>
      </c>
      <c r="Z58" s="164" t="str">
        <f>CONCATENATE(X58,"-",Y58)</f>
        <v>11-Infraestructura Tecnológica   (Sistemas de Información y Tecnologia)</v>
      </c>
      <c r="AA58" s="162" t="s">
        <v>228</v>
      </c>
      <c r="AB58" s="163" t="str">
        <f>IFERROR(VLOOKUP(AA58,TD!$N$51:$O$66,2,0)," ")</f>
        <v>Servicios tecnológicos</v>
      </c>
      <c r="AC58" s="164" t="str">
        <f>CONCATENATE(AA58,"_",AB58)</f>
        <v>007_Servicios tecnológicos</v>
      </c>
      <c r="AD58" s="164" t="str">
        <f>CONCATENATE(Z58," ",AC58)</f>
        <v>11-Infraestructura Tecnológica   (Sistemas de Información y Tecnologia) 007_Servicios tecnológicos</v>
      </c>
      <c r="AE58" s="163" t="str">
        <f>CONCATENATE(U58,V58,W58,X58,AA58)</f>
        <v>O23011745992024020711007</v>
      </c>
      <c r="AF58" s="163" t="str">
        <f>IFERROR(VLOOKUP(AD58,TD!$J$66:$K$89,2,0)," ")</f>
        <v>PM/0131/0111/45990070207</v>
      </c>
      <c r="AG58" s="118" t="s">
        <v>385</v>
      </c>
      <c r="AH58" s="162" t="s">
        <v>193</v>
      </c>
      <c r="AI58" s="165" t="str">
        <f>CONCATENATE(PAA[[#This Row],[Id Interno]],"-",PAA[[#This Row],[tipo de Contrato (TH talento humano - B/S bienes y/o servicios)]],"-",S58,"-",T58,"-",PAA[[#This Row],[Objeto de la contratación]])</f>
        <v>20260015-TH-8126-5-Prestar los servicios de apoyo a la gestión para desarrollar actividades de soporte técnico nivel (1 y 2) que requiera el área de Tecnologías de la Información y las Comunicaciones de la U.A.E. Cuerpo Oficial de Bomberos Bogotá</v>
      </c>
    </row>
    <row r="59" spans="2:35" ht="28" x14ac:dyDescent="0.35">
      <c r="B59" s="23">
        <v>20260016</v>
      </c>
      <c r="C59" s="99" t="s">
        <v>590</v>
      </c>
      <c r="D59" s="23" t="s">
        <v>105</v>
      </c>
      <c r="E59" s="23" t="s">
        <v>363</v>
      </c>
      <c r="F59" s="159" t="s">
        <v>145</v>
      </c>
      <c r="G59" s="160" t="s">
        <v>373</v>
      </c>
      <c r="H59" s="161">
        <v>11</v>
      </c>
      <c r="I59" s="161">
        <v>0</v>
      </c>
      <c r="J59" s="150">
        <v>44000000</v>
      </c>
      <c r="K59" s="88" t="s">
        <v>398</v>
      </c>
      <c r="L59" s="159" t="s">
        <v>151</v>
      </c>
      <c r="M59" s="162" t="s">
        <v>401</v>
      </c>
      <c r="N59" s="23" t="s">
        <v>197</v>
      </c>
      <c r="O59" s="151" t="s">
        <v>945</v>
      </c>
      <c r="P59" s="159" t="s">
        <v>348</v>
      </c>
      <c r="Q59" s="53">
        <v>80111600</v>
      </c>
      <c r="R59" s="162" t="s">
        <v>205</v>
      </c>
      <c r="S59" s="162" t="str">
        <f>MID(PAA[[#This Row],[Meta Proyecto de Inversión]],1,4)</f>
        <v>8126</v>
      </c>
      <c r="T59" s="162" t="str">
        <f>MID(PAA[[#This Row],[Meta Proyecto de Inversión]],6,1)</f>
        <v>6</v>
      </c>
      <c r="U59" s="163" t="str">
        <f>IFERROR(VLOOKUP(N59,TD!$B$50:$F$54,2,0)," ")</f>
        <v>O230117</v>
      </c>
      <c r="V59" s="163" t="str">
        <f>IFERROR(VLOOKUP(N59,TD!$B$50:$F$54,3,0)," ")</f>
        <v>4599</v>
      </c>
      <c r="W59" s="163">
        <f>IFERROR(VLOOKUP(N59,TD!$B$50:$F$54,4,0)," ")</f>
        <v>20240207</v>
      </c>
      <c r="X59" s="162" t="s">
        <v>168</v>
      </c>
      <c r="Y59" s="163" t="str">
        <f>IFERROR(VLOOKUP(X59,TD!$J$51:$K$64,2,0)," ")</f>
        <v>Infraestructura Tecnológica   (Sistemas de Información y Tecnologia)</v>
      </c>
      <c r="Z59" s="164" t="str">
        <f>CONCATENATE(X59,"-",Y59)</f>
        <v>11-Infraestructura Tecnológica   (Sistemas de Información y Tecnologia)</v>
      </c>
      <c r="AA59" s="162" t="s">
        <v>228</v>
      </c>
      <c r="AB59" s="163" t="str">
        <f>IFERROR(VLOOKUP(AA59,TD!$N$51:$O$66,2,0)," ")</f>
        <v>Servicios tecnológicos</v>
      </c>
      <c r="AC59" s="164" t="str">
        <f>CONCATENATE(AA59,"_",AB59)</f>
        <v>007_Servicios tecnológicos</v>
      </c>
      <c r="AD59" s="164" t="str">
        <f>CONCATENATE(Z59," ",AC59)</f>
        <v>11-Infraestructura Tecnológica   (Sistemas de Información y Tecnologia) 007_Servicios tecnológicos</v>
      </c>
      <c r="AE59" s="163" t="str">
        <f>CONCATENATE(U59,V59,W59,X59,AA59)</f>
        <v>O23011745992024020711007</v>
      </c>
      <c r="AF59" s="163" t="str">
        <f>IFERROR(VLOOKUP(AD59,TD!$J$66:$K$89,2,0)," ")</f>
        <v>PM/0131/0111/45990070207</v>
      </c>
      <c r="AG59" s="118" t="s">
        <v>385</v>
      </c>
      <c r="AH59" s="162" t="s">
        <v>193</v>
      </c>
      <c r="AI59" s="165" t="str">
        <f>CONCATENATE(PAA[[#This Row],[Id Interno]],"-",PAA[[#This Row],[tipo de Contrato (TH talento humano - B/S bienes y/o servicios)]],"-",S59,"-",T59,"-",PAA[[#This Row],[Objeto de la contratación]])</f>
        <v>20260016-TH-8126-6-Prestar servicios de apoyo a la gestión en el desarrollo de actividades asistenciales administrativas, asociadas a los procesos y procedimientos  a cargo del área de Tecnologías de la Información y las Comunicaciones de la U.A.E. Cuerpo Oficial de Bomberos Bogotá.</v>
      </c>
    </row>
    <row r="60" spans="2:35" ht="112" x14ac:dyDescent="0.35">
      <c r="B60" s="23">
        <v>20260017</v>
      </c>
      <c r="C60" s="121" t="s">
        <v>591</v>
      </c>
      <c r="D60" s="23" t="s">
        <v>105</v>
      </c>
      <c r="E60" s="23" t="s">
        <v>363</v>
      </c>
      <c r="F60" s="159" t="s">
        <v>144</v>
      </c>
      <c r="G60" s="160" t="s">
        <v>373</v>
      </c>
      <c r="H60" s="161">
        <v>10</v>
      </c>
      <c r="I60" s="161">
        <v>0</v>
      </c>
      <c r="J60" s="150">
        <v>78000000</v>
      </c>
      <c r="K60" s="88" t="s">
        <v>398</v>
      </c>
      <c r="L60" s="159" t="s">
        <v>151</v>
      </c>
      <c r="M60" s="162" t="s">
        <v>401</v>
      </c>
      <c r="N60" s="23" t="s">
        <v>197</v>
      </c>
      <c r="O60" s="151" t="s">
        <v>945</v>
      </c>
      <c r="P60" s="159" t="s">
        <v>348</v>
      </c>
      <c r="Q60" s="53">
        <v>80111600</v>
      </c>
      <c r="R60" s="162" t="s">
        <v>205</v>
      </c>
      <c r="S60" s="162" t="str">
        <f>MID(PAA[[#This Row],[Meta Proyecto de Inversión]],1,4)</f>
        <v>8126</v>
      </c>
      <c r="T60" s="162" t="str">
        <f>MID(PAA[[#This Row],[Meta Proyecto de Inversión]],6,1)</f>
        <v>6</v>
      </c>
      <c r="U60" s="163" t="str">
        <f>IFERROR(VLOOKUP(N60,TD!$B$50:$F$54,2,0)," ")</f>
        <v>O230117</v>
      </c>
      <c r="V60" s="163" t="str">
        <f>IFERROR(VLOOKUP(N60,TD!$B$50:$F$54,3,0)," ")</f>
        <v>4599</v>
      </c>
      <c r="W60" s="163">
        <f>IFERROR(VLOOKUP(N60,TD!$B$50:$F$54,4,0)," ")</f>
        <v>20240207</v>
      </c>
      <c r="X60" s="162" t="s">
        <v>168</v>
      </c>
      <c r="Y60" s="163" t="str">
        <f>IFERROR(VLOOKUP(X60,TD!$J$51:$K$64,2,0)," ")</f>
        <v>Infraestructura Tecnológica   (Sistemas de Información y Tecnologia)</v>
      </c>
      <c r="Z60" s="164" t="str">
        <f>CONCATENATE(X60,"-",Y60)</f>
        <v>11-Infraestructura Tecnológica   (Sistemas de Información y Tecnologia)</v>
      </c>
      <c r="AA60" s="162" t="s">
        <v>228</v>
      </c>
      <c r="AB60" s="163" t="str">
        <f>IFERROR(VLOOKUP(AA60,TD!$N$51:$O$66,2,0)," ")</f>
        <v>Servicios tecnológicos</v>
      </c>
      <c r="AC60" s="164" t="str">
        <f>CONCATENATE(AA60,"_",AB60)</f>
        <v>007_Servicios tecnológicos</v>
      </c>
      <c r="AD60" s="164" t="str">
        <f>CONCATENATE(Z60," ",AC60)</f>
        <v>11-Infraestructura Tecnológica   (Sistemas de Información y Tecnologia) 007_Servicios tecnológicos</v>
      </c>
      <c r="AE60" s="163" t="str">
        <f>CONCATENATE(U60,V60,W60,X60,AA60)</f>
        <v>O23011745992024020711007</v>
      </c>
      <c r="AF60" s="163" t="str">
        <f>IFERROR(VLOOKUP(AD60,TD!$J$66:$K$89,2,0)," ")</f>
        <v>PM/0131/0111/45990070207</v>
      </c>
      <c r="AG60" s="118" t="s">
        <v>385</v>
      </c>
      <c r="AH60" s="162" t="s">
        <v>193</v>
      </c>
      <c r="AI60" s="165" t="str">
        <f>CONCATENATE(PAA[[#This Row],[Id Interno]],"-",PAA[[#This Row],[tipo de Contrato (TH talento humano - B/S bienes y/o servicios)]],"-",S60,"-",T60,"-",PAA[[#This Row],[Objeto de la contratación]])</f>
        <v>20260017-TH-8126-6-Prestar servicios profesionales para apoyar la implementación, seguimiento y fortalecimiento del Sistema de Gestión de Seguridad de la Información (SGSI) y de la política de Gobierno Digital de la UAE Cuerpo Oficial de Bomberos de Bogotá</v>
      </c>
    </row>
    <row r="61" spans="2:35" ht="70" x14ac:dyDescent="0.35">
      <c r="B61" s="23">
        <v>20260018</v>
      </c>
      <c r="C61" s="99" t="s">
        <v>592</v>
      </c>
      <c r="D61" s="23" t="s">
        <v>105</v>
      </c>
      <c r="E61" s="23" t="s">
        <v>363</v>
      </c>
      <c r="F61" s="159" t="s">
        <v>144</v>
      </c>
      <c r="G61" s="160" t="s">
        <v>373</v>
      </c>
      <c r="H61" s="161">
        <v>10</v>
      </c>
      <c r="I61" s="161">
        <v>0</v>
      </c>
      <c r="J61" s="127">
        <v>75000000</v>
      </c>
      <c r="K61" s="88" t="s">
        <v>398</v>
      </c>
      <c r="L61" s="159" t="s">
        <v>151</v>
      </c>
      <c r="M61" s="162" t="s">
        <v>401</v>
      </c>
      <c r="N61" s="23" t="s">
        <v>197</v>
      </c>
      <c r="O61" s="151" t="s">
        <v>945</v>
      </c>
      <c r="P61" s="159" t="s">
        <v>348</v>
      </c>
      <c r="Q61" s="53">
        <v>80111600</v>
      </c>
      <c r="R61" s="162" t="s">
        <v>204</v>
      </c>
      <c r="S61" s="162" t="str">
        <f>MID(PAA[[#This Row],[Meta Proyecto de Inversión]],1,4)</f>
        <v>8126</v>
      </c>
      <c r="T61" s="162" t="str">
        <f>MID(PAA[[#This Row],[Meta Proyecto de Inversión]],6,1)</f>
        <v>5</v>
      </c>
      <c r="U61" s="163" t="str">
        <f>IFERROR(VLOOKUP(N61,TD!$B$50:$F$54,2,0)," ")</f>
        <v>O230117</v>
      </c>
      <c r="V61" s="163" t="str">
        <f>IFERROR(VLOOKUP(N61,TD!$B$50:$F$54,3,0)," ")</f>
        <v>4599</v>
      </c>
      <c r="W61" s="163">
        <f>IFERROR(VLOOKUP(N61,TD!$B$50:$F$54,4,0)," ")</f>
        <v>20240207</v>
      </c>
      <c r="X61" s="162" t="s">
        <v>168</v>
      </c>
      <c r="Y61" s="163" t="str">
        <f>IFERROR(VLOOKUP(X61,TD!$J$51:$K$64,2,0)," ")</f>
        <v>Infraestructura Tecnológica   (Sistemas de Información y Tecnologia)</v>
      </c>
      <c r="Z61" s="164" t="str">
        <f>CONCATENATE(X61,"-",Y61)</f>
        <v>11-Infraestructura Tecnológica   (Sistemas de Información y Tecnologia)</v>
      </c>
      <c r="AA61" s="162" t="s">
        <v>228</v>
      </c>
      <c r="AB61" s="163" t="str">
        <f>IFERROR(VLOOKUP(AA61,TD!$N$51:$O$66,2,0)," ")</f>
        <v>Servicios tecnológicos</v>
      </c>
      <c r="AC61" s="164" t="str">
        <f>CONCATENATE(AA61,"_",AB61)</f>
        <v>007_Servicios tecnológicos</v>
      </c>
      <c r="AD61" s="164" t="str">
        <f>CONCATENATE(Z61," ",AC61)</f>
        <v>11-Infraestructura Tecnológica   (Sistemas de Información y Tecnologia) 007_Servicios tecnológicos</v>
      </c>
      <c r="AE61" s="163" t="str">
        <f>CONCATENATE(U61,V61,W61,X61,AA61)</f>
        <v>O23011745992024020711007</v>
      </c>
      <c r="AF61" s="163" t="str">
        <f>IFERROR(VLOOKUP(AD61,TD!$J$66:$K$89,2,0)," ")</f>
        <v>PM/0131/0111/45990070207</v>
      </c>
      <c r="AG61" s="118" t="s">
        <v>385</v>
      </c>
      <c r="AH61" s="162" t="s">
        <v>193</v>
      </c>
      <c r="AI61" s="165" t="str">
        <f>CONCATENATE(PAA[[#This Row],[Id Interno]],"-",PAA[[#This Row],[tipo de Contrato (TH talento humano - B/S bienes y/o servicios)]],"-",S61,"-",T61,"-",PAA[[#This Row],[Objeto de la contratación]])</f>
        <v>20260018-TH-8126-5-Prestar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v>
      </c>
    </row>
    <row r="62" spans="2:35" ht="28" x14ac:dyDescent="0.35">
      <c r="B62" s="23">
        <v>20260019</v>
      </c>
      <c r="C62" s="99" t="s">
        <v>588</v>
      </c>
      <c r="D62" s="23" t="s">
        <v>105</v>
      </c>
      <c r="E62" s="23" t="s">
        <v>363</v>
      </c>
      <c r="F62" s="159" t="s">
        <v>144</v>
      </c>
      <c r="G62" s="160" t="s">
        <v>374</v>
      </c>
      <c r="H62" s="161">
        <v>6</v>
      </c>
      <c r="I62" s="161">
        <v>0</v>
      </c>
      <c r="J62" s="127">
        <v>42000000</v>
      </c>
      <c r="K62" s="88" t="s">
        <v>398</v>
      </c>
      <c r="L62" s="159" t="s">
        <v>151</v>
      </c>
      <c r="M62" s="162" t="s">
        <v>401</v>
      </c>
      <c r="N62" s="23" t="s">
        <v>197</v>
      </c>
      <c r="O62" s="151" t="s">
        <v>945</v>
      </c>
      <c r="P62" s="159" t="s">
        <v>348</v>
      </c>
      <c r="Q62" s="53">
        <v>80111600</v>
      </c>
      <c r="R62" s="162" t="s">
        <v>203</v>
      </c>
      <c r="S62" s="162" t="str">
        <f>MID(PAA[[#This Row],[Meta Proyecto de Inversión]],1,4)</f>
        <v>8126</v>
      </c>
      <c r="T62" s="162" t="str">
        <f>MID(PAA[[#This Row],[Meta Proyecto de Inversión]],6,1)</f>
        <v>4</v>
      </c>
      <c r="U62" s="163" t="str">
        <f>IFERROR(VLOOKUP(N62,TD!$B$50:$F$54,2,0)," ")</f>
        <v>O230117</v>
      </c>
      <c r="V62" s="163" t="str">
        <f>IFERROR(VLOOKUP(N62,TD!$B$50:$F$54,3,0)," ")</f>
        <v>4599</v>
      </c>
      <c r="W62" s="163">
        <f>IFERROR(VLOOKUP(N62,TD!$B$50:$F$54,4,0)," ")</f>
        <v>20240207</v>
      </c>
      <c r="X62" s="162" t="s">
        <v>168</v>
      </c>
      <c r="Y62" s="163" t="str">
        <f>IFERROR(VLOOKUP(X62,TD!$J$51:$K$64,2,0)," ")</f>
        <v>Infraestructura Tecnológica   (Sistemas de Información y Tecnologia)</v>
      </c>
      <c r="Z62" s="164" t="str">
        <f>CONCATENATE(X62,"-",Y62)</f>
        <v>11-Infraestructura Tecnológica   (Sistemas de Información y Tecnologia)</v>
      </c>
      <c r="AA62" s="162" t="s">
        <v>228</v>
      </c>
      <c r="AB62" s="163" t="str">
        <f>IFERROR(VLOOKUP(AA62,TD!$N$51:$O$66,2,0)," ")</f>
        <v>Servicios tecnológicos</v>
      </c>
      <c r="AC62" s="164" t="str">
        <f>CONCATENATE(AA62,"_",AB62)</f>
        <v>007_Servicios tecnológicos</v>
      </c>
      <c r="AD62" s="164" t="str">
        <f>CONCATENATE(Z62," ",AC62)</f>
        <v>11-Infraestructura Tecnológica   (Sistemas de Información y Tecnologia) 007_Servicios tecnológicos</v>
      </c>
      <c r="AE62" s="163" t="str">
        <f>CONCATENATE(U62,V62,W62,X62,AA62)</f>
        <v>O23011745992024020711007</v>
      </c>
      <c r="AF62" s="163" t="str">
        <f>IFERROR(VLOOKUP(AD62,TD!$J$66:$K$89,2,0)," ")</f>
        <v>PM/0131/0111/45990070207</v>
      </c>
      <c r="AG62" s="118" t="s">
        <v>385</v>
      </c>
      <c r="AH62" s="162" t="s">
        <v>193</v>
      </c>
      <c r="AI62" s="165" t="str">
        <f>CONCATENATE(PAA[[#This Row],[Id Interno]],"-",PAA[[#This Row],[tipo de Contrato (TH talento humano - B/S bienes y/o servicios)]],"-",S62,"-",T62,"-",PAA[[#This Row],[Objeto de la contratación]])</f>
        <v>20260019-TH-8126-4-Prestar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v>
      </c>
    </row>
    <row r="63" spans="2:35" ht="70" x14ac:dyDescent="0.35">
      <c r="B63" s="23">
        <v>20260020</v>
      </c>
      <c r="C63" s="99" t="s">
        <v>593</v>
      </c>
      <c r="D63" s="23" t="s">
        <v>105</v>
      </c>
      <c r="E63" s="23" t="s">
        <v>363</v>
      </c>
      <c r="F63" s="159" t="s">
        <v>144</v>
      </c>
      <c r="G63" s="160" t="s">
        <v>374</v>
      </c>
      <c r="H63" s="161">
        <v>10</v>
      </c>
      <c r="I63" s="161">
        <v>0</v>
      </c>
      <c r="J63" s="127">
        <v>78000000</v>
      </c>
      <c r="K63" s="88" t="s">
        <v>398</v>
      </c>
      <c r="L63" s="159" t="s">
        <v>151</v>
      </c>
      <c r="M63" s="162" t="s">
        <v>401</v>
      </c>
      <c r="N63" s="23" t="s">
        <v>197</v>
      </c>
      <c r="O63" s="151" t="s">
        <v>945</v>
      </c>
      <c r="P63" s="159" t="s">
        <v>348</v>
      </c>
      <c r="Q63" s="53">
        <v>80111600</v>
      </c>
      <c r="R63" s="162" t="s">
        <v>204</v>
      </c>
      <c r="S63" s="162" t="str">
        <f>MID(PAA[[#This Row],[Meta Proyecto de Inversión]],1,4)</f>
        <v>8126</v>
      </c>
      <c r="T63" s="162" t="str">
        <f>MID(PAA[[#This Row],[Meta Proyecto de Inversión]],6,1)</f>
        <v>5</v>
      </c>
      <c r="U63" s="163" t="str">
        <f>IFERROR(VLOOKUP(N63,TD!$B$50:$F$54,2,0)," ")</f>
        <v>O230117</v>
      </c>
      <c r="V63" s="163" t="str">
        <f>IFERROR(VLOOKUP(N63,TD!$B$50:$F$54,3,0)," ")</f>
        <v>4599</v>
      </c>
      <c r="W63" s="163">
        <f>IFERROR(VLOOKUP(N63,TD!$B$50:$F$54,4,0)," ")</f>
        <v>20240207</v>
      </c>
      <c r="X63" s="162" t="s">
        <v>168</v>
      </c>
      <c r="Y63" s="163" t="str">
        <f>IFERROR(VLOOKUP(X63,TD!$J$51:$K$64,2,0)," ")</f>
        <v>Infraestructura Tecnológica   (Sistemas de Información y Tecnologia)</v>
      </c>
      <c r="Z63" s="164" t="str">
        <f>CONCATENATE(X63,"-",Y63)</f>
        <v>11-Infraestructura Tecnológica   (Sistemas de Información y Tecnologia)</v>
      </c>
      <c r="AA63" s="162" t="s">
        <v>228</v>
      </c>
      <c r="AB63" s="163" t="str">
        <f>IFERROR(VLOOKUP(AA63,TD!$N$51:$O$66,2,0)," ")</f>
        <v>Servicios tecnológicos</v>
      </c>
      <c r="AC63" s="164" t="str">
        <f>CONCATENATE(AA63,"_",AB63)</f>
        <v>007_Servicios tecnológicos</v>
      </c>
      <c r="AD63" s="164" t="str">
        <f>CONCATENATE(Z63," ",AC63)</f>
        <v>11-Infraestructura Tecnológica   (Sistemas de Información y Tecnologia) 007_Servicios tecnológicos</v>
      </c>
      <c r="AE63" s="163" t="str">
        <f>CONCATENATE(U63,V63,W63,X63,AA63)</f>
        <v>O23011745992024020711007</v>
      </c>
      <c r="AF63" s="163" t="str">
        <f>IFERROR(VLOOKUP(AD63,TD!$J$66:$K$89,2,0)," ")</f>
        <v>PM/0131/0111/45990070207</v>
      </c>
      <c r="AG63" s="118" t="s">
        <v>385</v>
      </c>
      <c r="AH63" s="162" t="s">
        <v>193</v>
      </c>
      <c r="AI63" s="165" t="str">
        <f>CONCATENATE(PAA[[#This Row],[Id Interno]],"-",PAA[[#This Row],[tipo de Contrato (TH talento humano - B/S bienes y/o servicios)]],"-",S63,"-",T63,"-",PAA[[#This Row],[Objeto de la contratación]])</f>
        <v>20260020-TH-8126-5-Prestar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v>
      </c>
    </row>
    <row r="64" spans="2:35" ht="126" x14ac:dyDescent="0.35">
      <c r="B64" s="23">
        <v>20260022</v>
      </c>
      <c r="C64" s="99" t="s">
        <v>595</v>
      </c>
      <c r="D64" s="23" t="s">
        <v>105</v>
      </c>
      <c r="E64" s="23" t="s">
        <v>363</v>
      </c>
      <c r="F64" s="159" t="s">
        <v>144</v>
      </c>
      <c r="G64" s="160" t="s">
        <v>374</v>
      </c>
      <c r="H64" s="161">
        <v>6</v>
      </c>
      <c r="I64" s="161">
        <v>0</v>
      </c>
      <c r="J64" s="127">
        <v>30000000</v>
      </c>
      <c r="K64" s="88" t="s">
        <v>398</v>
      </c>
      <c r="L64" s="159" t="s">
        <v>151</v>
      </c>
      <c r="M64" s="162" t="s">
        <v>401</v>
      </c>
      <c r="N64" s="23" t="s">
        <v>197</v>
      </c>
      <c r="O64" s="151" t="s">
        <v>945</v>
      </c>
      <c r="P64" s="159" t="s">
        <v>348</v>
      </c>
      <c r="Q64" s="53">
        <v>80111600</v>
      </c>
      <c r="R64" s="162" t="s">
        <v>203</v>
      </c>
      <c r="S64" s="162" t="str">
        <f>MID(PAA[[#This Row],[Meta Proyecto de Inversión]],1,4)</f>
        <v>8126</v>
      </c>
      <c r="T64" s="162" t="str">
        <f>MID(PAA[[#This Row],[Meta Proyecto de Inversión]],6,1)</f>
        <v>4</v>
      </c>
      <c r="U64" s="163" t="str">
        <f>IFERROR(VLOOKUP(N64,TD!$B$50:$F$54,2,0)," ")</f>
        <v>O230117</v>
      </c>
      <c r="V64" s="163" t="str">
        <f>IFERROR(VLOOKUP(N64,TD!$B$50:$F$54,3,0)," ")</f>
        <v>4599</v>
      </c>
      <c r="W64" s="163">
        <f>IFERROR(VLOOKUP(N64,TD!$B$50:$F$54,4,0)," ")</f>
        <v>20240207</v>
      </c>
      <c r="X64" s="162" t="s">
        <v>168</v>
      </c>
      <c r="Y64" s="163" t="str">
        <f>IFERROR(VLOOKUP(X64,TD!$J$51:$K$64,2,0)," ")</f>
        <v>Infraestructura Tecnológica   (Sistemas de Información y Tecnologia)</v>
      </c>
      <c r="Z64" s="164" t="str">
        <f>CONCATENATE(X64,"-",Y64)</f>
        <v>11-Infraestructura Tecnológica   (Sistemas de Información y Tecnologia)</v>
      </c>
      <c r="AA64" s="162" t="s">
        <v>228</v>
      </c>
      <c r="AB64" s="163" t="str">
        <f>IFERROR(VLOOKUP(AA64,TD!$N$51:$O$66,2,0)," ")</f>
        <v>Servicios tecnológicos</v>
      </c>
      <c r="AC64" s="164" t="str">
        <f>CONCATENATE(AA64,"_",AB64)</f>
        <v>007_Servicios tecnológicos</v>
      </c>
      <c r="AD64" s="164" t="str">
        <f>CONCATENATE(Z64," ",AC64)</f>
        <v>11-Infraestructura Tecnológica   (Sistemas de Información y Tecnologia) 007_Servicios tecnológicos</v>
      </c>
      <c r="AE64" s="163" t="str">
        <f>CONCATENATE(U64,V64,W64,X64,AA64)</f>
        <v>O23011745992024020711007</v>
      </c>
      <c r="AF64" s="163" t="str">
        <f>IFERROR(VLOOKUP(AD64,TD!$J$66:$K$89,2,0)," ")</f>
        <v>PM/0131/0111/45990070207</v>
      </c>
      <c r="AG64" s="118" t="s">
        <v>385</v>
      </c>
      <c r="AH64" s="162" t="s">
        <v>193</v>
      </c>
      <c r="AI64" s="165" t="str">
        <f>CONCATENATE(PAA[[#This Row],[Id Interno]],"-",PAA[[#This Row],[tipo de Contrato (TH talento humano - B/S bienes y/o servicios)]],"-",S64,"-",T64,"-",PAA[[#This Row],[Objeto de la contratación]])</f>
        <v>20260022-TH-8126-4-Prestar los servicios profesionales en apoyo a la estructuración e implementación, de las herramientas misionales, creadas como soporte a los procesos y procedimientos de la U.A.E. Cuerpo Oficial de Bomberos de Bogotá.</v>
      </c>
    </row>
    <row r="65" spans="2:35" ht="70" x14ac:dyDescent="0.35">
      <c r="B65" s="23">
        <v>20260023</v>
      </c>
      <c r="C65" s="99" t="s">
        <v>596</v>
      </c>
      <c r="D65" s="23" t="s">
        <v>105</v>
      </c>
      <c r="E65" s="23" t="s">
        <v>363</v>
      </c>
      <c r="F65" s="159" t="s">
        <v>145</v>
      </c>
      <c r="G65" s="160" t="s">
        <v>373</v>
      </c>
      <c r="H65" s="161">
        <v>10</v>
      </c>
      <c r="I65" s="161">
        <v>0</v>
      </c>
      <c r="J65" s="127">
        <v>40000000</v>
      </c>
      <c r="K65" s="88" t="s">
        <v>398</v>
      </c>
      <c r="L65" s="159" t="s">
        <v>151</v>
      </c>
      <c r="M65" s="162" t="s">
        <v>401</v>
      </c>
      <c r="N65" s="23" t="s">
        <v>197</v>
      </c>
      <c r="O65" s="151" t="s">
        <v>945</v>
      </c>
      <c r="P65" s="159" t="s">
        <v>348</v>
      </c>
      <c r="Q65" s="53">
        <v>80111600</v>
      </c>
      <c r="R65" s="162" t="s">
        <v>205</v>
      </c>
      <c r="S65" s="162" t="str">
        <f>MID(PAA[[#This Row],[Meta Proyecto de Inversión]],1,4)</f>
        <v>8126</v>
      </c>
      <c r="T65" s="162" t="str">
        <f>MID(PAA[[#This Row],[Meta Proyecto de Inversión]],6,1)</f>
        <v>6</v>
      </c>
      <c r="U65" s="163" t="str">
        <f>IFERROR(VLOOKUP(N65,TD!$B$50:$F$54,2,0)," ")</f>
        <v>O230117</v>
      </c>
      <c r="V65" s="163" t="str">
        <f>IFERROR(VLOOKUP(N65,TD!$B$50:$F$54,3,0)," ")</f>
        <v>4599</v>
      </c>
      <c r="W65" s="163">
        <f>IFERROR(VLOOKUP(N65,TD!$B$50:$F$54,4,0)," ")</f>
        <v>20240207</v>
      </c>
      <c r="X65" s="162" t="s">
        <v>168</v>
      </c>
      <c r="Y65" s="163" t="str">
        <f>IFERROR(VLOOKUP(X65,TD!$J$51:$K$64,2,0)," ")</f>
        <v>Infraestructura Tecnológica   (Sistemas de Información y Tecnologia)</v>
      </c>
      <c r="Z65" s="164" t="str">
        <f>CONCATENATE(X65,"-",Y65)</f>
        <v>11-Infraestructura Tecnológica   (Sistemas de Información y Tecnologia)</v>
      </c>
      <c r="AA65" s="162" t="s">
        <v>228</v>
      </c>
      <c r="AB65" s="163" t="str">
        <f>IFERROR(VLOOKUP(AA65,TD!$N$51:$O$66,2,0)," ")</f>
        <v>Servicios tecnológicos</v>
      </c>
      <c r="AC65" s="164" t="str">
        <f>CONCATENATE(AA65,"_",AB65)</f>
        <v>007_Servicios tecnológicos</v>
      </c>
      <c r="AD65" s="164" t="str">
        <f>CONCATENATE(Z65," ",AC65)</f>
        <v>11-Infraestructura Tecnológica   (Sistemas de Información y Tecnologia) 007_Servicios tecnológicos</v>
      </c>
      <c r="AE65" s="163" t="str">
        <f>CONCATENATE(U65,V65,W65,X65,AA65)</f>
        <v>O23011745992024020711007</v>
      </c>
      <c r="AF65" s="163" t="str">
        <f>IFERROR(VLOOKUP(AD65,TD!$J$66:$K$89,2,0)," ")</f>
        <v>PM/0131/0111/45990070207</v>
      </c>
      <c r="AG65" s="118" t="s">
        <v>385</v>
      </c>
      <c r="AH65" s="162" t="s">
        <v>193</v>
      </c>
      <c r="AI65" s="165" t="str">
        <f>CONCATENATE(PAA[[#This Row],[Id Interno]],"-",PAA[[#This Row],[tipo de Contrato (TH talento humano - B/S bienes y/o servicios)]],"-",S65,"-",T65,"-",PAA[[#This Row],[Objeto de la contratación]])</f>
        <v>20260023-TH-8126-6-Prestar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v>
      </c>
    </row>
    <row r="66" spans="2:35" ht="70" x14ac:dyDescent="0.35">
      <c r="B66" s="23">
        <v>20260025</v>
      </c>
      <c r="C66" s="99" t="s">
        <v>582</v>
      </c>
      <c r="D66" s="23" t="s">
        <v>105</v>
      </c>
      <c r="E66" s="23" t="s">
        <v>363</v>
      </c>
      <c r="F66" s="159" t="s">
        <v>144</v>
      </c>
      <c r="G66" s="160" t="s">
        <v>373</v>
      </c>
      <c r="H66" s="161">
        <v>10</v>
      </c>
      <c r="I66" s="161">
        <v>0</v>
      </c>
      <c r="J66" s="127">
        <v>78000000</v>
      </c>
      <c r="K66" s="88" t="s">
        <v>398</v>
      </c>
      <c r="L66" s="159" t="s">
        <v>151</v>
      </c>
      <c r="M66" s="162" t="s">
        <v>401</v>
      </c>
      <c r="N66" s="23" t="s">
        <v>197</v>
      </c>
      <c r="O66" s="151" t="s">
        <v>945</v>
      </c>
      <c r="P66" s="159" t="s">
        <v>348</v>
      </c>
      <c r="Q66" s="53">
        <v>80111600</v>
      </c>
      <c r="R66" s="162" t="s">
        <v>204</v>
      </c>
      <c r="S66" s="162" t="str">
        <f>MID(PAA[[#This Row],[Meta Proyecto de Inversión]],1,4)</f>
        <v>8126</v>
      </c>
      <c r="T66" s="162" t="str">
        <f>MID(PAA[[#This Row],[Meta Proyecto de Inversión]],6,1)</f>
        <v>5</v>
      </c>
      <c r="U66" s="163" t="str">
        <f>IFERROR(VLOOKUP(N66,TD!$B$50:$F$54,2,0)," ")</f>
        <v>O230117</v>
      </c>
      <c r="V66" s="163" t="str">
        <f>IFERROR(VLOOKUP(N66,TD!$B$50:$F$54,3,0)," ")</f>
        <v>4599</v>
      </c>
      <c r="W66" s="163">
        <f>IFERROR(VLOOKUP(N66,TD!$B$50:$F$54,4,0)," ")</f>
        <v>20240207</v>
      </c>
      <c r="X66" s="162" t="s">
        <v>168</v>
      </c>
      <c r="Y66" s="163" t="str">
        <f>IFERROR(VLOOKUP(X66,TD!$J$51:$K$64,2,0)," ")</f>
        <v>Infraestructura Tecnológica   (Sistemas de Información y Tecnologia)</v>
      </c>
      <c r="Z66" s="164" t="str">
        <f>CONCATENATE(X66,"-",Y66)</f>
        <v>11-Infraestructura Tecnológica   (Sistemas de Información y Tecnologia)</v>
      </c>
      <c r="AA66" s="162" t="s">
        <v>228</v>
      </c>
      <c r="AB66" s="163" t="str">
        <f>IFERROR(VLOOKUP(AA66,TD!$N$51:$O$66,2,0)," ")</f>
        <v>Servicios tecnológicos</v>
      </c>
      <c r="AC66" s="164" t="str">
        <f>CONCATENATE(AA66,"_",AB66)</f>
        <v>007_Servicios tecnológicos</v>
      </c>
      <c r="AD66" s="164" t="str">
        <f>CONCATENATE(Z66," ",AC66)</f>
        <v>11-Infraestructura Tecnológica   (Sistemas de Información y Tecnologia) 007_Servicios tecnológicos</v>
      </c>
      <c r="AE66" s="163" t="str">
        <f>CONCATENATE(U66,V66,W66,X66,AA66)</f>
        <v>O23011745992024020711007</v>
      </c>
      <c r="AF66" s="163" t="str">
        <f>IFERROR(VLOOKUP(AD66,TD!$J$66:$K$89,2,0)," ")</f>
        <v>PM/0131/0111/45990070207</v>
      </c>
      <c r="AG66" s="118" t="s">
        <v>385</v>
      </c>
      <c r="AH66" s="162" t="s">
        <v>193</v>
      </c>
      <c r="AI66" s="165" t="str">
        <f>CONCATENATE(PAA[[#This Row],[Id Interno]],"-",PAA[[#This Row],[tipo de Contrato (TH talento humano - B/S bienes y/o servicios)]],"-",S66,"-",T66,"-",PAA[[#This Row],[Objeto de la contratación]])</f>
        <v>20260025-TH-8126-5-Prestar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v>
      </c>
    </row>
    <row r="67" spans="2:35" ht="98" x14ac:dyDescent="0.35">
      <c r="B67" s="23">
        <v>20260026</v>
      </c>
      <c r="C67" s="99" t="s">
        <v>598</v>
      </c>
      <c r="D67" s="23" t="s">
        <v>105</v>
      </c>
      <c r="E67" s="23" t="s">
        <v>363</v>
      </c>
      <c r="F67" s="159" t="s">
        <v>144</v>
      </c>
      <c r="G67" s="160" t="s">
        <v>373</v>
      </c>
      <c r="H67" s="161">
        <v>10</v>
      </c>
      <c r="I67" s="161">
        <v>0</v>
      </c>
      <c r="J67" s="127">
        <v>74500000</v>
      </c>
      <c r="K67" s="88" t="s">
        <v>398</v>
      </c>
      <c r="L67" s="159" t="s">
        <v>151</v>
      </c>
      <c r="M67" s="162" t="s">
        <v>401</v>
      </c>
      <c r="N67" s="23" t="s">
        <v>197</v>
      </c>
      <c r="O67" s="151" t="s">
        <v>945</v>
      </c>
      <c r="P67" s="159" t="s">
        <v>348</v>
      </c>
      <c r="Q67" s="53">
        <v>80111600</v>
      </c>
      <c r="R67" s="162" t="s">
        <v>204</v>
      </c>
      <c r="S67" s="162" t="str">
        <f>MID(PAA[[#This Row],[Meta Proyecto de Inversión]],1,4)</f>
        <v>8126</v>
      </c>
      <c r="T67" s="162" t="str">
        <f>MID(PAA[[#This Row],[Meta Proyecto de Inversión]],6,1)</f>
        <v>5</v>
      </c>
      <c r="U67" s="163" t="str">
        <f>IFERROR(VLOOKUP(N67,TD!$B$50:$F$54,2,0)," ")</f>
        <v>O230117</v>
      </c>
      <c r="V67" s="163" t="str">
        <f>IFERROR(VLOOKUP(N67,TD!$B$50:$F$54,3,0)," ")</f>
        <v>4599</v>
      </c>
      <c r="W67" s="163">
        <f>IFERROR(VLOOKUP(N67,TD!$B$50:$F$54,4,0)," ")</f>
        <v>20240207</v>
      </c>
      <c r="X67" s="162" t="s">
        <v>168</v>
      </c>
      <c r="Y67" s="163" t="str">
        <f>IFERROR(VLOOKUP(X67,TD!$J$51:$K$64,2,0)," ")</f>
        <v>Infraestructura Tecnológica   (Sistemas de Información y Tecnologia)</v>
      </c>
      <c r="Z67" s="164" t="str">
        <f>CONCATENATE(X67,"-",Y67)</f>
        <v>11-Infraestructura Tecnológica   (Sistemas de Información y Tecnologia)</v>
      </c>
      <c r="AA67" s="162" t="s">
        <v>228</v>
      </c>
      <c r="AB67" s="163" t="str">
        <f>IFERROR(VLOOKUP(AA67,TD!$N$51:$O$66,2,0)," ")</f>
        <v>Servicios tecnológicos</v>
      </c>
      <c r="AC67" s="164" t="str">
        <f>CONCATENATE(AA67,"_",AB67)</f>
        <v>007_Servicios tecnológicos</v>
      </c>
      <c r="AD67" s="164" t="str">
        <f>CONCATENATE(Z67," ",AC67)</f>
        <v>11-Infraestructura Tecnológica   (Sistemas de Información y Tecnologia) 007_Servicios tecnológicos</v>
      </c>
      <c r="AE67" s="163" t="str">
        <f>CONCATENATE(U67,V67,W67,X67,AA67)</f>
        <v>O23011745992024020711007</v>
      </c>
      <c r="AF67" s="163" t="str">
        <f>IFERROR(VLOOKUP(AD67,TD!$J$66:$K$89,2,0)," ")</f>
        <v>PM/0131/0111/45990070207</v>
      </c>
      <c r="AG67" s="118" t="s">
        <v>385</v>
      </c>
      <c r="AH67" s="162" t="s">
        <v>193</v>
      </c>
      <c r="AI67" s="165" t="str">
        <f>CONCATENATE(PAA[[#This Row],[Id Interno]],"-",PAA[[#This Row],[tipo de Contrato (TH talento humano - B/S bienes y/o servicios)]],"-",S67,"-",T67,"-",PAA[[#This Row],[Objeto de la contratación]])</f>
        <v>20260026-TH-8126-5-Prestar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v>
      </c>
    </row>
    <row r="68" spans="2:35" ht="84" x14ac:dyDescent="0.35">
      <c r="B68" s="23">
        <v>20260027</v>
      </c>
      <c r="C68" s="99" t="s">
        <v>599</v>
      </c>
      <c r="D68" s="23" t="s">
        <v>105</v>
      </c>
      <c r="E68" s="23" t="s">
        <v>363</v>
      </c>
      <c r="F68" s="159" t="s">
        <v>144</v>
      </c>
      <c r="G68" s="160" t="s">
        <v>373</v>
      </c>
      <c r="H68" s="161">
        <v>11</v>
      </c>
      <c r="I68" s="161">
        <v>0</v>
      </c>
      <c r="J68" s="127">
        <v>92400000</v>
      </c>
      <c r="K68" s="88" t="s">
        <v>398</v>
      </c>
      <c r="L68" s="159" t="s">
        <v>151</v>
      </c>
      <c r="M68" s="162" t="s">
        <v>401</v>
      </c>
      <c r="N68" s="23" t="s">
        <v>197</v>
      </c>
      <c r="O68" s="151" t="s">
        <v>945</v>
      </c>
      <c r="P68" s="159" t="s">
        <v>348</v>
      </c>
      <c r="Q68" s="53">
        <v>80111600</v>
      </c>
      <c r="R68" s="162" t="s">
        <v>204</v>
      </c>
      <c r="S68" s="162" t="str">
        <f>MID(PAA[[#This Row],[Meta Proyecto de Inversión]],1,4)</f>
        <v>8126</v>
      </c>
      <c r="T68" s="162" t="str">
        <f>MID(PAA[[#This Row],[Meta Proyecto de Inversión]],6,1)</f>
        <v>5</v>
      </c>
      <c r="U68" s="163" t="str">
        <f>IFERROR(VLOOKUP(N68,TD!$B$50:$F$54,2,0)," ")</f>
        <v>O230117</v>
      </c>
      <c r="V68" s="163" t="str">
        <f>IFERROR(VLOOKUP(N68,TD!$B$50:$F$54,3,0)," ")</f>
        <v>4599</v>
      </c>
      <c r="W68" s="163">
        <f>IFERROR(VLOOKUP(N68,TD!$B$50:$F$54,4,0)," ")</f>
        <v>20240207</v>
      </c>
      <c r="X68" s="162" t="s">
        <v>168</v>
      </c>
      <c r="Y68" s="163" t="str">
        <f>IFERROR(VLOOKUP(X68,TD!$J$51:$K$64,2,0)," ")</f>
        <v>Infraestructura Tecnológica   (Sistemas de Información y Tecnologia)</v>
      </c>
      <c r="Z68" s="164" t="str">
        <f>CONCATENATE(X68,"-",Y68)</f>
        <v>11-Infraestructura Tecnológica   (Sistemas de Información y Tecnologia)</v>
      </c>
      <c r="AA68" s="162" t="s">
        <v>228</v>
      </c>
      <c r="AB68" s="163" t="str">
        <f>IFERROR(VLOOKUP(AA68,TD!$N$51:$O$66,2,0)," ")</f>
        <v>Servicios tecnológicos</v>
      </c>
      <c r="AC68" s="164" t="str">
        <f>CONCATENATE(AA68,"_",AB68)</f>
        <v>007_Servicios tecnológicos</v>
      </c>
      <c r="AD68" s="164" t="str">
        <f>CONCATENATE(Z68," ",AC68)</f>
        <v>11-Infraestructura Tecnológica   (Sistemas de Información y Tecnologia) 007_Servicios tecnológicos</v>
      </c>
      <c r="AE68" s="163" t="str">
        <f>CONCATENATE(U68,V68,W68,X68,AA68)</f>
        <v>O23011745992024020711007</v>
      </c>
      <c r="AF68" s="163" t="str">
        <f>IFERROR(VLOOKUP(AD68,TD!$J$66:$K$89,2,0)," ")</f>
        <v>PM/0131/0111/45990070207</v>
      </c>
      <c r="AG68" s="118" t="s">
        <v>385</v>
      </c>
      <c r="AH68" s="162" t="s">
        <v>193</v>
      </c>
      <c r="AI68" s="165" t="str">
        <f>CONCATENATE(PAA[[#This Row],[Id Interno]],"-",PAA[[#This Row],[tipo de Contrato (TH talento humano - B/S bienes y/o servicios)]],"-",S68,"-",T68,"-",PAA[[#This Row],[Objeto de la contratación]])</f>
        <v>20260027-TH-8126-5-Prestar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v>
      </c>
    </row>
    <row r="69" spans="2:35" ht="84" x14ac:dyDescent="0.35">
      <c r="B69" s="23">
        <v>20260028</v>
      </c>
      <c r="C69" s="99" t="s">
        <v>582</v>
      </c>
      <c r="D69" s="23" t="s">
        <v>105</v>
      </c>
      <c r="E69" s="23" t="s">
        <v>363</v>
      </c>
      <c r="F69" s="159" t="s">
        <v>144</v>
      </c>
      <c r="G69" s="160" t="s">
        <v>373</v>
      </c>
      <c r="H69" s="161">
        <v>11</v>
      </c>
      <c r="I69" s="161">
        <v>0</v>
      </c>
      <c r="J69" s="127">
        <v>85800000</v>
      </c>
      <c r="K69" s="88" t="s">
        <v>398</v>
      </c>
      <c r="L69" s="159" t="s">
        <v>151</v>
      </c>
      <c r="M69" s="162" t="s">
        <v>401</v>
      </c>
      <c r="N69" s="23" t="s">
        <v>197</v>
      </c>
      <c r="O69" s="151" t="s">
        <v>945</v>
      </c>
      <c r="P69" s="159" t="s">
        <v>348</v>
      </c>
      <c r="Q69" s="53">
        <v>80111600</v>
      </c>
      <c r="R69" s="162" t="s">
        <v>204</v>
      </c>
      <c r="S69" s="162" t="str">
        <f>MID(PAA[[#This Row],[Meta Proyecto de Inversión]],1,4)</f>
        <v>8126</v>
      </c>
      <c r="T69" s="162" t="str">
        <f>MID(PAA[[#This Row],[Meta Proyecto de Inversión]],6,1)</f>
        <v>5</v>
      </c>
      <c r="U69" s="163" t="str">
        <f>IFERROR(VLOOKUP(N69,TD!$B$50:$F$54,2,0)," ")</f>
        <v>O230117</v>
      </c>
      <c r="V69" s="163" t="str">
        <f>IFERROR(VLOOKUP(N69,TD!$B$50:$F$54,3,0)," ")</f>
        <v>4599</v>
      </c>
      <c r="W69" s="163">
        <f>IFERROR(VLOOKUP(N69,TD!$B$50:$F$54,4,0)," ")</f>
        <v>20240207</v>
      </c>
      <c r="X69" s="162" t="s">
        <v>168</v>
      </c>
      <c r="Y69" s="163" t="str">
        <f>IFERROR(VLOOKUP(X69,TD!$J$51:$K$64,2,0)," ")</f>
        <v>Infraestructura Tecnológica   (Sistemas de Información y Tecnologia)</v>
      </c>
      <c r="Z69" s="164" t="str">
        <f>CONCATENATE(X69,"-",Y69)</f>
        <v>11-Infraestructura Tecnológica   (Sistemas de Información y Tecnologia)</v>
      </c>
      <c r="AA69" s="162" t="s">
        <v>228</v>
      </c>
      <c r="AB69" s="163" t="str">
        <f>IFERROR(VLOOKUP(AA69,TD!$N$51:$O$66,2,0)," ")</f>
        <v>Servicios tecnológicos</v>
      </c>
      <c r="AC69" s="164" t="str">
        <f>CONCATENATE(AA69,"_",AB69)</f>
        <v>007_Servicios tecnológicos</v>
      </c>
      <c r="AD69" s="164" t="str">
        <f>CONCATENATE(Z69," ",AC69)</f>
        <v>11-Infraestructura Tecnológica   (Sistemas de Información y Tecnologia) 007_Servicios tecnológicos</v>
      </c>
      <c r="AE69" s="163" t="str">
        <f>CONCATENATE(U69,V69,W69,X69,AA69)</f>
        <v>O23011745992024020711007</v>
      </c>
      <c r="AF69" s="163" t="str">
        <f>IFERROR(VLOOKUP(AD69,TD!$J$66:$K$89,2,0)," ")</f>
        <v>PM/0131/0111/45990070207</v>
      </c>
      <c r="AG69" s="118" t="s">
        <v>385</v>
      </c>
      <c r="AH69" s="162" t="s">
        <v>193</v>
      </c>
      <c r="AI69" s="165" t="str">
        <f>CONCATENATE(PAA[[#This Row],[Id Interno]],"-",PAA[[#This Row],[tipo de Contrato (TH talento humano - B/S bienes y/o servicios)]],"-",S69,"-",T69,"-",PAA[[#This Row],[Objeto de la contratación]])</f>
        <v>20260028-TH-8126-5-Prestar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v>
      </c>
    </row>
    <row r="70" spans="2:35" ht="126" x14ac:dyDescent="0.35">
      <c r="B70" s="23">
        <v>20260030</v>
      </c>
      <c r="C70" s="99" t="s">
        <v>601</v>
      </c>
      <c r="D70" s="23" t="s">
        <v>105</v>
      </c>
      <c r="E70" s="23" t="s">
        <v>363</v>
      </c>
      <c r="F70" s="159" t="s">
        <v>144</v>
      </c>
      <c r="G70" s="160" t="s">
        <v>373</v>
      </c>
      <c r="H70" s="161">
        <v>10</v>
      </c>
      <c r="I70" s="161">
        <v>0</v>
      </c>
      <c r="J70" s="127">
        <v>55000000</v>
      </c>
      <c r="K70" s="88" t="s">
        <v>398</v>
      </c>
      <c r="L70" s="159" t="s">
        <v>151</v>
      </c>
      <c r="M70" s="162" t="s">
        <v>401</v>
      </c>
      <c r="N70" s="23" t="s">
        <v>197</v>
      </c>
      <c r="O70" s="151" t="s">
        <v>945</v>
      </c>
      <c r="P70" s="159" t="s">
        <v>348</v>
      </c>
      <c r="Q70" s="53">
        <v>80111600</v>
      </c>
      <c r="R70" s="162" t="s">
        <v>205</v>
      </c>
      <c r="S70" s="162" t="str">
        <f>MID(PAA[[#This Row],[Meta Proyecto de Inversión]],1,4)</f>
        <v>8126</v>
      </c>
      <c r="T70" s="162" t="str">
        <f>MID(PAA[[#This Row],[Meta Proyecto de Inversión]],6,1)</f>
        <v>6</v>
      </c>
      <c r="U70" s="163" t="str">
        <f>IFERROR(VLOOKUP(N70,TD!$B$50:$F$54,2,0)," ")</f>
        <v>O230117</v>
      </c>
      <c r="V70" s="163" t="str">
        <f>IFERROR(VLOOKUP(N70,TD!$B$50:$F$54,3,0)," ")</f>
        <v>4599</v>
      </c>
      <c r="W70" s="163">
        <f>IFERROR(VLOOKUP(N70,TD!$B$50:$F$54,4,0)," ")</f>
        <v>20240207</v>
      </c>
      <c r="X70" s="162" t="s">
        <v>168</v>
      </c>
      <c r="Y70" s="163" t="str">
        <f>IFERROR(VLOOKUP(X70,TD!$J$51:$K$64,2,0)," ")</f>
        <v>Infraestructura Tecnológica   (Sistemas de Información y Tecnologia)</v>
      </c>
      <c r="Z70" s="164" t="str">
        <f>CONCATENATE(X70,"-",Y70)</f>
        <v>11-Infraestructura Tecnológica   (Sistemas de Información y Tecnologia)</v>
      </c>
      <c r="AA70" s="162" t="s">
        <v>228</v>
      </c>
      <c r="AB70" s="163" t="str">
        <f>IFERROR(VLOOKUP(AA70,TD!$N$51:$O$66,2,0)," ")</f>
        <v>Servicios tecnológicos</v>
      </c>
      <c r="AC70" s="164" t="str">
        <f>CONCATENATE(AA70,"_",AB70)</f>
        <v>007_Servicios tecnológicos</v>
      </c>
      <c r="AD70" s="164" t="str">
        <f>CONCATENATE(Z70," ",AC70)</f>
        <v>11-Infraestructura Tecnológica   (Sistemas de Información y Tecnologia) 007_Servicios tecnológicos</v>
      </c>
      <c r="AE70" s="163" t="str">
        <f>CONCATENATE(U70,V70,W70,X70,AA70)</f>
        <v>O23011745992024020711007</v>
      </c>
      <c r="AF70" s="163" t="str">
        <f>IFERROR(VLOOKUP(AD70,TD!$J$66:$K$89,2,0)," ")</f>
        <v>PM/0131/0111/45990070207</v>
      </c>
      <c r="AG70" s="118" t="s">
        <v>385</v>
      </c>
      <c r="AH70" s="162" t="s">
        <v>193</v>
      </c>
      <c r="AI70" s="165" t="str">
        <f>CONCATENATE(PAA[[#This Row],[Id Interno]],"-",PAA[[#This Row],[tipo de Contrato (TH talento humano - B/S bienes y/o servicios)]],"-",S70,"-",T70,"-",PAA[[#This Row],[Objeto de la contratación]])</f>
        <v>20260030-TH-8126-6-Prestar servicios profesionales, en el levantamiento de requerimientos, análisis y mejora de soluciones digitales a cargo de la Dirección de Tecnologías de la Información y las Comunicaciones de la U.A.E Cuerpo Oficial de Bomberos de Bogotá D.C.</v>
      </c>
    </row>
    <row r="71" spans="2:35" ht="70" x14ac:dyDescent="0.35">
      <c r="B71" s="23">
        <v>20260031</v>
      </c>
      <c r="C71" s="99" t="s">
        <v>602</v>
      </c>
      <c r="D71" s="23" t="s">
        <v>105</v>
      </c>
      <c r="E71" s="23" t="s">
        <v>363</v>
      </c>
      <c r="F71" s="159" t="s">
        <v>144</v>
      </c>
      <c r="G71" s="160" t="s">
        <v>373</v>
      </c>
      <c r="H71" s="161">
        <v>10</v>
      </c>
      <c r="I71" s="161">
        <v>0</v>
      </c>
      <c r="J71" s="127">
        <v>75000000</v>
      </c>
      <c r="K71" s="88" t="s">
        <v>398</v>
      </c>
      <c r="L71" s="159" t="s">
        <v>151</v>
      </c>
      <c r="M71" s="162" t="s">
        <v>401</v>
      </c>
      <c r="N71" s="23" t="s">
        <v>197</v>
      </c>
      <c r="O71" s="151" t="s">
        <v>945</v>
      </c>
      <c r="P71" s="159" t="s">
        <v>348</v>
      </c>
      <c r="Q71" s="53">
        <v>80111600</v>
      </c>
      <c r="R71" s="162" t="s">
        <v>205</v>
      </c>
      <c r="S71" s="162" t="str">
        <f>MID(PAA[[#This Row],[Meta Proyecto de Inversión]],1,4)</f>
        <v>8126</v>
      </c>
      <c r="T71" s="162" t="str">
        <f>MID(PAA[[#This Row],[Meta Proyecto de Inversión]],6,1)</f>
        <v>6</v>
      </c>
      <c r="U71" s="163" t="str">
        <f>IFERROR(VLOOKUP(N71,TD!$B$50:$F$54,2,0)," ")</f>
        <v>O230117</v>
      </c>
      <c r="V71" s="163" t="str">
        <f>IFERROR(VLOOKUP(N71,TD!$B$50:$F$54,3,0)," ")</f>
        <v>4599</v>
      </c>
      <c r="W71" s="163">
        <f>IFERROR(VLOOKUP(N71,TD!$B$50:$F$54,4,0)," ")</f>
        <v>20240207</v>
      </c>
      <c r="X71" s="162" t="s">
        <v>168</v>
      </c>
      <c r="Y71" s="163" t="str">
        <f>IFERROR(VLOOKUP(X71,TD!$J$51:$K$64,2,0)," ")</f>
        <v>Infraestructura Tecnológica   (Sistemas de Información y Tecnologia)</v>
      </c>
      <c r="Z71" s="164" t="str">
        <f>CONCATENATE(X71,"-",Y71)</f>
        <v>11-Infraestructura Tecnológica   (Sistemas de Información y Tecnologia)</v>
      </c>
      <c r="AA71" s="162" t="s">
        <v>228</v>
      </c>
      <c r="AB71" s="163" t="str">
        <f>IFERROR(VLOOKUP(AA71,TD!$N$51:$O$66,2,0)," ")</f>
        <v>Servicios tecnológicos</v>
      </c>
      <c r="AC71" s="164" t="str">
        <f>CONCATENATE(AA71,"_",AB71)</f>
        <v>007_Servicios tecnológicos</v>
      </c>
      <c r="AD71" s="164" t="str">
        <f>CONCATENATE(Z71," ",AC71)</f>
        <v>11-Infraestructura Tecnológica   (Sistemas de Información y Tecnologia) 007_Servicios tecnológicos</v>
      </c>
      <c r="AE71" s="163" t="str">
        <f>CONCATENATE(U71,V71,W71,X71,AA71)</f>
        <v>O23011745992024020711007</v>
      </c>
      <c r="AF71" s="163" t="str">
        <f>IFERROR(VLOOKUP(AD71,TD!$J$66:$K$89,2,0)," ")</f>
        <v>PM/0131/0111/45990070207</v>
      </c>
      <c r="AG71" s="118" t="s">
        <v>385</v>
      </c>
      <c r="AH71" s="162" t="s">
        <v>193</v>
      </c>
      <c r="AI71" s="165" t="str">
        <f>CONCATENATE(PAA[[#This Row],[Id Interno]],"-",PAA[[#This Row],[tipo de Contrato (TH talento humano - B/S bienes y/o servicios)]],"-",S71,"-",T71,"-",PAA[[#This Row],[Objeto de la contratación]])</f>
        <v>20260031-TH-8126-6-Prestar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v>
      </c>
    </row>
    <row r="72" spans="2:35" ht="84" x14ac:dyDescent="0.35">
      <c r="B72" s="23">
        <v>20260032</v>
      </c>
      <c r="C72" s="99" t="s">
        <v>429</v>
      </c>
      <c r="D72" s="23" t="s">
        <v>114</v>
      </c>
      <c r="E72" s="23" t="s">
        <v>402</v>
      </c>
      <c r="F72" s="159" t="s">
        <v>89</v>
      </c>
      <c r="G72" s="160" t="s">
        <v>376</v>
      </c>
      <c r="H72" s="161">
        <v>9</v>
      </c>
      <c r="I72" s="161">
        <v>0</v>
      </c>
      <c r="J72" s="127">
        <f>103000000</f>
        <v>103000000</v>
      </c>
      <c r="K72" s="88" t="s">
        <v>398</v>
      </c>
      <c r="L72" s="159" t="s">
        <v>151</v>
      </c>
      <c r="M72" s="162" t="s">
        <v>401</v>
      </c>
      <c r="N72" s="23" t="s">
        <v>197</v>
      </c>
      <c r="O72" s="151" t="s">
        <v>945</v>
      </c>
      <c r="P72" s="159" t="s">
        <v>348</v>
      </c>
      <c r="Q72" s="53" t="s">
        <v>441</v>
      </c>
      <c r="R72" s="162" t="s">
        <v>203</v>
      </c>
      <c r="S72" s="162" t="str">
        <f>MID(PAA[[#This Row],[Meta Proyecto de Inversión]],1,4)</f>
        <v>8126</v>
      </c>
      <c r="T72" s="162" t="str">
        <f>MID(PAA[[#This Row],[Meta Proyecto de Inversión]],6,1)</f>
        <v>4</v>
      </c>
      <c r="U72" s="163" t="str">
        <f>IFERROR(VLOOKUP(N72,TD!$B$50:$F$54,2,0)," ")</f>
        <v>O230117</v>
      </c>
      <c r="V72" s="163" t="str">
        <f>IFERROR(VLOOKUP(N72,TD!$B$50:$F$54,3,0)," ")</f>
        <v>4599</v>
      </c>
      <c r="W72" s="163">
        <f>IFERROR(VLOOKUP(N72,TD!$B$50:$F$54,4,0)," ")</f>
        <v>20240207</v>
      </c>
      <c r="X72" s="162" t="s">
        <v>168</v>
      </c>
      <c r="Y72" s="163" t="str">
        <f>IFERROR(VLOOKUP(X72,TD!$J$51:$K$64,2,0)," ")</f>
        <v>Infraestructura Tecnológica   (Sistemas de Información y Tecnologia)</v>
      </c>
      <c r="Z72" s="164" t="str">
        <f>CONCATENATE(X72,"-",Y72)</f>
        <v>11-Infraestructura Tecnológica   (Sistemas de Información y Tecnologia)</v>
      </c>
      <c r="AA72" s="162" t="s">
        <v>228</v>
      </c>
      <c r="AB72" s="163" t="str">
        <f>IFERROR(VLOOKUP(AA72,TD!$N$51:$O$66,2,0)," ")</f>
        <v>Servicios tecnológicos</v>
      </c>
      <c r="AC72" s="164" t="str">
        <f>CONCATENATE(AA72,"_",AB72)</f>
        <v>007_Servicios tecnológicos</v>
      </c>
      <c r="AD72" s="164" t="str">
        <f>CONCATENATE(Z72," ",AC72)</f>
        <v>11-Infraestructura Tecnológica   (Sistemas de Información y Tecnologia) 007_Servicios tecnológicos</v>
      </c>
      <c r="AE72" s="163" t="str">
        <f>CONCATENATE(U72,V72,W72,X72,AA72)</f>
        <v>O23011745992024020711007</v>
      </c>
      <c r="AF72" s="163" t="str">
        <f>IFERROR(VLOOKUP(AD72,TD!$J$66:$K$89,2,0)," ")</f>
        <v>PM/0131/0111/45990070207</v>
      </c>
      <c r="AG72" s="118" t="s">
        <v>116</v>
      </c>
      <c r="AH72" s="162" t="s">
        <v>193</v>
      </c>
      <c r="AI72" s="165" t="str">
        <f>CONCATENATE(PAA[[#This Row],[Id Interno]],"-",PAA[[#This Row],[tipo de Contrato (TH talento humano - B/S bienes y/o servicios)]],"-",S72,"-",T72,"-",PAA[[#This Row],[Objeto de la contratación]])</f>
        <v>20260032-BS-8126-4-Contratar la prestación del servicio de monitoreo, control y seguimiento satelital a los vehículos de propiedad de la U.A.E. Cuerpo Oficial de Bomberos de Bogotá - TIC</v>
      </c>
    </row>
    <row r="73" spans="2:35" ht="70" x14ac:dyDescent="0.35">
      <c r="B73" s="23">
        <v>20260034</v>
      </c>
      <c r="C73" s="99" t="s">
        <v>431</v>
      </c>
      <c r="D73" s="23" t="s">
        <v>92</v>
      </c>
      <c r="E73" s="23" t="s">
        <v>402</v>
      </c>
      <c r="F73" s="159" t="s">
        <v>101</v>
      </c>
      <c r="G73" s="160" t="s">
        <v>382</v>
      </c>
      <c r="H73" s="161">
        <v>12</v>
      </c>
      <c r="I73" s="161">
        <v>0</v>
      </c>
      <c r="J73" s="127">
        <v>10000000</v>
      </c>
      <c r="K73" s="88" t="s">
        <v>398</v>
      </c>
      <c r="L73" s="159" t="s">
        <v>151</v>
      </c>
      <c r="M73" s="162" t="s">
        <v>401</v>
      </c>
      <c r="N73" s="23" t="s">
        <v>197</v>
      </c>
      <c r="O73" s="151" t="s">
        <v>945</v>
      </c>
      <c r="P73" s="159" t="s">
        <v>348</v>
      </c>
      <c r="Q73" s="53" t="s">
        <v>442</v>
      </c>
      <c r="R73" s="162" t="s">
        <v>203</v>
      </c>
      <c r="S73" s="162" t="str">
        <f>MID(PAA[[#This Row],[Meta Proyecto de Inversión]],1,4)</f>
        <v>8126</v>
      </c>
      <c r="T73" s="162" t="str">
        <f>MID(PAA[[#This Row],[Meta Proyecto de Inversión]],6,1)</f>
        <v>4</v>
      </c>
      <c r="U73" s="163" t="str">
        <f>IFERROR(VLOOKUP(N73,TD!$B$50:$F$54,2,0)," ")</f>
        <v>O230117</v>
      </c>
      <c r="V73" s="163" t="str">
        <f>IFERROR(VLOOKUP(N73,TD!$B$50:$F$54,3,0)," ")</f>
        <v>4599</v>
      </c>
      <c r="W73" s="163">
        <f>IFERROR(VLOOKUP(N73,TD!$B$50:$F$54,4,0)," ")</f>
        <v>20240207</v>
      </c>
      <c r="X73" s="162" t="s">
        <v>168</v>
      </c>
      <c r="Y73" s="163" t="str">
        <f>IFERROR(VLOOKUP(X73,TD!$J$51:$K$64,2,0)," ")</f>
        <v>Infraestructura Tecnológica   (Sistemas de Información y Tecnologia)</v>
      </c>
      <c r="Z73" s="164" t="str">
        <f>CONCATENATE(X73,"-",Y73)</f>
        <v>11-Infraestructura Tecnológica   (Sistemas de Información y Tecnologia)</v>
      </c>
      <c r="AA73" s="162" t="s">
        <v>228</v>
      </c>
      <c r="AB73" s="163" t="str">
        <f>IFERROR(VLOOKUP(AA73,TD!$N$51:$O$66,2,0)," ")</f>
        <v>Servicios tecnológicos</v>
      </c>
      <c r="AC73" s="164" t="str">
        <f>CONCATENATE(AA73,"_",AB73)</f>
        <v>007_Servicios tecnológicos</v>
      </c>
      <c r="AD73" s="164" t="str">
        <f>CONCATENATE(Z73," ",AC73)</f>
        <v>11-Infraestructura Tecnológica   (Sistemas de Información y Tecnologia) 007_Servicios tecnológicos</v>
      </c>
      <c r="AE73" s="163" t="str">
        <f>CONCATENATE(U73,V73,W73,X73,AA73)</f>
        <v>O23011745992024020711007</v>
      </c>
      <c r="AF73" s="163" t="str">
        <f>IFERROR(VLOOKUP(AD73,TD!$J$66:$K$89,2,0)," ")</f>
        <v>PM/0131/0111/45990070207</v>
      </c>
      <c r="AG73" s="118" t="s">
        <v>116</v>
      </c>
      <c r="AH73" s="162" t="s">
        <v>193</v>
      </c>
      <c r="AI73" s="165" t="str">
        <f>CONCATENATE(PAA[[#This Row],[Id Interno]],"-",PAA[[#This Row],[tipo de Contrato (TH talento humano - B/S bienes y/o servicios)]],"-",S73,"-",T73,"-",PAA[[#This Row],[Objeto de la contratación]])</f>
        <v>20260034-BS-8126-4-Adquisición de un certificado digital servidor seguro SSL para múltiples subdominios y aplicaciones para los sistemas misionales de la UAE cuerpo oficial de bomberos de Bogotá</v>
      </c>
    </row>
    <row r="74" spans="2:35" ht="70" x14ac:dyDescent="0.35">
      <c r="B74" s="23">
        <v>20260036</v>
      </c>
      <c r="C74" s="99" t="s">
        <v>432</v>
      </c>
      <c r="D74" s="23" t="s">
        <v>92</v>
      </c>
      <c r="E74" s="23" t="s">
        <v>402</v>
      </c>
      <c r="F74" s="159" t="s">
        <v>142</v>
      </c>
      <c r="G74" s="160" t="s">
        <v>376</v>
      </c>
      <c r="H74" s="161">
        <v>9</v>
      </c>
      <c r="I74" s="161">
        <v>0</v>
      </c>
      <c r="J74" s="127">
        <v>30000000</v>
      </c>
      <c r="K74" s="88" t="s">
        <v>398</v>
      </c>
      <c r="L74" s="159" t="s">
        <v>151</v>
      </c>
      <c r="M74" s="162" t="s">
        <v>401</v>
      </c>
      <c r="N74" s="23" t="s">
        <v>197</v>
      </c>
      <c r="O74" s="151" t="s">
        <v>945</v>
      </c>
      <c r="P74" s="159" t="s">
        <v>348</v>
      </c>
      <c r="Q74" s="53">
        <v>81112401</v>
      </c>
      <c r="R74" s="162" t="s">
        <v>204</v>
      </c>
      <c r="S74" s="162" t="str">
        <f>MID(PAA[[#This Row],[Meta Proyecto de Inversión]],1,4)</f>
        <v>8126</v>
      </c>
      <c r="T74" s="162" t="str">
        <f>MID(PAA[[#This Row],[Meta Proyecto de Inversión]],6,1)</f>
        <v>5</v>
      </c>
      <c r="U74" s="163" t="str">
        <f>IFERROR(VLOOKUP(N74,TD!$B$50:$F$54,2,0)," ")</f>
        <v>O230117</v>
      </c>
      <c r="V74" s="163" t="str">
        <f>IFERROR(VLOOKUP(N74,TD!$B$50:$F$54,3,0)," ")</f>
        <v>4599</v>
      </c>
      <c r="W74" s="163">
        <f>IFERROR(VLOOKUP(N74,TD!$B$50:$F$54,4,0)," ")</f>
        <v>20240207</v>
      </c>
      <c r="X74" s="162" t="s">
        <v>168</v>
      </c>
      <c r="Y74" s="163" t="str">
        <f>IFERROR(VLOOKUP(X74,TD!$J$51:$K$64,2,0)," ")</f>
        <v>Infraestructura Tecnológica   (Sistemas de Información y Tecnologia)</v>
      </c>
      <c r="Z74" s="164" t="str">
        <f>CONCATENATE(X74,"-",Y74)</f>
        <v>11-Infraestructura Tecnológica   (Sistemas de Información y Tecnologia)</v>
      </c>
      <c r="AA74" s="162" t="s">
        <v>228</v>
      </c>
      <c r="AB74" s="163" t="str">
        <f>IFERROR(VLOOKUP(AA74,TD!$N$51:$O$66,2,0)," ")</f>
        <v>Servicios tecnológicos</v>
      </c>
      <c r="AC74" s="164" t="str">
        <f>CONCATENATE(AA74,"_",AB74)</f>
        <v>007_Servicios tecnológicos</v>
      </c>
      <c r="AD74" s="164" t="str">
        <f>CONCATENATE(Z74," ",AC74)</f>
        <v>11-Infraestructura Tecnológica   (Sistemas de Información y Tecnologia) 007_Servicios tecnológicos</v>
      </c>
      <c r="AE74" s="163" t="str">
        <f>CONCATENATE(U74,V74,W74,X74,AA74)</f>
        <v>O23011745992024020711007</v>
      </c>
      <c r="AF74" s="163" t="str">
        <f>IFERROR(VLOOKUP(AD74,TD!$J$66:$K$89,2,0)," ")</f>
        <v>PM/0131/0111/45990070207</v>
      </c>
      <c r="AG74" s="118" t="s">
        <v>121</v>
      </c>
      <c r="AH74" s="162" t="s">
        <v>193</v>
      </c>
      <c r="AI74" s="165" t="str">
        <f>CONCATENATE(PAA[[#This Row],[Id Interno]],"-",PAA[[#This Row],[tipo de Contrato (TH talento humano - B/S bienes y/o servicios)]],"-",S74,"-",T74,"-",PAA[[#This Row],[Objeto de la contratación]])</f>
        <v>20260036-BS-8126-5-Contratar el alquiler de equipos tecnológicos, periféricos y servicios complementarios para la U.A.E. Cuerpo Oficial de Bomberos de Bogotá. - TIC</v>
      </c>
    </row>
    <row r="75" spans="2:35" ht="70" x14ac:dyDescent="0.35">
      <c r="B75" s="23">
        <v>20260037</v>
      </c>
      <c r="C75" s="99" t="s">
        <v>900</v>
      </c>
      <c r="D75" s="23" t="s">
        <v>114</v>
      </c>
      <c r="E75" s="23" t="s">
        <v>402</v>
      </c>
      <c r="F75" s="159" t="s">
        <v>143</v>
      </c>
      <c r="G75" s="160" t="s">
        <v>377</v>
      </c>
      <c r="H75" s="161">
        <v>12</v>
      </c>
      <c r="I75" s="161">
        <v>0</v>
      </c>
      <c r="J75" s="127">
        <v>200000000</v>
      </c>
      <c r="K75" s="88" t="s">
        <v>398</v>
      </c>
      <c r="L75" s="159" t="s">
        <v>151</v>
      </c>
      <c r="M75" s="162" t="s">
        <v>401</v>
      </c>
      <c r="N75" s="23" t="s">
        <v>197</v>
      </c>
      <c r="O75" s="151" t="s">
        <v>945</v>
      </c>
      <c r="P75" s="159" t="s">
        <v>348</v>
      </c>
      <c r="Q75" s="53" t="s">
        <v>901</v>
      </c>
      <c r="R75" s="162" t="s">
        <v>204</v>
      </c>
      <c r="S75" s="162" t="str">
        <f>MID(PAA[[#This Row],[Meta Proyecto de Inversión]],1,4)</f>
        <v>8126</v>
      </c>
      <c r="T75" s="162" t="str">
        <f>MID(PAA[[#This Row],[Meta Proyecto de Inversión]],6,1)</f>
        <v>5</v>
      </c>
      <c r="U75" s="163" t="str">
        <f>IFERROR(VLOOKUP(N75,TD!$B$50:$F$54,2,0)," ")</f>
        <v>O230117</v>
      </c>
      <c r="V75" s="163" t="str">
        <f>IFERROR(VLOOKUP(N75,TD!$B$50:$F$54,3,0)," ")</f>
        <v>4599</v>
      </c>
      <c r="W75" s="163">
        <f>IFERROR(VLOOKUP(N75,TD!$B$50:$F$54,4,0)," ")</f>
        <v>20240207</v>
      </c>
      <c r="X75" s="162" t="s">
        <v>168</v>
      </c>
      <c r="Y75" s="163" t="str">
        <f>IFERROR(VLOOKUP(X75,TD!$J$51:$K$64,2,0)," ")</f>
        <v>Infraestructura Tecnológica   (Sistemas de Información y Tecnologia)</v>
      </c>
      <c r="Z75" s="164" t="str">
        <f>CONCATENATE(X75,"-",Y75)</f>
        <v>11-Infraestructura Tecnológica   (Sistemas de Información y Tecnologia)</v>
      </c>
      <c r="AA75" s="162" t="s">
        <v>228</v>
      </c>
      <c r="AB75" s="163" t="str">
        <f>IFERROR(VLOOKUP(AA75,TD!$N$51:$O$66,2,0)," ")</f>
        <v>Servicios tecnológicos</v>
      </c>
      <c r="AC75" s="164" t="str">
        <f>CONCATENATE(AA75,"_",AB75)</f>
        <v>007_Servicios tecnológicos</v>
      </c>
      <c r="AD75" s="164" t="str">
        <f>CONCATENATE(Z75," ",AC75)</f>
        <v>11-Infraestructura Tecnológica   (Sistemas de Información y Tecnologia) 007_Servicios tecnológicos</v>
      </c>
      <c r="AE75" s="163" t="str">
        <f>CONCATENATE(U75,V75,W75,X75,AA75)</f>
        <v>O23011745992024020711007</v>
      </c>
      <c r="AF75" s="163" t="str">
        <f>IFERROR(VLOOKUP(AD75,TD!$J$66:$K$89,2,0)," ")</f>
        <v>PM/0131/0111/45990070207</v>
      </c>
      <c r="AG75" s="118" t="s">
        <v>121</v>
      </c>
      <c r="AH75" s="162" t="s">
        <v>193</v>
      </c>
      <c r="AI75" s="165" t="str">
        <f>CONCATENATE(PAA[[#This Row],[Id Interno]],"-",PAA[[#This Row],[tipo de Contrato (TH talento humano - B/S bienes y/o servicios)]],"-",S75,"-",T75,"-",PAA[[#This Row],[Objeto de la contratación]])</f>
        <v>20260037-BS-8126-5-Contratar la adquisición de dispositivos para el fortalecimiento y modernización de la infraestructura tecnológica de la U.A.E. Cuerpo Oficial de Bomberos de Bogotá.</v>
      </c>
    </row>
    <row r="76" spans="2:35" ht="84" x14ac:dyDescent="0.35">
      <c r="B76" s="23">
        <v>20260038</v>
      </c>
      <c r="C76" s="99" t="s">
        <v>902</v>
      </c>
      <c r="D76" s="23" t="s">
        <v>105</v>
      </c>
      <c r="E76" s="23" t="s">
        <v>402</v>
      </c>
      <c r="F76" s="159" t="s">
        <v>89</v>
      </c>
      <c r="G76" s="160" t="s">
        <v>375</v>
      </c>
      <c r="H76" s="161">
        <v>12</v>
      </c>
      <c r="I76" s="161">
        <v>0</v>
      </c>
      <c r="J76" s="127">
        <v>100000000</v>
      </c>
      <c r="K76" s="88" t="s">
        <v>398</v>
      </c>
      <c r="L76" s="159" t="s">
        <v>151</v>
      </c>
      <c r="M76" s="162" t="s">
        <v>401</v>
      </c>
      <c r="N76" s="23" t="s">
        <v>197</v>
      </c>
      <c r="O76" s="151" t="s">
        <v>945</v>
      </c>
      <c r="P76" s="159" t="s">
        <v>348</v>
      </c>
      <c r="Q76" s="53" t="s">
        <v>443</v>
      </c>
      <c r="R76" s="162" t="s">
        <v>204</v>
      </c>
      <c r="S76" s="162" t="str">
        <f>MID(PAA[[#This Row],[Meta Proyecto de Inversión]],1,4)</f>
        <v>8126</v>
      </c>
      <c r="T76" s="162" t="str">
        <f>MID(PAA[[#This Row],[Meta Proyecto de Inversión]],6,1)</f>
        <v>5</v>
      </c>
      <c r="U76" s="163" t="str">
        <f>IFERROR(VLOOKUP(N76,TD!$B$50:$F$54,2,0)," ")</f>
        <v>O230117</v>
      </c>
      <c r="V76" s="163" t="str">
        <f>IFERROR(VLOOKUP(N76,TD!$B$50:$F$54,3,0)," ")</f>
        <v>4599</v>
      </c>
      <c r="W76" s="163">
        <f>IFERROR(VLOOKUP(N76,TD!$B$50:$F$54,4,0)," ")</f>
        <v>20240207</v>
      </c>
      <c r="X76" s="162" t="s">
        <v>168</v>
      </c>
      <c r="Y76" s="163" t="str">
        <f>IFERROR(VLOOKUP(X76,TD!$J$51:$K$64,2,0)," ")</f>
        <v>Infraestructura Tecnológica   (Sistemas de Información y Tecnologia)</v>
      </c>
      <c r="Z76" s="164" t="str">
        <f>CONCATENATE(X76,"-",Y76)</f>
        <v>11-Infraestructura Tecnológica   (Sistemas de Información y Tecnologia)</v>
      </c>
      <c r="AA76" s="162" t="s">
        <v>228</v>
      </c>
      <c r="AB76" s="163" t="str">
        <f>IFERROR(VLOOKUP(AA76,TD!$N$51:$O$66,2,0)," ")</f>
        <v>Servicios tecnológicos</v>
      </c>
      <c r="AC76" s="164" t="str">
        <f>CONCATENATE(AA76,"_",AB76)</f>
        <v>007_Servicios tecnológicos</v>
      </c>
      <c r="AD76" s="164" t="str">
        <f>CONCATENATE(Z76," ",AC76)</f>
        <v>11-Infraestructura Tecnológica   (Sistemas de Información y Tecnologia) 007_Servicios tecnológicos</v>
      </c>
      <c r="AE76" s="163" t="str">
        <f>CONCATENATE(U76,V76,W76,X76,AA76)</f>
        <v>O23011745992024020711007</v>
      </c>
      <c r="AF76" s="163" t="str">
        <f>IFERROR(VLOOKUP(AD76,TD!$J$66:$K$89,2,0)," ")</f>
        <v>PM/0131/0111/45990070207</v>
      </c>
      <c r="AG76" s="118" t="s">
        <v>116</v>
      </c>
      <c r="AH76" s="162" t="s">
        <v>194</v>
      </c>
      <c r="AI76" s="165" t="str">
        <f>CONCATENATE(PAA[[#This Row],[Id Interno]],"-",PAA[[#This Row],[tipo de Contrato (TH talento humano - B/S bienes y/o servicios)]],"-",S76,"-",T76,"-",PAA[[#This Row],[Objeto de la contratación]])</f>
        <v>20260038-BS-8126-5-Adición y prorróga al contrato No. 245 de 2025 cuyo objeto es  "Contratar el servicio de mantenimiento preventivo y correctivo de los radios portátiles y móviles marca Motorola propiedad de la U.A.E. Cuerpo Oficial de Bomberos de Bogotá – TIC"</v>
      </c>
    </row>
    <row r="77" spans="2:35" ht="84" x14ac:dyDescent="0.35">
      <c r="B77" s="23">
        <v>20260039</v>
      </c>
      <c r="C77" s="99" t="s">
        <v>903</v>
      </c>
      <c r="D77" s="23" t="s">
        <v>88</v>
      </c>
      <c r="E77" s="23" t="s">
        <v>402</v>
      </c>
      <c r="F77" s="159" t="s">
        <v>89</v>
      </c>
      <c r="G77" s="160" t="s">
        <v>375</v>
      </c>
      <c r="H77" s="161">
        <v>12</v>
      </c>
      <c r="I77" s="161">
        <v>0</v>
      </c>
      <c r="J77" s="127">
        <v>100000000</v>
      </c>
      <c r="K77" s="88" t="s">
        <v>398</v>
      </c>
      <c r="L77" s="159" t="s">
        <v>151</v>
      </c>
      <c r="M77" s="162" t="s">
        <v>401</v>
      </c>
      <c r="N77" s="23" t="s">
        <v>197</v>
      </c>
      <c r="O77" s="151" t="s">
        <v>945</v>
      </c>
      <c r="P77" s="159" t="s">
        <v>348</v>
      </c>
      <c r="Q77" s="53" t="s">
        <v>444</v>
      </c>
      <c r="R77" s="162" t="s">
        <v>204</v>
      </c>
      <c r="S77" s="162" t="str">
        <f>MID(PAA[[#This Row],[Meta Proyecto de Inversión]],1,4)</f>
        <v>8126</v>
      </c>
      <c r="T77" s="162" t="str">
        <f>MID(PAA[[#This Row],[Meta Proyecto de Inversión]],6,1)</f>
        <v>5</v>
      </c>
      <c r="U77" s="163" t="str">
        <f>IFERROR(VLOOKUP(N77,TD!$B$50:$F$54,2,0)," ")</f>
        <v>O230117</v>
      </c>
      <c r="V77" s="163" t="str">
        <f>IFERROR(VLOOKUP(N77,TD!$B$50:$F$54,3,0)," ")</f>
        <v>4599</v>
      </c>
      <c r="W77" s="163">
        <f>IFERROR(VLOOKUP(N77,TD!$B$50:$F$54,4,0)," ")</f>
        <v>20240207</v>
      </c>
      <c r="X77" s="162" t="s">
        <v>168</v>
      </c>
      <c r="Y77" s="163" t="str">
        <f>IFERROR(VLOOKUP(X77,TD!$J$51:$K$64,2,0)," ")</f>
        <v>Infraestructura Tecnológica   (Sistemas de Información y Tecnologia)</v>
      </c>
      <c r="Z77" s="164" t="str">
        <f>CONCATENATE(X77,"-",Y77)</f>
        <v>11-Infraestructura Tecnológica   (Sistemas de Información y Tecnologia)</v>
      </c>
      <c r="AA77" s="162" t="s">
        <v>228</v>
      </c>
      <c r="AB77" s="163" t="str">
        <f>IFERROR(VLOOKUP(AA77,TD!$N$51:$O$66,2,0)," ")</f>
        <v>Servicios tecnológicos</v>
      </c>
      <c r="AC77" s="164" t="str">
        <f>CONCATENATE(AA77,"_",AB77)</f>
        <v>007_Servicios tecnológicos</v>
      </c>
      <c r="AD77" s="164" t="str">
        <f>CONCATENATE(Z77," ",AC77)</f>
        <v>11-Infraestructura Tecnológica   (Sistemas de Información y Tecnologia) 007_Servicios tecnológicos</v>
      </c>
      <c r="AE77" s="163" t="str">
        <f>CONCATENATE(U77,V77,W77,X77,AA77)</f>
        <v>O23011745992024020711007</v>
      </c>
      <c r="AF77" s="163" t="str">
        <f>IFERROR(VLOOKUP(AD77,TD!$J$66:$K$89,2,0)," ")</f>
        <v>PM/0131/0111/45990070207</v>
      </c>
      <c r="AG77" s="118" t="s">
        <v>116</v>
      </c>
      <c r="AH77" s="162" t="s">
        <v>194</v>
      </c>
      <c r="AI77" s="165" t="str">
        <f>CONCATENATE(PAA[[#This Row],[Id Interno]],"-",PAA[[#This Row],[tipo de Contrato (TH talento humano - B/S bienes y/o servicios)]],"-",S77,"-",T77,"-",PAA[[#This Row],[Objeto de la contratación]])</f>
        <v>20260039-BS-8126-5-Adición y prorróga al contrato No. 493 de 2025 cuyo objeto es "Contratar la adquisicion, modernizacion y mantenimiento preventivo y correctivo de UPS,  aires acondicionados con suministro de repuestos, para todas las sedes de la U.A.E. Cuerpo Oficial de Bomberos de Bogotá - TIC."</v>
      </c>
    </row>
    <row r="78" spans="2:35" ht="70" x14ac:dyDescent="0.35">
      <c r="B78" s="23">
        <v>20260041</v>
      </c>
      <c r="C78" s="99" t="s">
        <v>434</v>
      </c>
      <c r="D78" s="23" t="s">
        <v>92</v>
      </c>
      <c r="E78" s="23" t="s">
        <v>402</v>
      </c>
      <c r="F78" s="159" t="s">
        <v>89</v>
      </c>
      <c r="G78" s="160" t="s">
        <v>380</v>
      </c>
      <c r="H78" s="161">
        <v>12</v>
      </c>
      <c r="I78" s="161">
        <v>0</v>
      </c>
      <c r="J78" s="127">
        <v>15000000</v>
      </c>
      <c r="K78" s="88" t="s">
        <v>398</v>
      </c>
      <c r="L78" s="159" t="s">
        <v>151</v>
      </c>
      <c r="M78" s="162" t="s">
        <v>401</v>
      </c>
      <c r="N78" s="23" t="s">
        <v>197</v>
      </c>
      <c r="O78" s="151" t="s">
        <v>945</v>
      </c>
      <c r="P78" s="159" t="s">
        <v>348</v>
      </c>
      <c r="Q78" s="53" t="s">
        <v>445</v>
      </c>
      <c r="R78" s="162" t="s">
        <v>204</v>
      </c>
      <c r="S78" s="162" t="str">
        <f>MID(PAA[[#This Row],[Meta Proyecto de Inversión]],1,4)</f>
        <v>8126</v>
      </c>
      <c r="T78" s="162" t="str">
        <f>MID(PAA[[#This Row],[Meta Proyecto de Inversión]],6,1)</f>
        <v>5</v>
      </c>
      <c r="U78" s="163" t="str">
        <f>IFERROR(VLOOKUP(N78,TD!$B$50:$F$54,2,0)," ")</f>
        <v>O230117</v>
      </c>
      <c r="V78" s="163" t="str">
        <f>IFERROR(VLOOKUP(N78,TD!$B$50:$F$54,3,0)," ")</f>
        <v>4599</v>
      </c>
      <c r="W78" s="163">
        <f>IFERROR(VLOOKUP(N78,TD!$B$50:$F$54,4,0)," ")</f>
        <v>20240207</v>
      </c>
      <c r="X78" s="162" t="s">
        <v>168</v>
      </c>
      <c r="Y78" s="163" t="str">
        <f>IFERROR(VLOOKUP(X78,TD!$J$51:$K$64,2,0)," ")</f>
        <v>Infraestructura Tecnológica   (Sistemas de Información y Tecnologia)</v>
      </c>
      <c r="Z78" s="164" t="str">
        <f>CONCATENATE(X78,"-",Y78)</f>
        <v>11-Infraestructura Tecnológica   (Sistemas de Información y Tecnologia)</v>
      </c>
      <c r="AA78" s="162" t="s">
        <v>228</v>
      </c>
      <c r="AB78" s="163" t="str">
        <f>IFERROR(VLOOKUP(AA78,TD!$N$51:$O$66,2,0)," ")</f>
        <v>Servicios tecnológicos</v>
      </c>
      <c r="AC78" s="164" t="str">
        <f>CONCATENATE(AA78,"_",AB78)</f>
        <v>007_Servicios tecnológicos</v>
      </c>
      <c r="AD78" s="164" t="str">
        <f>CONCATENATE(Z78," ",AC78)</f>
        <v>11-Infraestructura Tecnológica   (Sistemas de Información y Tecnologia) 007_Servicios tecnológicos</v>
      </c>
      <c r="AE78" s="163" t="str">
        <f>CONCATENATE(U78,V78,W78,X78,AA78)</f>
        <v>O23011745992024020711007</v>
      </c>
      <c r="AF78" s="163" t="str">
        <f>IFERROR(VLOOKUP(AD78,TD!$J$66:$K$89,2,0)," ")</f>
        <v>PM/0131/0111/45990070207</v>
      </c>
      <c r="AG78" s="118" t="s">
        <v>116</v>
      </c>
      <c r="AH78" s="162" t="s">
        <v>193</v>
      </c>
      <c r="AI78" s="165" t="str">
        <f>CONCATENATE(PAA[[#This Row],[Id Interno]],"-",PAA[[#This Row],[tipo de Contrato (TH talento humano - B/S bienes y/o servicios)]],"-",S78,"-",T78,"-",PAA[[#This Row],[Objeto de la contratación]])</f>
        <v xml:space="preserve">20260041-BS-8126-5-Contratar la adquisición de tarjetas de comunicación satelital de voz, para la U.A.E. Cuerpo Oficial de Bomberos de Bogotá. </v>
      </c>
    </row>
    <row r="79" spans="2:35" ht="70" x14ac:dyDescent="0.35">
      <c r="B79" s="23">
        <v>20260044</v>
      </c>
      <c r="C79" s="99" t="s">
        <v>436</v>
      </c>
      <c r="D79" s="23" t="s">
        <v>105</v>
      </c>
      <c r="E79" s="23" t="s">
        <v>402</v>
      </c>
      <c r="F79" s="159" t="s">
        <v>143</v>
      </c>
      <c r="G79" s="160" t="s">
        <v>373</v>
      </c>
      <c r="H79" s="161">
        <v>12</v>
      </c>
      <c r="I79" s="161">
        <v>0</v>
      </c>
      <c r="J79" s="127">
        <v>25000000</v>
      </c>
      <c r="K79" s="88" t="s">
        <v>398</v>
      </c>
      <c r="L79" s="159" t="s">
        <v>151</v>
      </c>
      <c r="M79" s="162" t="s">
        <v>401</v>
      </c>
      <c r="N79" s="23" t="s">
        <v>197</v>
      </c>
      <c r="O79" s="151" t="s">
        <v>945</v>
      </c>
      <c r="P79" s="159" t="s">
        <v>348</v>
      </c>
      <c r="Q79" s="53" t="s">
        <v>446</v>
      </c>
      <c r="R79" s="162" t="s">
        <v>203</v>
      </c>
      <c r="S79" s="162" t="str">
        <f>MID(PAA[[#This Row],[Meta Proyecto de Inversión]],1,4)</f>
        <v>8126</v>
      </c>
      <c r="T79" s="162" t="str">
        <f>MID(PAA[[#This Row],[Meta Proyecto de Inversión]],6,1)</f>
        <v>4</v>
      </c>
      <c r="U79" s="163" t="str">
        <f>IFERROR(VLOOKUP(N79,TD!$B$50:$F$54,2,0)," ")</f>
        <v>O230117</v>
      </c>
      <c r="V79" s="163" t="str">
        <f>IFERROR(VLOOKUP(N79,TD!$B$50:$F$54,3,0)," ")</f>
        <v>4599</v>
      </c>
      <c r="W79" s="163">
        <f>IFERROR(VLOOKUP(N79,TD!$B$50:$F$54,4,0)," ")</f>
        <v>20240207</v>
      </c>
      <c r="X79" s="162" t="s">
        <v>168</v>
      </c>
      <c r="Y79" s="163" t="str">
        <f>IFERROR(VLOOKUP(X79,TD!$J$51:$K$64,2,0)," ")</f>
        <v>Infraestructura Tecnológica   (Sistemas de Información y Tecnologia)</v>
      </c>
      <c r="Z79" s="164" t="str">
        <f>CONCATENATE(X79,"-",Y79)</f>
        <v>11-Infraestructura Tecnológica   (Sistemas de Información y Tecnologia)</v>
      </c>
      <c r="AA79" s="162" t="s">
        <v>228</v>
      </c>
      <c r="AB79" s="163" t="str">
        <f>IFERROR(VLOOKUP(AA79,TD!$N$51:$O$66,2,0)," ")</f>
        <v>Servicios tecnológicos</v>
      </c>
      <c r="AC79" s="164" t="str">
        <f>CONCATENATE(AA79,"_",AB79)</f>
        <v>007_Servicios tecnológicos</v>
      </c>
      <c r="AD79" s="164" t="str">
        <f>CONCATENATE(Z79," ",AC79)</f>
        <v>11-Infraestructura Tecnológica   (Sistemas de Información y Tecnologia) 007_Servicios tecnológicos</v>
      </c>
      <c r="AE79" s="163" t="str">
        <f>CONCATENATE(U79,V79,W79,X79,AA79)</f>
        <v>O23011745992024020711007</v>
      </c>
      <c r="AF79" s="163" t="str">
        <f>IFERROR(VLOOKUP(AD79,TD!$J$66:$K$89,2,0)," ")</f>
        <v>PM/0131/0111/45990070207</v>
      </c>
      <c r="AG79" s="118" t="s">
        <v>116</v>
      </c>
      <c r="AH79" s="162" t="s">
        <v>193</v>
      </c>
      <c r="AI79" s="165" t="str">
        <f>CONCATENATE(PAA[[#This Row],[Id Interno]],"-",PAA[[#This Row],[tipo de Contrato (TH talento humano - B/S bienes y/o servicios)]],"-",S79,"-",T79,"-",PAA[[#This Row],[Objeto de la contratación]])</f>
        <v>20260044-BS-8126-4-Contratar el servicio de mantenimiento, soporte técnico y actualización del aplicativo PCT, utilizado por la UAE Cuerpo Oficial de Bomberos de Bogota - TIC</v>
      </c>
    </row>
    <row r="80" spans="2:35" ht="126" x14ac:dyDescent="0.35">
      <c r="B80" s="23">
        <v>20260045</v>
      </c>
      <c r="C80" s="99" t="s">
        <v>437</v>
      </c>
      <c r="D80" s="23" t="s">
        <v>105</v>
      </c>
      <c r="E80" s="23" t="s">
        <v>402</v>
      </c>
      <c r="F80" s="159" t="s">
        <v>138</v>
      </c>
      <c r="G80" s="160" t="s">
        <v>378</v>
      </c>
      <c r="H80" s="161">
        <v>12</v>
      </c>
      <c r="I80" s="161">
        <v>0</v>
      </c>
      <c r="J80" s="127">
        <v>200000000</v>
      </c>
      <c r="K80" s="88" t="s">
        <v>398</v>
      </c>
      <c r="L80" s="159" t="s">
        <v>151</v>
      </c>
      <c r="M80" s="162" t="s">
        <v>401</v>
      </c>
      <c r="N80" s="23" t="s">
        <v>197</v>
      </c>
      <c r="O80" s="151" t="s">
        <v>945</v>
      </c>
      <c r="P80" s="159" t="s">
        <v>348</v>
      </c>
      <c r="Q80" s="53" t="s">
        <v>447</v>
      </c>
      <c r="R80" s="162" t="s">
        <v>203</v>
      </c>
      <c r="S80" s="162" t="str">
        <f>MID(PAA[[#This Row],[Meta Proyecto de Inversión]],1,4)</f>
        <v>8126</v>
      </c>
      <c r="T80" s="162" t="str">
        <f>MID(PAA[[#This Row],[Meta Proyecto de Inversión]],6,1)</f>
        <v>4</v>
      </c>
      <c r="U80" s="163" t="str">
        <f>IFERROR(VLOOKUP(N80,TD!$B$50:$F$54,2,0)," ")</f>
        <v>O230117</v>
      </c>
      <c r="V80" s="163" t="str">
        <f>IFERROR(VLOOKUP(N80,TD!$B$50:$F$54,3,0)," ")</f>
        <v>4599</v>
      </c>
      <c r="W80" s="163">
        <f>IFERROR(VLOOKUP(N80,TD!$B$50:$F$54,4,0)," ")</f>
        <v>20240207</v>
      </c>
      <c r="X80" s="162" t="s">
        <v>168</v>
      </c>
      <c r="Y80" s="163" t="str">
        <f>IFERROR(VLOOKUP(X80,TD!$J$51:$K$64,2,0)," ")</f>
        <v>Infraestructura Tecnológica   (Sistemas de Información y Tecnologia)</v>
      </c>
      <c r="Z80" s="164" t="str">
        <f>CONCATENATE(X80,"-",Y80)</f>
        <v>11-Infraestructura Tecnológica   (Sistemas de Información y Tecnologia)</v>
      </c>
      <c r="AA80" s="162" t="s">
        <v>228</v>
      </c>
      <c r="AB80" s="163" t="str">
        <f>IFERROR(VLOOKUP(AA80,TD!$N$51:$O$66,2,0)," ")</f>
        <v>Servicios tecnológicos</v>
      </c>
      <c r="AC80" s="164" t="str">
        <f>CONCATENATE(AA80,"_",AB80)</f>
        <v>007_Servicios tecnológicos</v>
      </c>
      <c r="AD80" s="164" t="str">
        <f>CONCATENATE(Z80," ",AC80)</f>
        <v>11-Infraestructura Tecnológica   (Sistemas de Información y Tecnologia) 007_Servicios tecnológicos</v>
      </c>
      <c r="AE80" s="163" t="str">
        <f>CONCATENATE(U80,V80,W80,X80,AA80)</f>
        <v>O23011745992024020711007</v>
      </c>
      <c r="AF80" s="163" t="str">
        <f>IFERROR(VLOOKUP(AD80,TD!$J$66:$K$89,2,0)," ")</f>
        <v>PM/0131/0111/45990070207</v>
      </c>
      <c r="AG80" s="118" t="s">
        <v>116</v>
      </c>
      <c r="AH80" s="162" t="s">
        <v>193</v>
      </c>
      <c r="AI80" s="165" t="str">
        <f>CONCATENATE(PAA[[#This Row],[Id Interno]],"-",PAA[[#This Row],[tipo de Contrato (TH talento humano - B/S bienes y/o servicios)]],"-",S80,"-",T80,"-",PAA[[#This Row],[Objeto de la contratación]])</f>
        <v>20260045-BS-8126-4-Contratar la renovación , servicio de actualización y soporte de licenciamiento Oracle para Base de Datos,  y Web Logic para la U.A.E. Cuerpo Oficial de Bomberos de Bogotá - TIC</v>
      </c>
    </row>
    <row r="81" spans="2:35" ht="126" x14ac:dyDescent="0.35">
      <c r="B81" s="23">
        <v>20260047</v>
      </c>
      <c r="C81" s="99" t="s">
        <v>439</v>
      </c>
      <c r="D81" s="23" t="s">
        <v>88</v>
      </c>
      <c r="E81" s="23" t="s">
        <v>402</v>
      </c>
      <c r="F81" s="159" t="s">
        <v>146</v>
      </c>
      <c r="G81" s="160" t="s">
        <v>378</v>
      </c>
      <c r="H81" s="161">
        <v>12</v>
      </c>
      <c r="I81" s="161">
        <v>0</v>
      </c>
      <c r="J81" s="127">
        <v>10000000</v>
      </c>
      <c r="K81" s="88" t="s">
        <v>398</v>
      </c>
      <c r="L81" s="159" t="s">
        <v>151</v>
      </c>
      <c r="M81" s="162" t="s">
        <v>401</v>
      </c>
      <c r="N81" s="23" t="s">
        <v>197</v>
      </c>
      <c r="O81" s="151" t="s">
        <v>945</v>
      </c>
      <c r="P81" s="159" t="s">
        <v>348</v>
      </c>
      <c r="Q81" s="53" t="s">
        <v>449</v>
      </c>
      <c r="R81" s="162" t="s">
        <v>203</v>
      </c>
      <c r="S81" s="162" t="str">
        <f>MID(PAA[[#This Row],[Meta Proyecto de Inversión]],1,4)</f>
        <v>8126</v>
      </c>
      <c r="T81" s="162" t="str">
        <f>MID(PAA[[#This Row],[Meta Proyecto de Inversión]],6,1)</f>
        <v>4</v>
      </c>
      <c r="U81" s="163" t="str">
        <f>IFERROR(VLOOKUP(N81,TD!$B$50:$F$54,2,0)," ")</f>
        <v>O230117</v>
      </c>
      <c r="V81" s="163" t="str">
        <f>IFERROR(VLOOKUP(N81,TD!$B$50:$F$54,3,0)," ")</f>
        <v>4599</v>
      </c>
      <c r="W81" s="163">
        <f>IFERROR(VLOOKUP(N81,TD!$B$50:$F$54,4,0)," ")</f>
        <v>20240207</v>
      </c>
      <c r="X81" s="162" t="s">
        <v>168</v>
      </c>
      <c r="Y81" s="163" t="str">
        <f>IFERROR(VLOOKUP(X81,TD!$J$51:$K$64,2,0)," ")</f>
        <v>Infraestructura Tecnológica   (Sistemas de Información y Tecnologia)</v>
      </c>
      <c r="Z81" s="164" t="str">
        <f>CONCATENATE(X81,"-",Y81)</f>
        <v>11-Infraestructura Tecnológica   (Sistemas de Información y Tecnologia)</v>
      </c>
      <c r="AA81" s="162" t="s">
        <v>228</v>
      </c>
      <c r="AB81" s="163" t="str">
        <f>IFERROR(VLOOKUP(AA81,TD!$N$51:$O$66,2,0)," ")</f>
        <v>Servicios tecnológicos</v>
      </c>
      <c r="AC81" s="164" t="str">
        <f>CONCATENATE(AA81,"_",AB81)</f>
        <v>007_Servicios tecnológicos</v>
      </c>
      <c r="AD81" s="164" t="str">
        <f>CONCATENATE(Z81," ",AC81)</f>
        <v>11-Infraestructura Tecnológica   (Sistemas de Información y Tecnologia) 007_Servicios tecnológicos</v>
      </c>
      <c r="AE81" s="163" t="str">
        <f>CONCATENATE(U81,V81,W81,X81,AA81)</f>
        <v>O23011745992024020711007</v>
      </c>
      <c r="AF81" s="163" t="str">
        <f>IFERROR(VLOOKUP(AD81,TD!$J$66:$K$89,2,0)," ")</f>
        <v>PM/0131/0111/45990070207</v>
      </c>
      <c r="AG81" s="118" t="s">
        <v>116</v>
      </c>
      <c r="AH81" s="162" t="s">
        <v>193</v>
      </c>
      <c r="AI81" s="165" t="str">
        <f>CONCATENATE(PAA[[#This Row],[Id Interno]],"-",PAA[[#This Row],[tipo de Contrato (TH talento humano - B/S bienes y/o servicios)]],"-",S81,"-",T81,"-",PAA[[#This Row],[Objeto de la contratación]])</f>
        <v>20260047-BS-8126-4-Contratar el servicios de mantenimiento para el sistema de atención de turnos de la U.A.E. Cuerpo Ofical de Bomberos de Bogotá - TIC</v>
      </c>
    </row>
    <row r="82" spans="2:35" ht="70" x14ac:dyDescent="0.35">
      <c r="B82" s="23">
        <v>20260052</v>
      </c>
      <c r="C82" s="99" t="s">
        <v>603</v>
      </c>
      <c r="D82" s="23" t="s">
        <v>114</v>
      </c>
      <c r="E82" s="23" t="s">
        <v>402</v>
      </c>
      <c r="F82" s="159" t="s">
        <v>138</v>
      </c>
      <c r="G82" s="160" t="s">
        <v>381</v>
      </c>
      <c r="H82" s="161">
        <v>12</v>
      </c>
      <c r="I82" s="161">
        <v>0</v>
      </c>
      <c r="J82" s="127">
        <v>50000000</v>
      </c>
      <c r="K82" s="88" t="s">
        <v>398</v>
      </c>
      <c r="L82" s="159" t="s">
        <v>151</v>
      </c>
      <c r="M82" s="162" t="s">
        <v>401</v>
      </c>
      <c r="N82" s="23" t="s">
        <v>330</v>
      </c>
      <c r="O82" s="151" t="s">
        <v>945</v>
      </c>
      <c r="P82" s="159" t="s">
        <v>161</v>
      </c>
      <c r="Q82" s="53" t="s">
        <v>606</v>
      </c>
      <c r="R82" s="162" t="s">
        <v>331</v>
      </c>
      <c r="S82" s="162" t="str">
        <f>MID(PAA[[#This Row],[Meta Proyecto de Inversión]],1,4)</f>
        <v>No a</v>
      </c>
      <c r="T82" s="162" t="str">
        <f>MID(PAA[[#This Row],[Meta Proyecto de Inversión]],6,1)</f>
        <v>l</v>
      </c>
      <c r="U82" s="163" t="str">
        <f>IFERROR(VLOOKUP(N82,TD!$B$50:$F$54,2,0)," ")</f>
        <v>NA</v>
      </c>
      <c r="V82" s="163" t="str">
        <f>IFERROR(VLOOKUP(N82,TD!$B$50:$F$54,3,0)," ")</f>
        <v>NA</v>
      </c>
      <c r="W82" s="163" t="str">
        <f>IFERROR(VLOOKUP(N82,TD!$B$50:$F$54,4,0)," ")</f>
        <v>NA</v>
      </c>
      <c r="X82" s="162" t="s">
        <v>335</v>
      </c>
      <c r="Y82" s="163" t="str">
        <f>IFERROR(VLOOKUP(X82,TD!$J$51:$K$64,2,0)," ")</f>
        <v>N/A</v>
      </c>
      <c r="Z82" s="164" t="str">
        <f>CONCATENATE(X82,"-",Y82)</f>
        <v>N/A-N/A</v>
      </c>
      <c r="AA82" s="162" t="s">
        <v>335</v>
      </c>
      <c r="AB82" s="163" t="str">
        <f>IFERROR(VLOOKUP(AA82,TD!$N$51:$O$66,2,0)," ")</f>
        <v>N/A</v>
      </c>
      <c r="AC82" s="164" t="str">
        <f>CONCATENATE(AA82,"_",AB82)</f>
        <v>N/A_N/A</v>
      </c>
      <c r="AD82" s="164" t="str">
        <f>CONCATENATE(Z82," ",AC82)</f>
        <v>N/A-N/A N/A_N/A</v>
      </c>
      <c r="AE82" s="163" t="str">
        <f>CONCATENATE(U82,V82,W82,X82,AA82)</f>
        <v>NANANAN/AN/A</v>
      </c>
      <c r="AF82" s="163" t="str">
        <f>IFERROR(VLOOKUP(AD82,TD!$J$66:$K$89,2,0)," ")</f>
        <v>N/A</v>
      </c>
      <c r="AG82" s="118" t="s">
        <v>345</v>
      </c>
      <c r="AH82" s="162" t="s">
        <v>193</v>
      </c>
      <c r="AI82" s="165" t="str">
        <f>CONCATENATE(PAA[[#This Row],[Id Interno]],"-",PAA[[#This Row],[tipo de Contrato (TH talento humano - B/S bienes y/o servicios)]],"-",S82,"-",T82,"-",PAA[[#This Row],[Objeto de la contratación]])</f>
        <v>20260052-BS-No a-l-Contratar  la suscripción de licencias Suite Adobe para la UAE Cuerpo Oficial de Bomberos de Bogotá-TIC</v>
      </c>
    </row>
    <row r="83" spans="2:35" ht="84" x14ac:dyDescent="0.35">
      <c r="B83" s="23">
        <v>20260054</v>
      </c>
      <c r="C83" s="99" t="s">
        <v>905</v>
      </c>
      <c r="D83" s="23" t="s">
        <v>88</v>
      </c>
      <c r="E83" s="23" t="s">
        <v>402</v>
      </c>
      <c r="F83" s="159" t="s">
        <v>146</v>
      </c>
      <c r="G83" s="160" t="s">
        <v>376</v>
      </c>
      <c r="H83" s="161">
        <v>12</v>
      </c>
      <c r="I83" s="161">
        <v>0</v>
      </c>
      <c r="J83" s="127">
        <v>100000000</v>
      </c>
      <c r="K83" s="88" t="s">
        <v>398</v>
      </c>
      <c r="L83" s="159" t="s">
        <v>151</v>
      </c>
      <c r="M83" s="162" t="s">
        <v>401</v>
      </c>
      <c r="N83" s="23" t="s">
        <v>330</v>
      </c>
      <c r="O83" s="151" t="s">
        <v>945</v>
      </c>
      <c r="P83" s="159" t="s">
        <v>161</v>
      </c>
      <c r="Q83" s="53" t="s">
        <v>607</v>
      </c>
      <c r="R83" s="162" t="s">
        <v>331</v>
      </c>
      <c r="S83" s="162" t="str">
        <f>MID(PAA[[#This Row],[Meta Proyecto de Inversión]],1,4)</f>
        <v>No a</v>
      </c>
      <c r="T83" s="162" t="str">
        <f>MID(PAA[[#This Row],[Meta Proyecto de Inversión]],6,1)</f>
        <v>l</v>
      </c>
      <c r="U83" s="163" t="str">
        <f>IFERROR(VLOOKUP(N83,TD!$B$50:$F$54,2,0)," ")</f>
        <v>NA</v>
      </c>
      <c r="V83" s="163" t="str">
        <f>IFERROR(VLOOKUP(N83,TD!$B$50:$F$54,3,0)," ")</f>
        <v>NA</v>
      </c>
      <c r="W83" s="163" t="str">
        <f>IFERROR(VLOOKUP(N83,TD!$B$50:$F$54,4,0)," ")</f>
        <v>NA</v>
      </c>
      <c r="X83" s="162" t="s">
        <v>335</v>
      </c>
      <c r="Y83" s="163" t="str">
        <f>IFERROR(VLOOKUP(X83,TD!$J$51:$K$64,2,0)," ")</f>
        <v>N/A</v>
      </c>
      <c r="Z83" s="164" t="str">
        <f>CONCATENATE(X83,"-",Y83)</f>
        <v>N/A-N/A</v>
      </c>
      <c r="AA83" s="162" t="s">
        <v>335</v>
      </c>
      <c r="AB83" s="163" t="str">
        <f>IFERROR(VLOOKUP(AA83,TD!$N$51:$O$66,2,0)," ")</f>
        <v>N/A</v>
      </c>
      <c r="AC83" s="164" t="str">
        <f>CONCATENATE(AA83,"_",AB83)</f>
        <v>N/A_N/A</v>
      </c>
      <c r="AD83" s="164" t="str">
        <f>CONCATENATE(Z83," ",AC83)</f>
        <v>N/A-N/A N/A_N/A</v>
      </c>
      <c r="AE83" s="163" t="str">
        <f>CONCATENATE(U83,V83,W83,X83,AA83)</f>
        <v>NANANAN/AN/A</v>
      </c>
      <c r="AF83" s="163" t="str">
        <f>IFERROR(VLOOKUP(AD83,TD!$J$66:$K$89,2,0)," ")</f>
        <v>N/A</v>
      </c>
      <c r="AG83" s="118" t="s">
        <v>343</v>
      </c>
      <c r="AH83" s="162" t="s">
        <v>194</v>
      </c>
      <c r="AI83" s="165" t="str">
        <f>CONCATENATE(PAA[[#This Row],[Id Interno]],"-",PAA[[#This Row],[tipo de Contrato (TH talento humano - B/S bienes y/o servicios)]],"-",S83,"-",T83,"-",PAA[[#This Row],[Objeto de la contratación]])</f>
        <v>20260054-BS-No a-l-Adición y prorróga al contrato No. 785 de 2024 cuyo objeto es "	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v>
      </c>
    </row>
    <row r="84" spans="2:35" ht="70" x14ac:dyDescent="0.35">
      <c r="B84" s="23">
        <v>20260056</v>
      </c>
      <c r="C84" s="99" t="s">
        <v>605</v>
      </c>
      <c r="D84" s="23" t="s">
        <v>92</v>
      </c>
      <c r="E84" s="23" t="s">
        <v>402</v>
      </c>
      <c r="F84" s="159" t="s">
        <v>138</v>
      </c>
      <c r="G84" s="160" t="s">
        <v>375</v>
      </c>
      <c r="H84" s="161">
        <v>12</v>
      </c>
      <c r="I84" s="161">
        <v>0</v>
      </c>
      <c r="J84" s="127">
        <v>27600000</v>
      </c>
      <c r="K84" s="88" t="s">
        <v>398</v>
      </c>
      <c r="L84" s="159" t="s">
        <v>151</v>
      </c>
      <c r="M84" s="162" t="s">
        <v>401</v>
      </c>
      <c r="N84" s="23" t="s">
        <v>330</v>
      </c>
      <c r="O84" s="151" t="s">
        <v>945</v>
      </c>
      <c r="P84" s="159" t="s">
        <v>161</v>
      </c>
      <c r="Q84" s="53">
        <v>43233205</v>
      </c>
      <c r="R84" s="162" t="s">
        <v>331</v>
      </c>
      <c r="S84" s="162" t="str">
        <f>MID(PAA[[#This Row],[Meta Proyecto de Inversión]],1,4)</f>
        <v>No a</v>
      </c>
      <c r="T84" s="162" t="str">
        <f>MID(PAA[[#This Row],[Meta Proyecto de Inversión]],6,1)</f>
        <v>l</v>
      </c>
      <c r="U84" s="163" t="str">
        <f>IFERROR(VLOOKUP(N84,TD!$B$50:$F$54,2,0)," ")</f>
        <v>NA</v>
      </c>
      <c r="V84" s="163" t="str">
        <f>IFERROR(VLOOKUP(N84,TD!$B$50:$F$54,3,0)," ")</f>
        <v>NA</v>
      </c>
      <c r="W84" s="163" t="str">
        <f>IFERROR(VLOOKUP(N84,TD!$B$50:$F$54,4,0)," ")</f>
        <v>NA</v>
      </c>
      <c r="X84" s="162" t="s">
        <v>335</v>
      </c>
      <c r="Y84" s="163" t="str">
        <f>IFERROR(VLOOKUP(X84,TD!$J$51:$K$64,2,0)," ")</f>
        <v>N/A</v>
      </c>
      <c r="Z84" s="164" t="str">
        <f>CONCATENATE(X84,"-",Y84)</f>
        <v>N/A-N/A</v>
      </c>
      <c r="AA84" s="162" t="s">
        <v>335</v>
      </c>
      <c r="AB84" s="163" t="str">
        <f>IFERROR(VLOOKUP(AA84,TD!$N$51:$O$66,2,0)," ")</f>
        <v>N/A</v>
      </c>
      <c r="AC84" s="164" t="str">
        <f>CONCATENATE(AA84,"_",AB84)</f>
        <v>N/A_N/A</v>
      </c>
      <c r="AD84" s="164" t="str">
        <f>CONCATENATE(Z84," ",AC84)</f>
        <v>N/A-N/A N/A_N/A</v>
      </c>
      <c r="AE84" s="163" t="str">
        <f>CONCATENATE(U84,V84,W84,X84,AA84)</f>
        <v>NANANAN/AN/A</v>
      </c>
      <c r="AF84" s="163" t="str">
        <f>IFERROR(VLOOKUP(AD84,TD!$J$66:$K$89,2,0)," ")</f>
        <v>N/A</v>
      </c>
      <c r="AG84" s="118" t="s">
        <v>332</v>
      </c>
      <c r="AH84" s="162" t="s">
        <v>193</v>
      </c>
      <c r="AI84" s="165" t="str">
        <f>CONCATENATE(PAA[[#This Row],[Id Interno]],"-",PAA[[#This Row],[tipo de Contrato (TH talento humano - B/S bienes y/o servicios)]],"-",S84,"-",T84,"-",PAA[[#This Row],[Objeto de la contratación]])</f>
        <v>20260056-BS-No a-l-Contratar la adquisición de firma digital (token) para la U.A.E. Cuerpo Oficial de Bomberos de Bogotá - TIC</v>
      </c>
    </row>
    <row r="85" spans="2:35" ht="70" x14ac:dyDescent="0.35">
      <c r="B85" s="23">
        <v>20260057</v>
      </c>
      <c r="C85" s="99" t="s">
        <v>843</v>
      </c>
      <c r="D85" s="23" t="s">
        <v>105</v>
      </c>
      <c r="E85" s="23" t="s">
        <v>363</v>
      </c>
      <c r="F85" s="159" t="s">
        <v>145</v>
      </c>
      <c r="G85" s="160" t="s">
        <v>373</v>
      </c>
      <c r="H85" s="161">
        <v>12</v>
      </c>
      <c r="I85" s="161">
        <v>0</v>
      </c>
      <c r="J85" s="127">
        <v>45042216</v>
      </c>
      <c r="K85" s="88" t="s">
        <v>398</v>
      </c>
      <c r="L85" s="159" t="s">
        <v>36</v>
      </c>
      <c r="M85" s="162" t="s">
        <v>485</v>
      </c>
      <c r="N85" s="23" t="s">
        <v>197</v>
      </c>
      <c r="O85" s="151" t="s">
        <v>945</v>
      </c>
      <c r="P85" s="159" t="s">
        <v>348</v>
      </c>
      <c r="Q85" s="53">
        <v>80111600</v>
      </c>
      <c r="R85" s="162" t="s">
        <v>200</v>
      </c>
      <c r="S85" s="162" t="str">
        <f>MID(PAA[[#This Row],[Meta Proyecto de Inversión]],1,4)</f>
        <v>8126</v>
      </c>
      <c r="T85" s="162" t="str">
        <f>MID(PAA[[#This Row],[Meta Proyecto de Inversión]],6,1)</f>
        <v>1</v>
      </c>
      <c r="U85" s="163" t="str">
        <f>IFERROR(VLOOKUP(N85,TD!$B$50:$F$54,2,0)," ")</f>
        <v>O230117</v>
      </c>
      <c r="V85" s="163" t="str">
        <f>IFERROR(VLOOKUP(N85,TD!$B$50:$F$54,3,0)," ")</f>
        <v>4599</v>
      </c>
      <c r="W85" s="163">
        <f>IFERROR(VLOOKUP(N85,TD!$B$50:$F$54,4,0)," ")</f>
        <v>20240207</v>
      </c>
      <c r="X85" s="162" t="s">
        <v>182</v>
      </c>
      <c r="Y85" s="163" t="str">
        <f>IFERROR(VLOOKUP(X85,TD!$J$51:$K$64,2,0)," ")</f>
        <v>Servicios para la planeación y sistemas de gestión y comunicación estratégica</v>
      </c>
      <c r="Z85" s="164" t="str">
        <f>CONCATENATE(X85,"-",Y85)</f>
        <v>13-Servicios para la planeación y sistemas de gestión y comunicación estratégica</v>
      </c>
      <c r="AA85" s="162" t="s">
        <v>229</v>
      </c>
      <c r="AB85" s="163" t="str">
        <f>IFERROR(VLOOKUP(AA85,TD!$N$51:$O$66,2,0)," ")</f>
        <v>Servicio de asistencia técnica</v>
      </c>
      <c r="AC85" s="164" t="str">
        <f>CONCATENATE(AA85,"_",AB85)</f>
        <v>031_Servicio de asistencia técnica</v>
      </c>
      <c r="AD85" s="164" t="str">
        <f>CONCATENATE(Z85," ",AC85)</f>
        <v>13-Servicios para la planeación y sistemas de gestión y comunicación estratégica 031_Servicio de asistencia técnica</v>
      </c>
      <c r="AE85" s="163" t="str">
        <f>CONCATENATE(U85,V85,W85,X85,AA85)</f>
        <v>O23011745992024020713031</v>
      </c>
      <c r="AF85" s="163" t="str">
        <f>IFERROR(VLOOKUP(AD85,TD!$J$66:$K$89,2,0)," ")</f>
        <v>PM/0131/0113/45990310207</v>
      </c>
      <c r="AG85" s="118" t="s">
        <v>385</v>
      </c>
      <c r="AH85" s="162" t="s">
        <v>193</v>
      </c>
      <c r="AI85" s="165" t="str">
        <f>CONCATENATE(PAA[[#This Row],[Id Interno]],"-",PAA[[#This Row],[tipo de Contrato (TH talento humano - B/S bienes y/o servicios)]],"-",S85,"-",T85,"-",PAA[[#This Row],[Objeto de la contratación]])</f>
        <v>20260057-TH-8126-1-Prestar servicios de apoyo a la gestión como conductor para atender los requerimientos que se presenten en la Oficina Asesora de Planeación, así como los incidentes que puedan surgir en la Unidad Administrativa Especial Cuerpo Oficial de Bomberos de Bogotá.</v>
      </c>
    </row>
    <row r="86" spans="2:35" ht="70" x14ac:dyDescent="0.35">
      <c r="B86" s="23">
        <v>20260058</v>
      </c>
      <c r="C86" s="99" t="s">
        <v>609</v>
      </c>
      <c r="D86" s="23" t="s">
        <v>105</v>
      </c>
      <c r="E86" s="23" t="s">
        <v>363</v>
      </c>
      <c r="F86" s="159" t="s">
        <v>144</v>
      </c>
      <c r="G86" s="160" t="s">
        <v>373</v>
      </c>
      <c r="H86" s="161">
        <v>6</v>
      </c>
      <c r="I86" s="161">
        <v>0</v>
      </c>
      <c r="J86" s="127">
        <v>39000000</v>
      </c>
      <c r="K86" s="88" t="s">
        <v>398</v>
      </c>
      <c r="L86" s="159" t="s">
        <v>36</v>
      </c>
      <c r="M86" s="162" t="s">
        <v>485</v>
      </c>
      <c r="N86" s="23" t="s">
        <v>197</v>
      </c>
      <c r="O86" s="151" t="s">
        <v>945</v>
      </c>
      <c r="P86" s="159" t="s">
        <v>348</v>
      </c>
      <c r="Q86" s="53">
        <v>80111600</v>
      </c>
      <c r="R86" s="162" t="s">
        <v>201</v>
      </c>
      <c r="S86" s="162" t="str">
        <f>MID(PAA[[#This Row],[Meta Proyecto de Inversión]],1,4)</f>
        <v>8126</v>
      </c>
      <c r="T86" s="162" t="str">
        <f>MID(PAA[[#This Row],[Meta Proyecto de Inversión]],6,1)</f>
        <v>2</v>
      </c>
      <c r="U86" s="163" t="str">
        <f>IFERROR(VLOOKUP(N86,TD!$B$50:$F$54,2,0)," ")</f>
        <v>O230117</v>
      </c>
      <c r="V86" s="163" t="str">
        <f>IFERROR(VLOOKUP(N86,TD!$B$50:$F$54,3,0)," ")</f>
        <v>4599</v>
      </c>
      <c r="W86" s="163">
        <f>IFERROR(VLOOKUP(N86,TD!$B$50:$F$54,4,0)," ")</f>
        <v>20240207</v>
      </c>
      <c r="X86" s="162" t="s">
        <v>182</v>
      </c>
      <c r="Y86" s="163" t="str">
        <f>IFERROR(VLOOKUP(X86,TD!$J$51:$K$64,2,0)," ")</f>
        <v>Servicios para la planeación y sistemas de gestión y comunicación estratégica</v>
      </c>
      <c r="Z86" s="164" t="str">
        <f>CONCATENATE(X86,"-",Y86)</f>
        <v>13-Servicios para la planeación y sistemas de gestión y comunicación estratégica</v>
      </c>
      <c r="AA86" s="162" t="s">
        <v>229</v>
      </c>
      <c r="AB86" s="163" t="str">
        <f>IFERROR(VLOOKUP(AA86,TD!$N$51:$O$66,2,0)," ")</f>
        <v>Servicio de asistencia técnica</v>
      </c>
      <c r="AC86" s="164" t="str">
        <f>CONCATENATE(AA86,"_",AB86)</f>
        <v>031_Servicio de asistencia técnica</v>
      </c>
      <c r="AD86" s="164" t="str">
        <f>CONCATENATE(Z86," ",AC86)</f>
        <v>13-Servicios para la planeación y sistemas de gestión y comunicación estratégica 031_Servicio de asistencia técnica</v>
      </c>
      <c r="AE86" s="163" t="str">
        <f>CONCATENATE(U86,V86,W86,X86,AA86)</f>
        <v>O23011745992024020713031</v>
      </c>
      <c r="AF86" s="163" t="str">
        <f>IFERROR(VLOOKUP(AD86,TD!$J$66:$K$89,2,0)," ")</f>
        <v>PM/0131/0113/45990310207</v>
      </c>
      <c r="AG86" s="118" t="s">
        <v>385</v>
      </c>
      <c r="AH86" s="162" t="s">
        <v>193</v>
      </c>
      <c r="AI86" s="165" t="str">
        <f>CONCATENATE(PAA[[#This Row],[Id Interno]],"-",PAA[[#This Row],[tipo de Contrato (TH talento humano - B/S bienes y/o servicios)]],"-",S86,"-",T86,"-",PAA[[#This Row],[Objeto de la contratación]])</f>
        <v>20260058-TH-8126-2-Prestar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v>
      </c>
    </row>
    <row r="87" spans="2:35" ht="56" x14ac:dyDescent="0.35">
      <c r="B87" s="23">
        <v>20260059</v>
      </c>
      <c r="C87" s="99" t="s">
        <v>844</v>
      </c>
      <c r="D87" s="23" t="s">
        <v>105</v>
      </c>
      <c r="E87" s="23" t="s">
        <v>363</v>
      </c>
      <c r="F87" s="159" t="s">
        <v>145</v>
      </c>
      <c r="G87" s="160" t="s">
        <v>373</v>
      </c>
      <c r="H87" s="161">
        <v>12</v>
      </c>
      <c r="I87" s="161">
        <v>0</v>
      </c>
      <c r="J87" s="127">
        <f>64612464-10722672</f>
        <v>53889792</v>
      </c>
      <c r="K87" s="88" t="s">
        <v>398</v>
      </c>
      <c r="L87" s="159" t="s">
        <v>36</v>
      </c>
      <c r="M87" s="162" t="s">
        <v>485</v>
      </c>
      <c r="N87" s="23" t="s">
        <v>197</v>
      </c>
      <c r="O87" s="151" t="s">
        <v>945</v>
      </c>
      <c r="P87" s="159" t="s">
        <v>348</v>
      </c>
      <c r="Q87" s="53">
        <v>80111600</v>
      </c>
      <c r="R87" s="162" t="s">
        <v>200</v>
      </c>
      <c r="S87" s="162" t="str">
        <f>MID(PAA[[#This Row],[Meta Proyecto de Inversión]],1,4)</f>
        <v>8126</v>
      </c>
      <c r="T87" s="162" t="str">
        <f>MID(PAA[[#This Row],[Meta Proyecto de Inversión]],6,1)</f>
        <v>1</v>
      </c>
      <c r="U87" s="163" t="str">
        <f>IFERROR(VLOOKUP(N87,TD!$B$50:$F$54,2,0)," ")</f>
        <v>O230117</v>
      </c>
      <c r="V87" s="163" t="str">
        <f>IFERROR(VLOOKUP(N87,TD!$B$50:$F$54,3,0)," ")</f>
        <v>4599</v>
      </c>
      <c r="W87" s="163">
        <f>IFERROR(VLOOKUP(N87,TD!$B$50:$F$54,4,0)," ")</f>
        <v>20240207</v>
      </c>
      <c r="X87" s="162" t="s">
        <v>182</v>
      </c>
      <c r="Y87" s="163" t="str">
        <f>IFERROR(VLOOKUP(X87,TD!$J$51:$K$64,2,0)," ")</f>
        <v>Servicios para la planeación y sistemas de gestión y comunicación estratégica</v>
      </c>
      <c r="Z87" s="164" t="str">
        <f>CONCATENATE(X87,"-",Y87)</f>
        <v>13-Servicios para la planeación y sistemas de gestión y comunicación estratégica</v>
      </c>
      <c r="AA87" s="162" t="s">
        <v>229</v>
      </c>
      <c r="AB87" s="163" t="str">
        <f>IFERROR(VLOOKUP(AA87,TD!$N$51:$O$66,2,0)," ")</f>
        <v>Servicio de asistencia técnica</v>
      </c>
      <c r="AC87" s="164" t="str">
        <f>CONCATENATE(AA87,"_",AB87)</f>
        <v>031_Servicio de asistencia técnica</v>
      </c>
      <c r="AD87" s="164" t="str">
        <f>CONCATENATE(Z87," ",AC87)</f>
        <v>13-Servicios para la planeación y sistemas de gestión y comunicación estratégica 031_Servicio de asistencia técnica</v>
      </c>
      <c r="AE87" s="163" t="str">
        <f>CONCATENATE(U87,V87,W87,X87,AA87)</f>
        <v>O23011745992024020713031</v>
      </c>
      <c r="AF87" s="163" t="str">
        <f>IFERROR(VLOOKUP(AD87,TD!$J$66:$K$89,2,0)," ")</f>
        <v>PM/0131/0113/45990310207</v>
      </c>
      <c r="AG87" s="118" t="s">
        <v>385</v>
      </c>
      <c r="AH87" s="162" t="s">
        <v>193</v>
      </c>
      <c r="AI87" s="165" t="str">
        <f>CONCATENATE(PAA[[#This Row],[Id Interno]],"-",PAA[[#This Row],[tipo de Contrato (TH talento humano - B/S bienes y/o servicios)]],"-",S87,"-",T87,"-",PAA[[#This Row],[Objeto de la contratación]])</f>
        <v>20260059-TH-8126-1-Prestar servicios de apoyo a la gestión administrativa, orientados al control, organización y seguimiento de la documentación institucional, en cumplimiento de las políticas de planeación y de los lineamientos establecidos en el Modelo Integrado de Planeación y Gestión - MIPG.</v>
      </c>
    </row>
    <row r="88" spans="2:35" ht="70" x14ac:dyDescent="0.35">
      <c r="B88" s="23">
        <v>20260060</v>
      </c>
      <c r="C88" s="99" t="s">
        <v>845</v>
      </c>
      <c r="D88" s="23" t="s">
        <v>105</v>
      </c>
      <c r="E88" s="23" t="s">
        <v>363</v>
      </c>
      <c r="F88" s="159" t="s">
        <v>144</v>
      </c>
      <c r="G88" s="160" t="s">
        <v>373</v>
      </c>
      <c r="H88" s="161">
        <v>11</v>
      </c>
      <c r="I88" s="161">
        <v>0</v>
      </c>
      <c r="J88" s="127">
        <f>114000000-4000000</f>
        <v>110000000</v>
      </c>
      <c r="K88" s="88" t="s">
        <v>398</v>
      </c>
      <c r="L88" s="159" t="s">
        <v>36</v>
      </c>
      <c r="M88" s="162" t="s">
        <v>485</v>
      </c>
      <c r="N88" s="23" t="s">
        <v>197</v>
      </c>
      <c r="O88" s="151" t="s">
        <v>945</v>
      </c>
      <c r="P88" s="159" t="s">
        <v>348</v>
      </c>
      <c r="Q88" s="53">
        <v>80111600</v>
      </c>
      <c r="R88" s="162" t="s">
        <v>200</v>
      </c>
      <c r="S88" s="162" t="str">
        <f>MID(PAA[[#This Row],[Meta Proyecto de Inversión]],1,4)</f>
        <v>8126</v>
      </c>
      <c r="T88" s="162" t="str">
        <f>MID(PAA[[#This Row],[Meta Proyecto de Inversión]],6,1)</f>
        <v>1</v>
      </c>
      <c r="U88" s="163" t="str">
        <f>IFERROR(VLOOKUP(N88,TD!$B$50:$F$54,2,0)," ")</f>
        <v>O230117</v>
      </c>
      <c r="V88" s="163" t="str">
        <f>IFERROR(VLOOKUP(N88,TD!$B$50:$F$54,3,0)," ")</f>
        <v>4599</v>
      </c>
      <c r="W88" s="163">
        <f>IFERROR(VLOOKUP(N88,TD!$B$50:$F$54,4,0)," ")</f>
        <v>20240207</v>
      </c>
      <c r="X88" s="162" t="s">
        <v>182</v>
      </c>
      <c r="Y88" s="163" t="str">
        <f>IFERROR(VLOOKUP(X88,TD!$J$51:$K$64,2,0)," ")</f>
        <v>Servicios para la planeación y sistemas de gestión y comunicación estratégica</v>
      </c>
      <c r="Z88" s="164" t="str">
        <f>CONCATENATE(X88,"-",Y88)</f>
        <v>13-Servicios para la planeación y sistemas de gestión y comunicación estratégica</v>
      </c>
      <c r="AA88" s="162" t="s">
        <v>229</v>
      </c>
      <c r="AB88" s="163" t="str">
        <f>IFERROR(VLOOKUP(AA88,TD!$N$51:$O$66,2,0)," ")</f>
        <v>Servicio de asistencia técnica</v>
      </c>
      <c r="AC88" s="164" t="str">
        <f>CONCATENATE(AA88,"_",AB88)</f>
        <v>031_Servicio de asistencia técnica</v>
      </c>
      <c r="AD88" s="164" t="str">
        <f>CONCATENATE(Z88," ",AC88)</f>
        <v>13-Servicios para la planeación y sistemas de gestión y comunicación estratégica 031_Servicio de asistencia técnica</v>
      </c>
      <c r="AE88" s="163" t="str">
        <f>CONCATENATE(U88,V88,W88,X88,AA88)</f>
        <v>O23011745992024020713031</v>
      </c>
      <c r="AF88" s="163" t="str">
        <f>IFERROR(VLOOKUP(AD88,TD!$J$66:$K$89,2,0)," ")</f>
        <v>PM/0131/0113/45990310207</v>
      </c>
      <c r="AG88" s="118" t="s">
        <v>385</v>
      </c>
      <c r="AH88" s="162" t="s">
        <v>193</v>
      </c>
      <c r="AI88" s="165" t="str">
        <f>CONCATENATE(PAA[[#This Row],[Id Interno]],"-",PAA[[#This Row],[tipo de Contrato (TH talento humano - B/S bienes y/o servicios)]],"-",S88,"-",T88,"-",PAA[[#This Row],[Objeto de la contratación]])</f>
        <v>20260060-TH-8126-1-Prestar servicios profesionales para la gestión, formulación, actualización y seguimiento de los proyectos de inversión asignados, en el marco de la política de Gestión Presupuestal y Eficiencia del Gasto Público del Modelo Integrado de Planeación y Gestión - MIPG.</v>
      </c>
    </row>
    <row r="89" spans="2:35" ht="56" x14ac:dyDescent="0.35">
      <c r="B89" s="23">
        <v>20260061</v>
      </c>
      <c r="C89" s="99" t="s">
        <v>846</v>
      </c>
      <c r="D89" s="23" t="s">
        <v>105</v>
      </c>
      <c r="E89" s="23" t="s">
        <v>363</v>
      </c>
      <c r="F89" s="159" t="s">
        <v>144</v>
      </c>
      <c r="G89" s="160" t="s">
        <v>373</v>
      </c>
      <c r="H89" s="161">
        <v>6</v>
      </c>
      <c r="I89" s="161">
        <v>0</v>
      </c>
      <c r="J89" s="127">
        <v>42000000</v>
      </c>
      <c r="K89" s="88" t="s">
        <v>398</v>
      </c>
      <c r="L89" s="159" t="s">
        <v>36</v>
      </c>
      <c r="M89" s="162" t="s">
        <v>485</v>
      </c>
      <c r="N89" s="23" t="s">
        <v>197</v>
      </c>
      <c r="O89" s="151" t="s">
        <v>945</v>
      </c>
      <c r="P89" s="159" t="s">
        <v>348</v>
      </c>
      <c r="Q89" s="53">
        <v>80111600</v>
      </c>
      <c r="R89" s="162" t="s">
        <v>200</v>
      </c>
      <c r="S89" s="162" t="str">
        <f>MID(PAA[[#This Row],[Meta Proyecto de Inversión]],1,4)</f>
        <v>8126</v>
      </c>
      <c r="T89" s="162" t="str">
        <f>MID(PAA[[#This Row],[Meta Proyecto de Inversión]],6,1)</f>
        <v>1</v>
      </c>
      <c r="U89" s="163" t="str">
        <f>IFERROR(VLOOKUP(N89,TD!$B$50:$F$54,2,0)," ")</f>
        <v>O230117</v>
      </c>
      <c r="V89" s="163" t="str">
        <f>IFERROR(VLOOKUP(N89,TD!$B$50:$F$54,3,0)," ")</f>
        <v>4599</v>
      </c>
      <c r="W89" s="163">
        <f>IFERROR(VLOOKUP(N89,TD!$B$50:$F$54,4,0)," ")</f>
        <v>20240207</v>
      </c>
      <c r="X89" s="162" t="s">
        <v>182</v>
      </c>
      <c r="Y89" s="163" t="str">
        <f>IFERROR(VLOOKUP(X89,TD!$J$51:$K$64,2,0)," ")</f>
        <v>Servicios para la planeación y sistemas de gestión y comunicación estratégica</v>
      </c>
      <c r="Z89" s="164" t="str">
        <f>CONCATENATE(X89,"-",Y89)</f>
        <v>13-Servicios para la planeación y sistemas de gestión y comunicación estratégica</v>
      </c>
      <c r="AA89" s="162" t="s">
        <v>229</v>
      </c>
      <c r="AB89" s="163" t="str">
        <f>IFERROR(VLOOKUP(AA89,TD!$N$51:$O$66,2,0)," ")</f>
        <v>Servicio de asistencia técnica</v>
      </c>
      <c r="AC89" s="164" t="str">
        <f>CONCATENATE(AA89,"_",AB89)</f>
        <v>031_Servicio de asistencia técnica</v>
      </c>
      <c r="AD89" s="164" t="str">
        <f>CONCATENATE(Z89," ",AC89)</f>
        <v>13-Servicios para la planeación y sistemas de gestión y comunicación estratégica 031_Servicio de asistencia técnica</v>
      </c>
      <c r="AE89" s="163" t="str">
        <f>CONCATENATE(U89,V89,W89,X89,AA89)</f>
        <v>O23011745992024020713031</v>
      </c>
      <c r="AF89" s="163" t="str">
        <f>IFERROR(VLOOKUP(AD89,TD!$J$66:$K$89,2,0)," ")</f>
        <v>PM/0131/0113/45990310207</v>
      </c>
      <c r="AG89" s="118" t="s">
        <v>385</v>
      </c>
      <c r="AH89" s="162" t="s">
        <v>193</v>
      </c>
      <c r="AI89" s="165" t="str">
        <f>CONCATENATE(PAA[[#This Row],[Id Interno]],"-",PAA[[#This Row],[tipo de Contrato (TH talento humano - B/S bienes y/o servicios)]],"-",S89,"-",T89,"-",PAA[[#This Row],[Objeto de la contratación]])</f>
        <v>20260061-TH-8126-1-Prestar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v>
      </c>
    </row>
    <row r="90" spans="2:35" ht="56" x14ac:dyDescent="0.35">
      <c r="B90" s="23">
        <v>20260062</v>
      </c>
      <c r="C90" s="99" t="s">
        <v>847</v>
      </c>
      <c r="D90" s="23" t="s">
        <v>105</v>
      </c>
      <c r="E90" s="23" t="s">
        <v>363</v>
      </c>
      <c r="F90" s="159" t="s">
        <v>144</v>
      </c>
      <c r="G90" s="160" t="s">
        <v>373</v>
      </c>
      <c r="H90" s="161">
        <v>12</v>
      </c>
      <c r="I90" s="161">
        <v>0</v>
      </c>
      <c r="J90" s="127">
        <v>96000000</v>
      </c>
      <c r="K90" s="88" t="s">
        <v>398</v>
      </c>
      <c r="L90" s="159" t="s">
        <v>36</v>
      </c>
      <c r="M90" s="162" t="s">
        <v>485</v>
      </c>
      <c r="N90" s="23" t="s">
        <v>197</v>
      </c>
      <c r="O90" s="151" t="s">
        <v>945</v>
      </c>
      <c r="P90" s="159" t="s">
        <v>348</v>
      </c>
      <c r="Q90" s="53">
        <v>80111600</v>
      </c>
      <c r="R90" s="162" t="s">
        <v>200</v>
      </c>
      <c r="S90" s="162" t="str">
        <f>MID(PAA[[#This Row],[Meta Proyecto de Inversión]],1,4)</f>
        <v>8126</v>
      </c>
      <c r="T90" s="162" t="str">
        <f>MID(PAA[[#This Row],[Meta Proyecto de Inversión]],6,1)</f>
        <v>1</v>
      </c>
      <c r="U90" s="163" t="str">
        <f>IFERROR(VLOOKUP(N90,TD!$B$50:$F$54,2,0)," ")</f>
        <v>O230117</v>
      </c>
      <c r="V90" s="163" t="str">
        <f>IFERROR(VLOOKUP(N90,TD!$B$50:$F$54,3,0)," ")</f>
        <v>4599</v>
      </c>
      <c r="W90" s="163">
        <f>IFERROR(VLOOKUP(N90,TD!$B$50:$F$54,4,0)," ")</f>
        <v>20240207</v>
      </c>
      <c r="X90" s="162" t="s">
        <v>182</v>
      </c>
      <c r="Y90" s="163" t="str">
        <f>IFERROR(VLOOKUP(X90,TD!$J$51:$K$64,2,0)," ")</f>
        <v>Servicios para la planeación y sistemas de gestión y comunicación estratégica</v>
      </c>
      <c r="Z90" s="164" t="str">
        <f>CONCATENATE(X90,"-",Y90)</f>
        <v>13-Servicios para la planeación y sistemas de gestión y comunicación estratégica</v>
      </c>
      <c r="AA90" s="162" t="s">
        <v>229</v>
      </c>
      <c r="AB90" s="163" t="str">
        <f>IFERROR(VLOOKUP(AA90,TD!$N$51:$O$66,2,0)," ")</f>
        <v>Servicio de asistencia técnica</v>
      </c>
      <c r="AC90" s="164" t="str">
        <f>CONCATENATE(AA90,"_",AB90)</f>
        <v>031_Servicio de asistencia técnica</v>
      </c>
      <c r="AD90" s="164" t="str">
        <f>CONCATENATE(Z90," ",AC90)</f>
        <v>13-Servicios para la planeación y sistemas de gestión y comunicación estratégica 031_Servicio de asistencia técnica</v>
      </c>
      <c r="AE90" s="163" t="str">
        <f>CONCATENATE(U90,V90,W90,X90,AA90)</f>
        <v>O23011745992024020713031</v>
      </c>
      <c r="AF90" s="163" t="str">
        <f>IFERROR(VLOOKUP(AD90,TD!$J$66:$K$89,2,0)," ")</f>
        <v>PM/0131/0113/45990310207</v>
      </c>
      <c r="AG90" s="118" t="s">
        <v>385</v>
      </c>
      <c r="AH90" s="162" t="s">
        <v>193</v>
      </c>
      <c r="AI90" s="165" t="str">
        <f>CONCATENATE(PAA[[#This Row],[Id Interno]],"-",PAA[[#This Row],[tipo de Contrato (TH talento humano - B/S bienes y/o servicios)]],"-",S90,"-",T90,"-",PAA[[#This Row],[Objeto de la contratación]])</f>
        <v>20260062-TH-8126-1-Prestar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v>
      </c>
    </row>
    <row r="91" spans="2:35" ht="56" x14ac:dyDescent="0.35">
      <c r="B91" s="23">
        <v>20260063</v>
      </c>
      <c r="C91" s="99" t="s">
        <v>848</v>
      </c>
      <c r="D91" s="23" t="s">
        <v>105</v>
      </c>
      <c r="E91" s="23" t="s">
        <v>363</v>
      </c>
      <c r="F91" s="159" t="s">
        <v>144</v>
      </c>
      <c r="G91" s="160" t="s">
        <v>373</v>
      </c>
      <c r="H91" s="161">
        <v>12</v>
      </c>
      <c r="I91" s="161">
        <v>0</v>
      </c>
      <c r="J91" s="127">
        <v>108000000</v>
      </c>
      <c r="K91" s="88" t="s">
        <v>398</v>
      </c>
      <c r="L91" s="159" t="s">
        <v>36</v>
      </c>
      <c r="M91" s="162" t="s">
        <v>485</v>
      </c>
      <c r="N91" s="23" t="s">
        <v>197</v>
      </c>
      <c r="O91" s="151" t="s">
        <v>945</v>
      </c>
      <c r="P91" s="159" t="s">
        <v>348</v>
      </c>
      <c r="Q91" s="53">
        <v>80111600</v>
      </c>
      <c r="R91" s="162" t="s">
        <v>200</v>
      </c>
      <c r="S91" s="162" t="str">
        <f>MID(PAA[[#This Row],[Meta Proyecto de Inversión]],1,4)</f>
        <v>8126</v>
      </c>
      <c r="T91" s="162" t="str">
        <f>MID(PAA[[#This Row],[Meta Proyecto de Inversión]],6,1)</f>
        <v>1</v>
      </c>
      <c r="U91" s="163" t="str">
        <f>IFERROR(VLOOKUP(N91,TD!$B$50:$F$54,2,0)," ")</f>
        <v>O230117</v>
      </c>
      <c r="V91" s="163" t="str">
        <f>IFERROR(VLOOKUP(N91,TD!$B$50:$F$54,3,0)," ")</f>
        <v>4599</v>
      </c>
      <c r="W91" s="163">
        <f>IFERROR(VLOOKUP(N91,TD!$B$50:$F$54,4,0)," ")</f>
        <v>20240207</v>
      </c>
      <c r="X91" s="162" t="s">
        <v>182</v>
      </c>
      <c r="Y91" s="163" t="str">
        <f>IFERROR(VLOOKUP(X91,TD!$J$51:$K$64,2,0)," ")</f>
        <v>Servicios para la planeación y sistemas de gestión y comunicación estratégica</v>
      </c>
      <c r="Z91" s="164" t="str">
        <f>CONCATENATE(X91,"-",Y91)</f>
        <v>13-Servicios para la planeación y sistemas de gestión y comunicación estratégica</v>
      </c>
      <c r="AA91" s="162" t="s">
        <v>230</v>
      </c>
      <c r="AB91" s="163" t="str">
        <f>IFERROR(VLOOKUP(AA91,TD!$N$51:$O$66,2,0)," ")</f>
        <v>Servicio de Implementación Sistemas de Gestión</v>
      </c>
      <c r="AC91" s="164" t="str">
        <f>CONCATENATE(AA91,"_",AB91)</f>
        <v>023_Servicio de Implementación Sistemas de Gestión</v>
      </c>
      <c r="AD91" s="164" t="str">
        <f>CONCATENATE(Z91," ",AC91)</f>
        <v>13-Servicios para la planeación y sistemas de gestión y comunicación estratégica 023_Servicio de Implementación Sistemas de Gestión</v>
      </c>
      <c r="AE91" s="163" t="str">
        <f>CONCATENATE(U91,V91,W91,X91,AA91)</f>
        <v>O23011745992024020713023</v>
      </c>
      <c r="AF91" s="163" t="str">
        <f>IFERROR(VLOOKUP(AD91,TD!$J$66:$K$89,2,0)," ")</f>
        <v>PM/0131/0113/45990230207</v>
      </c>
      <c r="AG91" s="118" t="s">
        <v>385</v>
      </c>
      <c r="AH91" s="162" t="s">
        <v>193</v>
      </c>
      <c r="AI91" s="165" t="str">
        <f>CONCATENATE(PAA[[#This Row],[Id Interno]],"-",PAA[[#This Row],[tipo de Contrato (TH talento humano - B/S bienes y/o servicios)]],"-",S91,"-",T91,"-",PAA[[#This Row],[Objeto de la contratación]])</f>
        <v>20260063-TH-8126-1-Prestar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v>
      </c>
    </row>
    <row r="92" spans="2:35" ht="56" x14ac:dyDescent="0.35">
      <c r="B92" s="23">
        <v>20260064</v>
      </c>
      <c r="C92" s="99" t="s">
        <v>849</v>
      </c>
      <c r="D92" s="23" t="s">
        <v>105</v>
      </c>
      <c r="E92" s="23" t="s">
        <v>363</v>
      </c>
      <c r="F92" s="159" t="s">
        <v>144</v>
      </c>
      <c r="G92" s="160" t="s">
        <v>373</v>
      </c>
      <c r="H92" s="161">
        <v>12</v>
      </c>
      <c r="I92" s="161">
        <v>0</v>
      </c>
      <c r="J92" s="127">
        <v>90000000</v>
      </c>
      <c r="K92" s="88" t="s">
        <v>398</v>
      </c>
      <c r="L92" s="159" t="s">
        <v>36</v>
      </c>
      <c r="M92" s="162" t="s">
        <v>485</v>
      </c>
      <c r="N92" s="23" t="s">
        <v>197</v>
      </c>
      <c r="O92" s="151" t="s">
        <v>945</v>
      </c>
      <c r="P92" s="159" t="s">
        <v>348</v>
      </c>
      <c r="Q92" s="53">
        <v>80111600</v>
      </c>
      <c r="R92" s="162" t="s">
        <v>201</v>
      </c>
      <c r="S92" s="162" t="str">
        <f>MID(PAA[[#This Row],[Meta Proyecto de Inversión]],1,4)</f>
        <v>8126</v>
      </c>
      <c r="T92" s="162" t="str">
        <f>MID(PAA[[#This Row],[Meta Proyecto de Inversión]],6,1)</f>
        <v>2</v>
      </c>
      <c r="U92" s="163" t="str">
        <f>IFERROR(VLOOKUP(N92,TD!$B$50:$F$54,2,0)," ")</f>
        <v>O230117</v>
      </c>
      <c r="V92" s="163" t="str">
        <f>IFERROR(VLOOKUP(N92,TD!$B$50:$F$54,3,0)," ")</f>
        <v>4599</v>
      </c>
      <c r="W92" s="163">
        <f>IFERROR(VLOOKUP(N92,TD!$B$50:$F$54,4,0)," ")</f>
        <v>20240207</v>
      </c>
      <c r="X92" s="162" t="s">
        <v>182</v>
      </c>
      <c r="Y92" s="163" t="str">
        <f>IFERROR(VLOOKUP(X92,TD!$J$51:$K$64,2,0)," ")</f>
        <v>Servicios para la planeación y sistemas de gestión y comunicación estratégica</v>
      </c>
      <c r="Z92" s="164" t="str">
        <f>CONCATENATE(X92,"-",Y92)</f>
        <v>13-Servicios para la planeación y sistemas de gestión y comunicación estratégica</v>
      </c>
      <c r="AA92" s="162" t="s">
        <v>230</v>
      </c>
      <c r="AB92" s="163" t="str">
        <f>IFERROR(VLOOKUP(AA92,TD!$N$51:$O$66,2,0)," ")</f>
        <v>Servicio de Implementación Sistemas de Gestión</v>
      </c>
      <c r="AC92" s="164" t="str">
        <f>CONCATENATE(AA92,"_",AB92)</f>
        <v>023_Servicio de Implementación Sistemas de Gestión</v>
      </c>
      <c r="AD92" s="164" t="str">
        <f>CONCATENATE(Z92," ",AC92)</f>
        <v>13-Servicios para la planeación y sistemas de gestión y comunicación estratégica 023_Servicio de Implementación Sistemas de Gestión</v>
      </c>
      <c r="AE92" s="163" t="str">
        <f>CONCATENATE(U92,V92,W92,X92,AA92)</f>
        <v>O23011745992024020713023</v>
      </c>
      <c r="AF92" s="163" t="str">
        <f>IFERROR(VLOOKUP(AD92,TD!$J$66:$K$89,2,0)," ")</f>
        <v>PM/0131/0113/45990230207</v>
      </c>
      <c r="AG92" s="118" t="s">
        <v>385</v>
      </c>
      <c r="AH92" s="162" t="s">
        <v>193</v>
      </c>
      <c r="AI92" s="165" t="str">
        <f>CONCATENATE(PAA[[#This Row],[Id Interno]],"-",PAA[[#This Row],[tipo de Contrato (TH talento humano - B/S bienes y/o servicios)]],"-",S92,"-",T92,"-",PAA[[#This Row],[Objeto de la contratación]])</f>
        <v>20260064-TH-8126-2-Prestar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v>
      </c>
    </row>
    <row r="93" spans="2:35" ht="56" x14ac:dyDescent="0.35">
      <c r="B93" s="23">
        <v>20260065</v>
      </c>
      <c r="C93" s="99" t="s">
        <v>850</v>
      </c>
      <c r="D93" s="23" t="s">
        <v>105</v>
      </c>
      <c r="E93" s="23" t="s">
        <v>363</v>
      </c>
      <c r="F93" s="159" t="s">
        <v>144</v>
      </c>
      <c r="G93" s="160" t="s">
        <v>373</v>
      </c>
      <c r="H93" s="161">
        <v>8</v>
      </c>
      <c r="I93" s="161">
        <v>0</v>
      </c>
      <c r="J93" s="127">
        <v>33600000</v>
      </c>
      <c r="K93" s="88" t="s">
        <v>398</v>
      </c>
      <c r="L93" s="159" t="s">
        <v>36</v>
      </c>
      <c r="M93" s="162" t="s">
        <v>485</v>
      </c>
      <c r="N93" s="23" t="s">
        <v>197</v>
      </c>
      <c r="O93" s="151" t="s">
        <v>945</v>
      </c>
      <c r="P93" s="159" t="s">
        <v>348</v>
      </c>
      <c r="Q93" s="53">
        <v>80111600</v>
      </c>
      <c r="R93" s="162" t="s">
        <v>200</v>
      </c>
      <c r="S93" s="162" t="str">
        <f>MID(PAA[[#This Row],[Meta Proyecto de Inversión]],1,4)</f>
        <v>8126</v>
      </c>
      <c r="T93" s="162" t="str">
        <f>MID(PAA[[#This Row],[Meta Proyecto de Inversión]],6,1)</f>
        <v>1</v>
      </c>
      <c r="U93" s="163" t="str">
        <f>IFERROR(VLOOKUP(N93,TD!$B$50:$F$54,2,0)," ")</f>
        <v>O230117</v>
      </c>
      <c r="V93" s="163" t="str">
        <f>IFERROR(VLOOKUP(N93,TD!$B$50:$F$54,3,0)," ")</f>
        <v>4599</v>
      </c>
      <c r="W93" s="163">
        <f>IFERROR(VLOOKUP(N93,TD!$B$50:$F$54,4,0)," ")</f>
        <v>20240207</v>
      </c>
      <c r="X93" s="162" t="s">
        <v>182</v>
      </c>
      <c r="Y93" s="163" t="str">
        <f>IFERROR(VLOOKUP(X93,TD!$J$51:$K$64,2,0)," ")</f>
        <v>Servicios para la planeación y sistemas de gestión y comunicación estratégica</v>
      </c>
      <c r="Z93" s="164" t="str">
        <f>CONCATENATE(X93,"-",Y93)</f>
        <v>13-Servicios para la planeación y sistemas de gestión y comunicación estratégica</v>
      </c>
      <c r="AA93" s="162" t="s">
        <v>229</v>
      </c>
      <c r="AB93" s="163" t="str">
        <f>IFERROR(VLOOKUP(AA93,TD!$N$51:$O$66,2,0)," ")</f>
        <v>Servicio de asistencia técnica</v>
      </c>
      <c r="AC93" s="164" t="str">
        <f>CONCATENATE(AA93,"_",AB93)</f>
        <v>031_Servicio de asistencia técnica</v>
      </c>
      <c r="AD93" s="164" t="str">
        <f>CONCATENATE(Z93," ",AC93)</f>
        <v>13-Servicios para la planeación y sistemas de gestión y comunicación estratégica 031_Servicio de asistencia técnica</v>
      </c>
      <c r="AE93" s="163" t="str">
        <f>CONCATENATE(U93,V93,W93,X93,AA93)</f>
        <v>O23011745992024020713031</v>
      </c>
      <c r="AF93" s="163" t="str">
        <f>IFERROR(VLOOKUP(AD93,TD!$J$66:$K$89,2,0)," ")</f>
        <v>PM/0131/0113/45990310207</v>
      </c>
      <c r="AG93" s="118" t="s">
        <v>385</v>
      </c>
      <c r="AH93" s="162" t="s">
        <v>193</v>
      </c>
      <c r="AI93" s="165" t="str">
        <f>CONCATENATE(PAA[[#This Row],[Id Interno]],"-",PAA[[#This Row],[tipo de Contrato (TH talento humano - B/S bienes y/o servicios)]],"-",S93,"-",T93,"-",PAA[[#This Row],[Objeto de la contratación]])</f>
        <v>20260065-TH-8126-1-Prestar servicios de apoyo a la gestión administrativa para la ejecución de actividades asistenciales, logísticas y de gestión documental, requeridas para la implementación del Sistema de Gestión de la Calidad en el marco del Modelo Integrado de Planeación y Gestión - MIPG.</v>
      </c>
    </row>
    <row r="94" spans="2:35" ht="56" x14ac:dyDescent="0.35">
      <c r="B94" s="23">
        <v>20260066</v>
      </c>
      <c r="C94" s="99" t="s">
        <v>851</v>
      </c>
      <c r="D94" s="23" t="s">
        <v>105</v>
      </c>
      <c r="E94" s="23" t="s">
        <v>363</v>
      </c>
      <c r="F94" s="159" t="s">
        <v>144</v>
      </c>
      <c r="G94" s="160" t="s">
        <v>373</v>
      </c>
      <c r="H94" s="161">
        <v>11</v>
      </c>
      <c r="I94" s="161">
        <v>0</v>
      </c>
      <c r="J94" s="127">
        <v>99000000</v>
      </c>
      <c r="K94" s="88" t="s">
        <v>398</v>
      </c>
      <c r="L94" s="159" t="s">
        <v>36</v>
      </c>
      <c r="M94" s="162" t="s">
        <v>485</v>
      </c>
      <c r="N94" s="23" t="s">
        <v>197</v>
      </c>
      <c r="O94" s="151" t="s">
        <v>945</v>
      </c>
      <c r="P94" s="159" t="s">
        <v>348</v>
      </c>
      <c r="Q94" s="53">
        <v>80111600</v>
      </c>
      <c r="R94" s="162" t="s">
        <v>200</v>
      </c>
      <c r="S94" s="162" t="str">
        <f>MID(PAA[[#This Row],[Meta Proyecto de Inversión]],1,4)</f>
        <v>8126</v>
      </c>
      <c r="T94" s="162" t="str">
        <f>MID(PAA[[#This Row],[Meta Proyecto de Inversión]],6,1)</f>
        <v>1</v>
      </c>
      <c r="U94" s="163" t="str">
        <f>IFERROR(VLOOKUP(N94,TD!$B$50:$F$54,2,0)," ")</f>
        <v>O230117</v>
      </c>
      <c r="V94" s="163" t="str">
        <f>IFERROR(VLOOKUP(N94,TD!$B$50:$F$54,3,0)," ")</f>
        <v>4599</v>
      </c>
      <c r="W94" s="163">
        <f>IFERROR(VLOOKUP(N94,TD!$B$50:$F$54,4,0)," ")</f>
        <v>20240207</v>
      </c>
      <c r="X94" s="162" t="s">
        <v>182</v>
      </c>
      <c r="Y94" s="163" t="str">
        <f>IFERROR(VLOOKUP(X94,TD!$J$51:$K$64,2,0)," ")</f>
        <v>Servicios para la planeación y sistemas de gestión y comunicación estratégica</v>
      </c>
      <c r="Z94" s="164" t="str">
        <f>CONCATENATE(X94,"-",Y94)</f>
        <v>13-Servicios para la planeación y sistemas de gestión y comunicación estratégica</v>
      </c>
      <c r="AA94" s="162" t="s">
        <v>229</v>
      </c>
      <c r="AB94" s="163" t="str">
        <f>IFERROR(VLOOKUP(AA94,TD!$N$51:$O$66,2,0)," ")</f>
        <v>Servicio de asistencia técnica</v>
      </c>
      <c r="AC94" s="164" t="str">
        <f>CONCATENATE(AA94,"_",AB94)</f>
        <v>031_Servicio de asistencia técnica</v>
      </c>
      <c r="AD94" s="164" t="str">
        <f>CONCATENATE(Z94," ",AC94)</f>
        <v>13-Servicios para la planeación y sistemas de gestión y comunicación estratégica 031_Servicio de asistencia técnica</v>
      </c>
      <c r="AE94" s="163" t="str">
        <f>CONCATENATE(U94,V94,W94,X94,AA94)</f>
        <v>O23011745992024020713031</v>
      </c>
      <c r="AF94" s="163" t="str">
        <f>IFERROR(VLOOKUP(AD94,TD!$J$66:$K$89,2,0)," ")</f>
        <v>PM/0131/0113/45990310207</v>
      </c>
      <c r="AG94" s="118" t="s">
        <v>385</v>
      </c>
      <c r="AH94" s="162" t="s">
        <v>193</v>
      </c>
      <c r="AI94" s="165" t="str">
        <f>CONCATENATE(PAA[[#This Row],[Id Interno]],"-",PAA[[#This Row],[tipo de Contrato (TH talento humano - B/S bienes y/o servicios)]],"-",S94,"-",T94,"-",PAA[[#This Row],[Objeto de la contratación]])</f>
        <v>20260066-TH-8126-1-Prestar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v>
      </c>
    </row>
    <row r="95" spans="2:35" ht="56" x14ac:dyDescent="0.35">
      <c r="B95" s="23">
        <v>20260067</v>
      </c>
      <c r="C95" s="99" t="s">
        <v>852</v>
      </c>
      <c r="D95" s="23" t="s">
        <v>105</v>
      </c>
      <c r="E95" s="23" t="s">
        <v>363</v>
      </c>
      <c r="F95" s="159" t="s">
        <v>144</v>
      </c>
      <c r="G95" s="160" t="s">
        <v>373</v>
      </c>
      <c r="H95" s="161">
        <v>11</v>
      </c>
      <c r="I95" s="161">
        <v>0</v>
      </c>
      <c r="J95" s="127">
        <v>88000000</v>
      </c>
      <c r="K95" s="88" t="s">
        <v>398</v>
      </c>
      <c r="L95" s="159" t="s">
        <v>36</v>
      </c>
      <c r="M95" s="162" t="s">
        <v>485</v>
      </c>
      <c r="N95" s="23" t="s">
        <v>197</v>
      </c>
      <c r="O95" s="151" t="s">
        <v>945</v>
      </c>
      <c r="P95" s="159" t="s">
        <v>348</v>
      </c>
      <c r="Q95" s="53">
        <v>80111600</v>
      </c>
      <c r="R95" s="162" t="s">
        <v>200</v>
      </c>
      <c r="S95" s="162" t="str">
        <f>MID(PAA[[#This Row],[Meta Proyecto de Inversión]],1,4)</f>
        <v>8126</v>
      </c>
      <c r="T95" s="162" t="str">
        <f>MID(PAA[[#This Row],[Meta Proyecto de Inversión]],6,1)</f>
        <v>1</v>
      </c>
      <c r="U95" s="163" t="str">
        <f>IFERROR(VLOOKUP(N95,TD!$B$50:$F$54,2,0)," ")</f>
        <v>O230117</v>
      </c>
      <c r="V95" s="163" t="str">
        <f>IFERROR(VLOOKUP(N95,TD!$B$50:$F$54,3,0)," ")</f>
        <v>4599</v>
      </c>
      <c r="W95" s="163">
        <f>IFERROR(VLOOKUP(N95,TD!$B$50:$F$54,4,0)," ")</f>
        <v>20240207</v>
      </c>
      <c r="X95" s="162" t="s">
        <v>182</v>
      </c>
      <c r="Y95" s="163" t="str">
        <f>IFERROR(VLOOKUP(X95,TD!$J$51:$K$64,2,0)," ")</f>
        <v>Servicios para la planeación y sistemas de gestión y comunicación estratégica</v>
      </c>
      <c r="Z95" s="164" t="str">
        <f>CONCATENATE(X95,"-",Y95)</f>
        <v>13-Servicios para la planeación y sistemas de gestión y comunicación estratégica</v>
      </c>
      <c r="AA95" s="162" t="s">
        <v>229</v>
      </c>
      <c r="AB95" s="163" t="str">
        <f>IFERROR(VLOOKUP(AA95,TD!$N$51:$O$66,2,0)," ")</f>
        <v>Servicio de asistencia técnica</v>
      </c>
      <c r="AC95" s="164" t="str">
        <f>CONCATENATE(AA95,"_",AB95)</f>
        <v>031_Servicio de asistencia técnica</v>
      </c>
      <c r="AD95" s="164" t="str">
        <f>CONCATENATE(Z95," ",AC95)</f>
        <v>13-Servicios para la planeación y sistemas de gestión y comunicación estratégica 031_Servicio de asistencia técnica</v>
      </c>
      <c r="AE95" s="163" t="str">
        <f>CONCATENATE(U95,V95,W95,X95,AA95)</f>
        <v>O23011745992024020713031</v>
      </c>
      <c r="AF95" s="163" t="str">
        <f>IFERROR(VLOOKUP(AD95,TD!$J$66:$K$89,2,0)," ")</f>
        <v>PM/0131/0113/45990310207</v>
      </c>
      <c r="AG95" s="118" t="s">
        <v>385</v>
      </c>
      <c r="AH95" s="162" t="s">
        <v>193</v>
      </c>
      <c r="AI95" s="165" t="str">
        <f>CONCATENATE(PAA[[#This Row],[Id Interno]],"-",PAA[[#This Row],[tipo de Contrato (TH talento humano - B/S bienes y/o servicios)]],"-",S95,"-",T95,"-",PAA[[#This Row],[Objeto de la contratación]])</f>
        <v>20260067-TH-8126-1-Prestar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v>
      </c>
    </row>
    <row r="96" spans="2:35" ht="56" x14ac:dyDescent="0.35">
      <c r="B96" s="23">
        <v>20260068</v>
      </c>
      <c r="C96" s="99" t="s">
        <v>853</v>
      </c>
      <c r="D96" s="23" t="s">
        <v>105</v>
      </c>
      <c r="E96" s="23" t="s">
        <v>363</v>
      </c>
      <c r="F96" s="159" t="s">
        <v>144</v>
      </c>
      <c r="G96" s="160" t="s">
        <v>373</v>
      </c>
      <c r="H96" s="161">
        <v>6</v>
      </c>
      <c r="I96" s="161">
        <v>0</v>
      </c>
      <c r="J96" s="127">
        <v>42000000</v>
      </c>
      <c r="K96" s="88" t="s">
        <v>398</v>
      </c>
      <c r="L96" s="159" t="s">
        <v>36</v>
      </c>
      <c r="M96" s="162" t="s">
        <v>485</v>
      </c>
      <c r="N96" s="23" t="s">
        <v>197</v>
      </c>
      <c r="O96" s="151" t="s">
        <v>945</v>
      </c>
      <c r="P96" s="159" t="s">
        <v>348</v>
      </c>
      <c r="Q96" s="53">
        <v>80111600</v>
      </c>
      <c r="R96" s="162" t="s">
        <v>200</v>
      </c>
      <c r="S96" s="162" t="str">
        <f>MID(PAA[[#This Row],[Meta Proyecto de Inversión]],1,4)</f>
        <v>8126</v>
      </c>
      <c r="T96" s="162" t="str">
        <f>MID(PAA[[#This Row],[Meta Proyecto de Inversión]],6,1)</f>
        <v>1</v>
      </c>
      <c r="U96" s="163" t="str">
        <f>IFERROR(VLOOKUP(N96,TD!$B$50:$F$54,2,0)," ")</f>
        <v>O230117</v>
      </c>
      <c r="V96" s="163" t="str">
        <f>IFERROR(VLOOKUP(N96,TD!$B$50:$F$54,3,0)," ")</f>
        <v>4599</v>
      </c>
      <c r="W96" s="163">
        <f>IFERROR(VLOOKUP(N96,TD!$B$50:$F$54,4,0)," ")</f>
        <v>20240207</v>
      </c>
      <c r="X96" s="162" t="s">
        <v>182</v>
      </c>
      <c r="Y96" s="163" t="str">
        <f>IFERROR(VLOOKUP(X96,TD!$J$51:$K$64,2,0)," ")</f>
        <v>Servicios para la planeación y sistemas de gestión y comunicación estratégica</v>
      </c>
      <c r="Z96" s="164" t="str">
        <f>CONCATENATE(X96,"-",Y96)</f>
        <v>13-Servicios para la planeación y sistemas de gestión y comunicación estratégica</v>
      </c>
      <c r="AA96" s="162" t="s">
        <v>229</v>
      </c>
      <c r="AB96" s="163" t="str">
        <f>IFERROR(VLOOKUP(AA96,TD!$N$51:$O$66,2,0)," ")</f>
        <v>Servicio de asistencia técnica</v>
      </c>
      <c r="AC96" s="164" t="str">
        <f>CONCATENATE(AA96,"_",AB96)</f>
        <v>031_Servicio de asistencia técnica</v>
      </c>
      <c r="AD96" s="164" t="str">
        <f>CONCATENATE(Z96," ",AC96)</f>
        <v>13-Servicios para la planeación y sistemas de gestión y comunicación estratégica 031_Servicio de asistencia técnica</v>
      </c>
      <c r="AE96" s="163" t="str">
        <f>CONCATENATE(U96,V96,W96,X96,AA96)</f>
        <v>O23011745992024020713031</v>
      </c>
      <c r="AF96" s="163" t="str">
        <f>IFERROR(VLOOKUP(AD96,TD!$J$66:$K$89,2,0)," ")</f>
        <v>PM/0131/0113/45990310207</v>
      </c>
      <c r="AG96" s="118" t="s">
        <v>385</v>
      </c>
      <c r="AH96" s="162" t="s">
        <v>193</v>
      </c>
      <c r="AI96" s="165" t="str">
        <f>CONCATENATE(PAA[[#This Row],[Id Interno]],"-",PAA[[#This Row],[tipo de Contrato (TH talento humano - B/S bienes y/o servicios)]],"-",S96,"-",T96,"-",PAA[[#This Row],[Objeto de la contratación]])</f>
        <v>20260068-TH-8126-1-Prestar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v>
      </c>
    </row>
    <row r="97" spans="2:35" ht="70" x14ac:dyDescent="0.35">
      <c r="B97" s="23">
        <v>20260069</v>
      </c>
      <c r="C97" s="99" t="s">
        <v>854</v>
      </c>
      <c r="D97" s="23" t="s">
        <v>105</v>
      </c>
      <c r="E97" s="23" t="s">
        <v>363</v>
      </c>
      <c r="F97" s="159" t="s">
        <v>144</v>
      </c>
      <c r="G97" s="160" t="s">
        <v>373</v>
      </c>
      <c r="H97" s="161">
        <v>12</v>
      </c>
      <c r="I97" s="161">
        <v>0</v>
      </c>
      <c r="J97" s="127">
        <v>126000000</v>
      </c>
      <c r="K97" s="88" t="s">
        <v>398</v>
      </c>
      <c r="L97" s="159" t="s">
        <v>36</v>
      </c>
      <c r="M97" s="162" t="s">
        <v>485</v>
      </c>
      <c r="N97" s="23" t="s">
        <v>197</v>
      </c>
      <c r="O97" s="151" t="s">
        <v>945</v>
      </c>
      <c r="P97" s="159" t="s">
        <v>348</v>
      </c>
      <c r="Q97" s="53">
        <v>80111600</v>
      </c>
      <c r="R97" s="162" t="s">
        <v>200</v>
      </c>
      <c r="S97" s="162" t="str">
        <f>MID(PAA[[#This Row],[Meta Proyecto de Inversión]],1,4)</f>
        <v>8126</v>
      </c>
      <c r="T97" s="162" t="str">
        <f>MID(PAA[[#This Row],[Meta Proyecto de Inversión]],6,1)</f>
        <v>1</v>
      </c>
      <c r="U97" s="163" t="str">
        <f>IFERROR(VLOOKUP(N97,TD!$B$50:$F$54,2,0)," ")</f>
        <v>O230117</v>
      </c>
      <c r="V97" s="163" t="str">
        <f>IFERROR(VLOOKUP(N97,TD!$B$50:$F$54,3,0)," ")</f>
        <v>4599</v>
      </c>
      <c r="W97" s="163">
        <f>IFERROR(VLOOKUP(N97,TD!$B$50:$F$54,4,0)," ")</f>
        <v>20240207</v>
      </c>
      <c r="X97" s="162" t="s">
        <v>182</v>
      </c>
      <c r="Y97" s="163" t="str">
        <f>IFERROR(VLOOKUP(X97,TD!$J$51:$K$64,2,0)," ")</f>
        <v>Servicios para la planeación y sistemas de gestión y comunicación estratégica</v>
      </c>
      <c r="Z97" s="164" t="str">
        <f>CONCATENATE(X97,"-",Y97)</f>
        <v>13-Servicios para la planeación y sistemas de gestión y comunicación estratégica</v>
      </c>
      <c r="AA97" s="162" t="s">
        <v>229</v>
      </c>
      <c r="AB97" s="163" t="str">
        <f>IFERROR(VLOOKUP(AA97,TD!$N$51:$O$66,2,0)," ")</f>
        <v>Servicio de asistencia técnica</v>
      </c>
      <c r="AC97" s="164" t="str">
        <f>CONCATENATE(AA97,"_",AB97)</f>
        <v>031_Servicio de asistencia técnica</v>
      </c>
      <c r="AD97" s="164" t="str">
        <f>CONCATENATE(Z97," ",AC97)</f>
        <v>13-Servicios para la planeación y sistemas de gestión y comunicación estratégica 031_Servicio de asistencia técnica</v>
      </c>
      <c r="AE97" s="163" t="str">
        <f>CONCATENATE(U97,V97,W97,X97,AA97)</f>
        <v>O23011745992024020713031</v>
      </c>
      <c r="AF97" s="163" t="str">
        <f>IFERROR(VLOOKUP(AD97,TD!$J$66:$K$89,2,0)," ")</f>
        <v>PM/0131/0113/45990310207</v>
      </c>
      <c r="AG97" s="118" t="s">
        <v>385</v>
      </c>
      <c r="AH97" s="162" t="s">
        <v>193</v>
      </c>
      <c r="AI97" s="165" t="str">
        <f>CONCATENATE(PAA[[#This Row],[Id Interno]],"-",PAA[[#This Row],[tipo de Contrato (TH talento humano - B/S bienes y/o servicios)]],"-",S97,"-",T97,"-",PAA[[#This Row],[Objeto de la contratación]])</f>
        <v>20260069-TH-8126-1-Prestar servicios profesionales a la Oficina Asesora de Planeación en los temas estratégicos y transversales relacionados con el Mejoramiento Continuo y la Gestión de la Calidad, en el marco del Modelo Integrado de Planeación y Gestión (MIPG).</v>
      </c>
    </row>
    <row r="98" spans="2:35" ht="84" x14ac:dyDescent="0.35">
      <c r="B98" s="23">
        <v>20260070</v>
      </c>
      <c r="C98" s="99" t="s">
        <v>855</v>
      </c>
      <c r="D98" s="23" t="s">
        <v>105</v>
      </c>
      <c r="E98" s="23" t="s">
        <v>363</v>
      </c>
      <c r="F98" s="159" t="s">
        <v>144</v>
      </c>
      <c r="G98" s="160" t="s">
        <v>373</v>
      </c>
      <c r="H98" s="161">
        <v>6</v>
      </c>
      <c r="I98" s="161">
        <v>0</v>
      </c>
      <c r="J98" s="127">
        <v>42000000</v>
      </c>
      <c r="K98" s="88" t="s">
        <v>398</v>
      </c>
      <c r="L98" s="159" t="s">
        <v>36</v>
      </c>
      <c r="M98" s="162" t="s">
        <v>485</v>
      </c>
      <c r="N98" s="23" t="s">
        <v>197</v>
      </c>
      <c r="O98" s="151" t="s">
        <v>945</v>
      </c>
      <c r="P98" s="159" t="s">
        <v>348</v>
      </c>
      <c r="Q98" s="53">
        <v>80111600</v>
      </c>
      <c r="R98" s="162" t="s">
        <v>200</v>
      </c>
      <c r="S98" s="162" t="str">
        <f>MID(PAA[[#This Row],[Meta Proyecto de Inversión]],1,4)</f>
        <v>8126</v>
      </c>
      <c r="T98" s="162" t="str">
        <f>MID(PAA[[#This Row],[Meta Proyecto de Inversión]],6,1)</f>
        <v>1</v>
      </c>
      <c r="U98" s="163" t="str">
        <f>IFERROR(VLOOKUP(N98,TD!$B$50:$F$54,2,0)," ")</f>
        <v>O230117</v>
      </c>
      <c r="V98" s="163" t="str">
        <f>IFERROR(VLOOKUP(N98,TD!$B$50:$F$54,3,0)," ")</f>
        <v>4599</v>
      </c>
      <c r="W98" s="163">
        <f>IFERROR(VLOOKUP(N98,TD!$B$50:$F$54,4,0)," ")</f>
        <v>20240207</v>
      </c>
      <c r="X98" s="162" t="s">
        <v>182</v>
      </c>
      <c r="Y98" s="163" t="str">
        <f>IFERROR(VLOOKUP(X98,TD!$J$51:$K$64,2,0)," ")</f>
        <v>Servicios para la planeación y sistemas de gestión y comunicación estratégica</v>
      </c>
      <c r="Z98" s="164" t="str">
        <f>CONCATENATE(X98,"-",Y98)</f>
        <v>13-Servicios para la planeación y sistemas de gestión y comunicación estratégica</v>
      </c>
      <c r="AA98" s="162" t="s">
        <v>229</v>
      </c>
      <c r="AB98" s="163" t="str">
        <f>IFERROR(VLOOKUP(AA98,TD!$N$51:$O$66,2,0)," ")</f>
        <v>Servicio de asistencia técnica</v>
      </c>
      <c r="AC98" s="164" t="str">
        <f>CONCATENATE(AA98,"_",AB98)</f>
        <v>031_Servicio de asistencia técnica</v>
      </c>
      <c r="AD98" s="164" t="str">
        <f>CONCATENATE(Z98," ",AC98)</f>
        <v>13-Servicios para la planeación y sistemas de gestión y comunicación estratégica 031_Servicio de asistencia técnica</v>
      </c>
      <c r="AE98" s="163" t="str">
        <f>CONCATENATE(U98,V98,W98,X98,AA98)</f>
        <v>O23011745992024020713031</v>
      </c>
      <c r="AF98" s="163" t="str">
        <f>IFERROR(VLOOKUP(AD98,TD!$J$66:$K$89,2,0)," ")</f>
        <v>PM/0131/0113/45990310207</v>
      </c>
      <c r="AG98" s="118" t="s">
        <v>385</v>
      </c>
      <c r="AH98" s="162" t="s">
        <v>193</v>
      </c>
      <c r="AI98" s="165" t="str">
        <f>CONCATENATE(PAA[[#This Row],[Id Interno]],"-",PAA[[#This Row],[tipo de Contrato (TH talento humano - B/S bienes y/o servicios)]],"-",S98,"-",T98,"-",PAA[[#This Row],[Objeto de la contratación]])</f>
        <v>20260070-TH-8126-1-Prestar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v>
      </c>
    </row>
    <row r="99" spans="2:35" ht="56" x14ac:dyDescent="0.35">
      <c r="B99" s="23">
        <v>20260071</v>
      </c>
      <c r="C99" s="99" t="s">
        <v>856</v>
      </c>
      <c r="D99" s="23" t="s">
        <v>105</v>
      </c>
      <c r="E99" s="23" t="s">
        <v>363</v>
      </c>
      <c r="F99" s="159" t="s">
        <v>144</v>
      </c>
      <c r="G99" s="160" t="s">
        <v>373</v>
      </c>
      <c r="H99" s="161">
        <v>11</v>
      </c>
      <c r="I99" s="161">
        <v>0</v>
      </c>
      <c r="J99" s="127">
        <f>102000000-800000</f>
        <v>101200000</v>
      </c>
      <c r="K99" s="88" t="s">
        <v>398</v>
      </c>
      <c r="L99" s="159" t="s">
        <v>36</v>
      </c>
      <c r="M99" s="162" t="s">
        <v>485</v>
      </c>
      <c r="N99" s="23" t="s">
        <v>197</v>
      </c>
      <c r="O99" s="151" t="s">
        <v>945</v>
      </c>
      <c r="P99" s="159" t="s">
        <v>348</v>
      </c>
      <c r="Q99" s="53">
        <v>80111600</v>
      </c>
      <c r="R99" s="162" t="s">
        <v>202</v>
      </c>
      <c r="S99" s="162" t="str">
        <f>MID(PAA[[#This Row],[Meta Proyecto de Inversión]],1,4)</f>
        <v>8126</v>
      </c>
      <c r="T99" s="162" t="str">
        <f>MID(PAA[[#This Row],[Meta Proyecto de Inversión]],6,1)</f>
        <v>3</v>
      </c>
      <c r="U99" s="163" t="str">
        <f>IFERROR(VLOOKUP(N99,TD!$B$50:$F$54,2,0)," ")</f>
        <v>O230117</v>
      </c>
      <c r="V99" s="163" t="str">
        <f>IFERROR(VLOOKUP(N99,TD!$B$50:$F$54,3,0)," ")</f>
        <v>4599</v>
      </c>
      <c r="W99" s="163">
        <f>IFERROR(VLOOKUP(N99,TD!$B$50:$F$54,4,0)," ")</f>
        <v>20240207</v>
      </c>
      <c r="X99" s="162" t="s">
        <v>182</v>
      </c>
      <c r="Y99" s="163" t="str">
        <f>IFERROR(VLOOKUP(X99,TD!$J$51:$K$64,2,0)," ")</f>
        <v>Servicios para la planeación y sistemas de gestión y comunicación estratégica</v>
      </c>
      <c r="Z99" s="164" t="str">
        <f>CONCATENATE(X99,"-",Y99)</f>
        <v>13-Servicios para la planeación y sistemas de gestión y comunicación estratégica</v>
      </c>
      <c r="AA99" s="162" t="s">
        <v>229</v>
      </c>
      <c r="AB99" s="163" t="str">
        <f>IFERROR(VLOOKUP(AA99,TD!$N$51:$O$66,2,0)," ")</f>
        <v>Servicio de asistencia técnica</v>
      </c>
      <c r="AC99" s="164" t="str">
        <f>CONCATENATE(AA99,"_",AB99)</f>
        <v>031_Servicio de asistencia técnica</v>
      </c>
      <c r="AD99" s="164" t="str">
        <f>CONCATENATE(Z99," ",AC99)</f>
        <v>13-Servicios para la planeación y sistemas de gestión y comunicación estratégica 031_Servicio de asistencia técnica</v>
      </c>
      <c r="AE99" s="163" t="str">
        <f>CONCATENATE(U99,V99,W99,X99,AA99)</f>
        <v>O23011745992024020713031</v>
      </c>
      <c r="AF99" s="163" t="str">
        <f>IFERROR(VLOOKUP(AD99,TD!$J$66:$K$89,2,0)," ")</f>
        <v>PM/0131/0113/45990310207</v>
      </c>
      <c r="AG99" s="118" t="s">
        <v>385</v>
      </c>
      <c r="AH99" s="162" t="s">
        <v>193</v>
      </c>
      <c r="AI99" s="165" t="str">
        <f>CONCATENATE(PAA[[#This Row],[Id Interno]],"-",PAA[[#This Row],[tipo de Contrato (TH talento humano - B/S bienes y/o servicios)]],"-",S99,"-",T99,"-",PAA[[#This Row],[Objeto de la contratación]])</f>
        <v>20260071-TH-8126-3-Prestar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v>
      </c>
    </row>
    <row r="100" spans="2:35" ht="56" x14ac:dyDescent="0.35">
      <c r="B100" s="23">
        <v>20260072</v>
      </c>
      <c r="C100" s="99" t="s">
        <v>928</v>
      </c>
      <c r="D100" s="23" t="s">
        <v>105</v>
      </c>
      <c r="E100" s="23" t="s">
        <v>363</v>
      </c>
      <c r="F100" s="159" t="s">
        <v>144</v>
      </c>
      <c r="G100" s="160" t="s">
        <v>373</v>
      </c>
      <c r="H100" s="161">
        <v>8</v>
      </c>
      <c r="I100" s="161">
        <v>0</v>
      </c>
      <c r="J100" s="127">
        <f>53889792-1889792</f>
        <v>52000000</v>
      </c>
      <c r="K100" s="88" t="s">
        <v>398</v>
      </c>
      <c r="L100" s="159" t="s">
        <v>36</v>
      </c>
      <c r="M100" s="162" t="s">
        <v>485</v>
      </c>
      <c r="N100" s="23" t="s">
        <v>197</v>
      </c>
      <c r="O100" s="151" t="s">
        <v>945</v>
      </c>
      <c r="P100" s="159" t="s">
        <v>348</v>
      </c>
      <c r="Q100" s="53">
        <v>80111600</v>
      </c>
      <c r="R100" s="162" t="s">
        <v>200</v>
      </c>
      <c r="S100" s="162" t="str">
        <f>MID(PAA[[#This Row],[Meta Proyecto de Inversión]],1,4)</f>
        <v>8126</v>
      </c>
      <c r="T100" s="162" t="str">
        <f>MID(PAA[[#This Row],[Meta Proyecto de Inversión]],6,1)</f>
        <v>1</v>
      </c>
      <c r="U100" s="163" t="str">
        <f>IFERROR(VLOOKUP(N100,TD!$B$50:$F$54,2,0)," ")</f>
        <v>O230117</v>
      </c>
      <c r="V100" s="163" t="str">
        <f>IFERROR(VLOOKUP(N100,TD!$B$50:$F$54,3,0)," ")</f>
        <v>4599</v>
      </c>
      <c r="W100" s="163">
        <f>IFERROR(VLOOKUP(N100,TD!$B$50:$F$54,4,0)," ")</f>
        <v>20240207</v>
      </c>
      <c r="X100" s="162" t="s">
        <v>182</v>
      </c>
      <c r="Y100" s="163" t="str">
        <f>IFERROR(VLOOKUP(X100,TD!$J$51:$K$64,2,0)," ")</f>
        <v>Servicios para la planeación y sistemas de gestión y comunicación estratégica</v>
      </c>
      <c r="Z100" s="164" t="str">
        <f>CONCATENATE(X100,"-",Y100)</f>
        <v>13-Servicios para la planeación y sistemas de gestión y comunicación estratégica</v>
      </c>
      <c r="AA100" s="162" t="s">
        <v>229</v>
      </c>
      <c r="AB100" s="163" t="str">
        <f>IFERROR(VLOOKUP(AA100,TD!$N$51:$O$66,2,0)," ")</f>
        <v>Servicio de asistencia técnica</v>
      </c>
      <c r="AC100" s="164" t="str">
        <f>CONCATENATE(AA100,"_",AB100)</f>
        <v>031_Servicio de asistencia técnica</v>
      </c>
      <c r="AD100" s="164" t="str">
        <f>CONCATENATE(Z100," ",AC100)</f>
        <v>13-Servicios para la planeación y sistemas de gestión y comunicación estratégica 031_Servicio de asistencia técnica</v>
      </c>
      <c r="AE100" s="163" t="str">
        <f>CONCATENATE(U100,V100,W100,X100,AA100)</f>
        <v>O23011745992024020713031</v>
      </c>
      <c r="AF100" s="163" t="str">
        <f>IFERROR(VLOOKUP(AD100,TD!$J$66:$K$89,2,0)," ")</f>
        <v>PM/0131/0113/45990310207</v>
      </c>
      <c r="AG100" s="118" t="s">
        <v>385</v>
      </c>
      <c r="AH100" s="162" t="s">
        <v>193</v>
      </c>
      <c r="AI100" s="165" t="str">
        <f>CONCATENATE(PAA[[#This Row],[Id Interno]],"-",PAA[[#This Row],[tipo de Contrato (TH talento humano - B/S bienes y/o servicios)]],"-",S100,"-",T100,"-",PAA[[#This Row],[Objeto de la contratación]])</f>
        <v>20260072-TH-8126-1-Prestar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v>
      </c>
    </row>
    <row r="101" spans="2:35" ht="56" x14ac:dyDescent="0.35">
      <c r="B101" s="23">
        <v>20260073</v>
      </c>
      <c r="C101" s="99" t="s">
        <v>857</v>
      </c>
      <c r="D101" s="23" t="s">
        <v>105</v>
      </c>
      <c r="E101" s="23" t="s">
        <v>363</v>
      </c>
      <c r="F101" s="159" t="s">
        <v>144</v>
      </c>
      <c r="G101" s="160" t="s">
        <v>373</v>
      </c>
      <c r="H101" s="161">
        <v>6</v>
      </c>
      <c r="I101" s="161">
        <v>0</v>
      </c>
      <c r="J101" s="127">
        <v>39000000</v>
      </c>
      <c r="K101" s="88" t="s">
        <v>398</v>
      </c>
      <c r="L101" s="159" t="s">
        <v>36</v>
      </c>
      <c r="M101" s="162" t="s">
        <v>485</v>
      </c>
      <c r="N101" s="23" t="s">
        <v>197</v>
      </c>
      <c r="O101" s="151" t="s">
        <v>945</v>
      </c>
      <c r="P101" s="159" t="s">
        <v>348</v>
      </c>
      <c r="Q101" s="53">
        <v>80111600</v>
      </c>
      <c r="R101" s="162" t="s">
        <v>200</v>
      </c>
      <c r="S101" s="162" t="str">
        <f>MID(PAA[[#This Row],[Meta Proyecto de Inversión]],1,4)</f>
        <v>8126</v>
      </c>
      <c r="T101" s="162" t="str">
        <f>MID(PAA[[#This Row],[Meta Proyecto de Inversión]],6,1)</f>
        <v>1</v>
      </c>
      <c r="U101" s="163" t="str">
        <f>IFERROR(VLOOKUP(N101,TD!$B$50:$F$54,2,0)," ")</f>
        <v>O230117</v>
      </c>
      <c r="V101" s="163" t="str">
        <f>IFERROR(VLOOKUP(N101,TD!$B$50:$F$54,3,0)," ")</f>
        <v>4599</v>
      </c>
      <c r="W101" s="163">
        <f>IFERROR(VLOOKUP(N101,TD!$B$50:$F$54,4,0)," ")</f>
        <v>20240207</v>
      </c>
      <c r="X101" s="162" t="s">
        <v>182</v>
      </c>
      <c r="Y101" s="163" t="str">
        <f>IFERROR(VLOOKUP(X101,TD!$J$51:$K$64,2,0)," ")</f>
        <v>Servicios para la planeación y sistemas de gestión y comunicación estratégica</v>
      </c>
      <c r="Z101" s="164" t="str">
        <f>CONCATENATE(X101,"-",Y101)</f>
        <v>13-Servicios para la planeación y sistemas de gestión y comunicación estratégica</v>
      </c>
      <c r="AA101" s="162" t="s">
        <v>229</v>
      </c>
      <c r="AB101" s="163" t="str">
        <f>IFERROR(VLOOKUP(AA101,TD!$N$51:$O$66,2,0)," ")</f>
        <v>Servicio de asistencia técnica</v>
      </c>
      <c r="AC101" s="164" t="str">
        <f>CONCATENATE(AA101,"_",AB101)</f>
        <v>031_Servicio de asistencia técnica</v>
      </c>
      <c r="AD101" s="164" t="str">
        <f>CONCATENATE(Z101," ",AC101)</f>
        <v>13-Servicios para la planeación y sistemas de gestión y comunicación estratégica 031_Servicio de asistencia técnica</v>
      </c>
      <c r="AE101" s="163" t="str">
        <f>CONCATENATE(U101,V101,W101,X101,AA101)</f>
        <v>O23011745992024020713031</v>
      </c>
      <c r="AF101" s="163" t="str">
        <f>IFERROR(VLOOKUP(AD101,TD!$J$66:$K$89,2,0)," ")</f>
        <v>PM/0131/0113/45990310207</v>
      </c>
      <c r="AG101" s="118" t="s">
        <v>385</v>
      </c>
      <c r="AH101" s="162" t="s">
        <v>193</v>
      </c>
      <c r="AI101" s="165" t="str">
        <f>CONCATENATE(PAA[[#This Row],[Id Interno]],"-",PAA[[#This Row],[tipo de Contrato (TH talento humano - B/S bienes y/o servicios)]],"-",S101,"-",T101,"-",PAA[[#This Row],[Objeto de la contratación]])</f>
        <v>20260073-TH-8126-1-Prestar servicios profesionales para el desarrollo de actividades orientadas a la implementación de las políticas establecidas en el marco del Modelo Integrado de Planeación y Gestión - MIPG, liderado por la Oficina Asesora de Planeación.</v>
      </c>
    </row>
    <row r="102" spans="2:35" ht="56" x14ac:dyDescent="0.35">
      <c r="B102" s="23">
        <v>20260074</v>
      </c>
      <c r="C102" s="99" t="s">
        <v>858</v>
      </c>
      <c r="D102" s="23" t="s">
        <v>105</v>
      </c>
      <c r="E102" s="23" t="s">
        <v>363</v>
      </c>
      <c r="F102" s="159" t="s">
        <v>144</v>
      </c>
      <c r="G102" s="160" t="s">
        <v>373</v>
      </c>
      <c r="H102" s="161">
        <v>6</v>
      </c>
      <c r="I102" s="161">
        <v>0</v>
      </c>
      <c r="J102" s="127">
        <f>60000000</f>
        <v>60000000</v>
      </c>
      <c r="K102" s="88" t="s">
        <v>398</v>
      </c>
      <c r="L102" s="159" t="s">
        <v>36</v>
      </c>
      <c r="M102" s="162" t="s">
        <v>485</v>
      </c>
      <c r="N102" s="23" t="s">
        <v>197</v>
      </c>
      <c r="O102" s="151" t="s">
        <v>945</v>
      </c>
      <c r="P102" s="159" t="s">
        <v>348</v>
      </c>
      <c r="Q102" s="53">
        <v>80111600</v>
      </c>
      <c r="R102" s="162" t="s">
        <v>201</v>
      </c>
      <c r="S102" s="162" t="str">
        <f>MID(PAA[[#This Row],[Meta Proyecto de Inversión]],1,4)</f>
        <v>8126</v>
      </c>
      <c r="T102" s="162" t="str">
        <f>MID(PAA[[#This Row],[Meta Proyecto de Inversión]],6,1)</f>
        <v>2</v>
      </c>
      <c r="U102" s="163" t="str">
        <f>IFERROR(VLOOKUP(N102,TD!$B$50:$F$54,2,0)," ")</f>
        <v>O230117</v>
      </c>
      <c r="V102" s="163" t="str">
        <f>IFERROR(VLOOKUP(N102,TD!$B$50:$F$54,3,0)," ")</f>
        <v>4599</v>
      </c>
      <c r="W102" s="163">
        <f>IFERROR(VLOOKUP(N102,TD!$B$50:$F$54,4,0)," ")</f>
        <v>20240207</v>
      </c>
      <c r="X102" s="162" t="s">
        <v>182</v>
      </c>
      <c r="Y102" s="163" t="str">
        <f>IFERROR(VLOOKUP(X102,TD!$J$51:$K$64,2,0)," ")</f>
        <v>Servicios para la planeación y sistemas de gestión y comunicación estratégica</v>
      </c>
      <c r="Z102" s="164" t="str">
        <f>CONCATENATE(X102,"-",Y102)</f>
        <v>13-Servicios para la planeación y sistemas de gestión y comunicación estratégica</v>
      </c>
      <c r="AA102" s="162" t="s">
        <v>230</v>
      </c>
      <c r="AB102" s="163" t="str">
        <f>IFERROR(VLOOKUP(AA102,TD!$N$51:$O$66,2,0)," ")</f>
        <v>Servicio de Implementación Sistemas de Gestión</v>
      </c>
      <c r="AC102" s="164" t="str">
        <f>CONCATENATE(AA102,"_",AB102)</f>
        <v>023_Servicio de Implementación Sistemas de Gestión</v>
      </c>
      <c r="AD102" s="164" t="str">
        <f>CONCATENATE(Z102," ",AC102)</f>
        <v>13-Servicios para la planeación y sistemas de gestión y comunicación estratégica 023_Servicio de Implementación Sistemas de Gestión</v>
      </c>
      <c r="AE102" s="163" t="str">
        <f>CONCATENATE(U102,V102,W102,X102,AA102)</f>
        <v>O23011745992024020713023</v>
      </c>
      <c r="AF102" s="163" t="str">
        <f>IFERROR(VLOOKUP(AD102,TD!$J$66:$K$89,2,0)," ")</f>
        <v>PM/0131/0113/45990230207</v>
      </c>
      <c r="AG102" s="118" t="s">
        <v>385</v>
      </c>
      <c r="AH102" s="162" t="s">
        <v>193</v>
      </c>
      <c r="AI102" s="165" t="str">
        <f>CONCATENATE(PAA[[#This Row],[Id Interno]],"-",PAA[[#This Row],[tipo de Contrato (TH talento humano - B/S bienes y/o servicios)]],"-",S102,"-",T102,"-",PAA[[#This Row],[Objeto de la contratación]])</f>
        <v>20260074-TH-8126-2-Prestar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v>
      </c>
    </row>
    <row r="103" spans="2:35" ht="56" x14ac:dyDescent="0.35">
      <c r="B103" s="23">
        <v>20260075</v>
      </c>
      <c r="C103" s="99" t="s">
        <v>859</v>
      </c>
      <c r="D103" s="23" t="s">
        <v>105</v>
      </c>
      <c r="E103" s="23" t="s">
        <v>363</v>
      </c>
      <c r="F103" s="159" t="s">
        <v>144</v>
      </c>
      <c r="G103" s="160" t="s">
        <v>373</v>
      </c>
      <c r="H103" s="161">
        <v>6</v>
      </c>
      <c r="I103" s="161">
        <v>0</v>
      </c>
      <c r="J103" s="127">
        <v>40200000</v>
      </c>
      <c r="K103" s="88" t="s">
        <v>398</v>
      </c>
      <c r="L103" s="159" t="s">
        <v>36</v>
      </c>
      <c r="M103" s="162" t="s">
        <v>485</v>
      </c>
      <c r="N103" s="23" t="s">
        <v>197</v>
      </c>
      <c r="O103" s="151" t="s">
        <v>945</v>
      </c>
      <c r="P103" s="159" t="s">
        <v>348</v>
      </c>
      <c r="Q103" s="53">
        <v>80111600</v>
      </c>
      <c r="R103" s="162" t="s">
        <v>201</v>
      </c>
      <c r="S103" s="162" t="str">
        <f>MID(PAA[[#This Row],[Meta Proyecto de Inversión]],1,4)</f>
        <v>8126</v>
      </c>
      <c r="T103" s="162" t="str">
        <f>MID(PAA[[#This Row],[Meta Proyecto de Inversión]],6,1)</f>
        <v>2</v>
      </c>
      <c r="U103" s="163" t="str">
        <f>IFERROR(VLOOKUP(N103,TD!$B$50:$F$54,2,0)," ")</f>
        <v>O230117</v>
      </c>
      <c r="V103" s="163" t="str">
        <f>IFERROR(VLOOKUP(N103,TD!$B$50:$F$54,3,0)," ")</f>
        <v>4599</v>
      </c>
      <c r="W103" s="163">
        <f>IFERROR(VLOOKUP(N103,TD!$B$50:$F$54,4,0)," ")</f>
        <v>20240207</v>
      </c>
      <c r="X103" s="162" t="s">
        <v>182</v>
      </c>
      <c r="Y103" s="163" t="str">
        <f>IFERROR(VLOOKUP(X103,TD!$J$51:$K$64,2,0)," ")</f>
        <v>Servicios para la planeación y sistemas de gestión y comunicación estratégica</v>
      </c>
      <c r="Z103" s="164" t="str">
        <f>CONCATENATE(X103,"-",Y103)</f>
        <v>13-Servicios para la planeación y sistemas de gestión y comunicación estratégica</v>
      </c>
      <c r="AA103" s="162" t="s">
        <v>230</v>
      </c>
      <c r="AB103" s="163" t="str">
        <f>IFERROR(VLOOKUP(AA103,TD!$N$51:$O$66,2,0)," ")</f>
        <v>Servicio de Implementación Sistemas de Gestión</v>
      </c>
      <c r="AC103" s="164" t="str">
        <f>CONCATENATE(AA103,"_",AB103)</f>
        <v>023_Servicio de Implementación Sistemas de Gestión</v>
      </c>
      <c r="AD103" s="164" t="str">
        <f>CONCATENATE(Z103," ",AC103)</f>
        <v>13-Servicios para la planeación y sistemas de gestión y comunicación estratégica 023_Servicio de Implementación Sistemas de Gestión</v>
      </c>
      <c r="AE103" s="163" t="str">
        <f>CONCATENATE(U103,V103,W103,X103,AA103)</f>
        <v>O23011745992024020713023</v>
      </c>
      <c r="AF103" s="163" t="str">
        <f>IFERROR(VLOOKUP(AD103,TD!$J$66:$K$89,2,0)," ")</f>
        <v>PM/0131/0113/45990230207</v>
      </c>
      <c r="AG103" s="118" t="s">
        <v>385</v>
      </c>
      <c r="AH103" s="162" t="s">
        <v>193</v>
      </c>
      <c r="AI103" s="165" t="str">
        <f>CONCATENATE(PAA[[#This Row],[Id Interno]],"-",PAA[[#This Row],[tipo de Contrato (TH talento humano - B/S bienes y/o servicios)]],"-",S103,"-",T103,"-",PAA[[#This Row],[Objeto de la contratación]])</f>
        <v>20260075-TH-8126-2-Prestar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v>
      </c>
    </row>
    <row r="104" spans="2:35" ht="56" x14ac:dyDescent="0.35">
      <c r="B104" s="23">
        <v>20260076</v>
      </c>
      <c r="C104" s="99" t="s">
        <v>860</v>
      </c>
      <c r="D104" s="23" t="s">
        <v>105</v>
      </c>
      <c r="E104" s="23" t="s">
        <v>363</v>
      </c>
      <c r="F104" s="159" t="s">
        <v>144</v>
      </c>
      <c r="G104" s="160" t="s">
        <v>373</v>
      </c>
      <c r="H104" s="161">
        <v>6</v>
      </c>
      <c r="I104" s="161">
        <v>0</v>
      </c>
      <c r="J104" s="127">
        <v>39000000</v>
      </c>
      <c r="K104" s="88" t="s">
        <v>398</v>
      </c>
      <c r="L104" s="159" t="s">
        <v>36</v>
      </c>
      <c r="M104" s="162" t="s">
        <v>485</v>
      </c>
      <c r="N104" s="23" t="s">
        <v>197</v>
      </c>
      <c r="O104" s="151" t="s">
        <v>945</v>
      </c>
      <c r="P104" s="159" t="s">
        <v>348</v>
      </c>
      <c r="Q104" s="53">
        <v>80111600</v>
      </c>
      <c r="R104" s="162" t="s">
        <v>200</v>
      </c>
      <c r="S104" s="162" t="str">
        <f>MID(PAA[[#This Row],[Meta Proyecto de Inversión]],1,4)</f>
        <v>8126</v>
      </c>
      <c r="T104" s="162" t="str">
        <f>MID(PAA[[#This Row],[Meta Proyecto de Inversión]],6,1)</f>
        <v>1</v>
      </c>
      <c r="U104" s="163" t="str">
        <f>IFERROR(VLOOKUP(N104,TD!$B$50:$F$54,2,0)," ")</f>
        <v>O230117</v>
      </c>
      <c r="V104" s="163" t="str">
        <f>IFERROR(VLOOKUP(N104,TD!$B$50:$F$54,3,0)," ")</f>
        <v>4599</v>
      </c>
      <c r="W104" s="163">
        <f>IFERROR(VLOOKUP(N104,TD!$B$50:$F$54,4,0)," ")</f>
        <v>20240207</v>
      </c>
      <c r="X104" s="162" t="s">
        <v>182</v>
      </c>
      <c r="Y104" s="163" t="str">
        <f>IFERROR(VLOOKUP(X104,TD!$J$51:$K$64,2,0)," ")</f>
        <v>Servicios para la planeación y sistemas de gestión y comunicación estratégica</v>
      </c>
      <c r="Z104" s="164" t="str">
        <f>CONCATENATE(X104,"-",Y104)</f>
        <v>13-Servicios para la planeación y sistemas de gestión y comunicación estratégica</v>
      </c>
      <c r="AA104" s="162" t="s">
        <v>229</v>
      </c>
      <c r="AB104" s="163" t="str">
        <f>IFERROR(VLOOKUP(AA104,TD!$N$51:$O$66,2,0)," ")</f>
        <v>Servicio de asistencia técnica</v>
      </c>
      <c r="AC104" s="164" t="str">
        <f>CONCATENATE(AA104,"_",AB104)</f>
        <v>031_Servicio de asistencia técnica</v>
      </c>
      <c r="AD104" s="164" t="str">
        <f>CONCATENATE(Z104," ",AC104)</f>
        <v>13-Servicios para la planeación y sistemas de gestión y comunicación estratégica 031_Servicio de asistencia técnica</v>
      </c>
      <c r="AE104" s="163" t="str">
        <f>CONCATENATE(U104,V104,W104,X104,AA104)</f>
        <v>O23011745992024020713031</v>
      </c>
      <c r="AF104" s="163" t="str">
        <f>IFERROR(VLOOKUP(AD104,TD!$J$66:$K$89,2,0)," ")</f>
        <v>PM/0131/0113/45990310207</v>
      </c>
      <c r="AG104" s="118" t="s">
        <v>385</v>
      </c>
      <c r="AH104" s="162" t="s">
        <v>193</v>
      </c>
      <c r="AI104" s="165" t="str">
        <f>CONCATENATE(PAA[[#This Row],[Id Interno]],"-",PAA[[#This Row],[tipo de Contrato (TH talento humano - B/S bienes y/o servicios)]],"-",S104,"-",T104,"-",PAA[[#This Row],[Objeto de la contratación]])</f>
        <v>20260076-TH-8126-1-Prestar servicios profesionales para brindar apoyo jurídico en la gestión contractual y administrativa de la Oficina Asesora de Planeación, de acuerdo con los lineamientos internos y en el marco del Modelo Integrado de Planeación y Gestión - MIPG.</v>
      </c>
    </row>
    <row r="105" spans="2:35" ht="112" x14ac:dyDescent="0.35">
      <c r="B105" s="23">
        <v>20260077</v>
      </c>
      <c r="C105" s="99" t="s">
        <v>861</v>
      </c>
      <c r="D105" s="23" t="s">
        <v>105</v>
      </c>
      <c r="E105" s="23" t="s">
        <v>363</v>
      </c>
      <c r="F105" s="159" t="s">
        <v>145</v>
      </c>
      <c r="G105" s="160" t="s">
        <v>373</v>
      </c>
      <c r="H105" s="161">
        <v>8</v>
      </c>
      <c r="I105" s="161">
        <v>0</v>
      </c>
      <c r="J105" s="127">
        <v>35926528</v>
      </c>
      <c r="K105" s="88" t="s">
        <v>398</v>
      </c>
      <c r="L105" s="159" t="s">
        <v>36</v>
      </c>
      <c r="M105" s="162" t="s">
        <v>485</v>
      </c>
      <c r="N105" s="23" t="s">
        <v>197</v>
      </c>
      <c r="O105" s="151" t="s">
        <v>945</v>
      </c>
      <c r="P105" s="159" t="s">
        <v>348</v>
      </c>
      <c r="Q105" s="53">
        <v>80111600</v>
      </c>
      <c r="R105" s="162" t="s">
        <v>200</v>
      </c>
      <c r="S105" s="162" t="str">
        <f>MID(PAA[[#This Row],[Meta Proyecto de Inversión]],1,4)</f>
        <v>8126</v>
      </c>
      <c r="T105" s="162" t="str">
        <f>MID(PAA[[#This Row],[Meta Proyecto de Inversión]],6,1)</f>
        <v>1</v>
      </c>
      <c r="U105" s="163" t="str">
        <f>IFERROR(VLOOKUP(N105,TD!$B$50:$F$54,2,0)," ")</f>
        <v>O230117</v>
      </c>
      <c r="V105" s="163" t="str">
        <f>IFERROR(VLOOKUP(N105,TD!$B$50:$F$54,3,0)," ")</f>
        <v>4599</v>
      </c>
      <c r="W105" s="163">
        <f>IFERROR(VLOOKUP(N105,TD!$B$50:$F$54,4,0)," ")</f>
        <v>20240207</v>
      </c>
      <c r="X105" s="162" t="s">
        <v>182</v>
      </c>
      <c r="Y105" s="163" t="str">
        <f>IFERROR(VLOOKUP(X105,TD!$J$51:$K$64,2,0)," ")</f>
        <v>Servicios para la planeación y sistemas de gestión y comunicación estratégica</v>
      </c>
      <c r="Z105" s="164" t="str">
        <f>CONCATENATE(X105,"-",Y105)</f>
        <v>13-Servicios para la planeación y sistemas de gestión y comunicación estratégica</v>
      </c>
      <c r="AA105" s="162" t="s">
        <v>230</v>
      </c>
      <c r="AB105" s="163" t="str">
        <f>IFERROR(VLOOKUP(AA105,TD!$N$51:$O$66,2,0)," ")</f>
        <v>Servicio de Implementación Sistemas de Gestión</v>
      </c>
      <c r="AC105" s="164" t="str">
        <f>CONCATENATE(AA105,"_",AB105)</f>
        <v>023_Servicio de Implementación Sistemas de Gestión</v>
      </c>
      <c r="AD105" s="164" t="str">
        <f>CONCATENATE(Z105," ",AC105)</f>
        <v>13-Servicios para la planeación y sistemas de gestión y comunicación estratégica 023_Servicio de Implementación Sistemas de Gestión</v>
      </c>
      <c r="AE105" s="163" t="str">
        <f>CONCATENATE(U105,V105,W105,X105,AA105)</f>
        <v>O23011745992024020713023</v>
      </c>
      <c r="AF105" s="163" t="str">
        <f>IFERROR(VLOOKUP(AD105,TD!$J$66:$K$89,2,0)," ")</f>
        <v>PM/0131/0113/45990230207</v>
      </c>
      <c r="AG105" s="118" t="s">
        <v>385</v>
      </c>
      <c r="AH105" s="162" t="s">
        <v>193</v>
      </c>
      <c r="AI105" s="165" t="str">
        <f>CONCATENATE(PAA[[#This Row],[Id Interno]],"-",PAA[[#This Row],[tipo de Contrato (TH talento humano - B/S bienes y/o servicios)]],"-",S105,"-",T105,"-",PAA[[#This Row],[Objeto de la contratación]])</f>
        <v>20260077-TH-8126-1-Prestar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v>
      </c>
    </row>
    <row r="106" spans="2:35" ht="56" x14ac:dyDescent="0.35">
      <c r="B106" s="23">
        <v>20260078</v>
      </c>
      <c r="C106" s="99" t="s">
        <v>898</v>
      </c>
      <c r="D106" s="23" t="s">
        <v>105</v>
      </c>
      <c r="E106" s="23" t="s">
        <v>363</v>
      </c>
      <c r="F106" s="159" t="s">
        <v>144</v>
      </c>
      <c r="G106" s="160" t="s">
        <v>373</v>
      </c>
      <c r="H106" s="161">
        <v>8</v>
      </c>
      <c r="I106" s="161">
        <v>0</v>
      </c>
      <c r="J106" s="127">
        <f>56000000</f>
        <v>56000000</v>
      </c>
      <c r="K106" s="88" t="s">
        <v>398</v>
      </c>
      <c r="L106" s="159" t="s">
        <v>36</v>
      </c>
      <c r="M106" s="162" t="s">
        <v>485</v>
      </c>
      <c r="N106" s="23" t="s">
        <v>197</v>
      </c>
      <c r="O106" s="151" t="s">
        <v>945</v>
      </c>
      <c r="P106" s="159" t="s">
        <v>348</v>
      </c>
      <c r="Q106" s="53">
        <v>80111600</v>
      </c>
      <c r="R106" s="162" t="s">
        <v>200</v>
      </c>
      <c r="S106" s="162" t="str">
        <f>MID(PAA[[#This Row],[Meta Proyecto de Inversión]],1,4)</f>
        <v>8126</v>
      </c>
      <c r="T106" s="162" t="str">
        <f>MID(PAA[[#This Row],[Meta Proyecto de Inversión]],6,1)</f>
        <v>1</v>
      </c>
      <c r="U106" s="163" t="str">
        <f>IFERROR(VLOOKUP(N106,TD!$B$50:$F$54,2,0)," ")</f>
        <v>O230117</v>
      </c>
      <c r="V106" s="163" t="str">
        <f>IFERROR(VLOOKUP(N106,TD!$B$50:$F$54,3,0)," ")</f>
        <v>4599</v>
      </c>
      <c r="W106" s="163">
        <f>IFERROR(VLOOKUP(N106,TD!$B$50:$F$54,4,0)," ")</f>
        <v>20240207</v>
      </c>
      <c r="X106" s="162" t="s">
        <v>182</v>
      </c>
      <c r="Y106" s="163" t="str">
        <f>IFERROR(VLOOKUP(X106,TD!$J$51:$K$64,2,0)," ")</f>
        <v>Servicios para la planeación y sistemas de gestión y comunicación estratégica</v>
      </c>
      <c r="Z106" s="164" t="str">
        <f>CONCATENATE(X106,"-",Y106)</f>
        <v>13-Servicios para la planeación y sistemas de gestión y comunicación estratégica</v>
      </c>
      <c r="AA106" s="162" t="s">
        <v>229</v>
      </c>
      <c r="AB106" s="163" t="str">
        <f>IFERROR(VLOOKUP(AA106,TD!$N$51:$O$66,2,0)," ")</f>
        <v>Servicio de asistencia técnica</v>
      </c>
      <c r="AC106" s="164" t="str">
        <f>CONCATENATE(AA106,"_",AB106)</f>
        <v>031_Servicio de asistencia técnica</v>
      </c>
      <c r="AD106" s="164" t="str">
        <f>CONCATENATE(Z106," ",AC106)</f>
        <v>13-Servicios para la planeación y sistemas de gestión y comunicación estratégica 031_Servicio de asistencia técnica</v>
      </c>
      <c r="AE106" s="163" t="str">
        <f>CONCATENATE(U106,V106,W106,X106,AA106)</f>
        <v>O23011745992024020713031</v>
      </c>
      <c r="AF106" s="163" t="str">
        <f>IFERROR(VLOOKUP(AD106,TD!$J$66:$K$89,2,0)," ")</f>
        <v>PM/0131/0113/45990310207</v>
      </c>
      <c r="AG106" s="118" t="s">
        <v>385</v>
      </c>
      <c r="AH106" s="162" t="s">
        <v>193</v>
      </c>
      <c r="AI106" s="165" t="str">
        <f>CONCATENATE(PAA[[#This Row],[Id Interno]],"-",PAA[[#This Row],[tipo de Contrato (TH talento humano - B/S bienes y/o servicios)]],"-",S106,"-",T106,"-",PAA[[#This Row],[Objeto de la contratación]])</f>
        <v>20260078-TH-8126-1-Prestar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v>
      </c>
    </row>
    <row r="107" spans="2:35" ht="56" x14ac:dyDescent="0.35">
      <c r="B107" s="23">
        <v>20260079</v>
      </c>
      <c r="C107" s="99" t="s">
        <v>906</v>
      </c>
      <c r="D107" s="23" t="s">
        <v>105</v>
      </c>
      <c r="E107" s="23" t="s">
        <v>363</v>
      </c>
      <c r="F107" s="159" t="s">
        <v>145</v>
      </c>
      <c r="G107" s="160" t="s">
        <v>373</v>
      </c>
      <c r="H107" s="161">
        <v>7</v>
      </c>
      <c r="I107" s="161">
        <v>0</v>
      </c>
      <c r="J107" s="127">
        <v>49000000</v>
      </c>
      <c r="K107" s="88" t="s">
        <v>398</v>
      </c>
      <c r="L107" s="159" t="s">
        <v>36</v>
      </c>
      <c r="M107" s="162" t="s">
        <v>485</v>
      </c>
      <c r="N107" s="23" t="s">
        <v>197</v>
      </c>
      <c r="O107" s="151" t="s">
        <v>945</v>
      </c>
      <c r="P107" s="159" t="s">
        <v>348</v>
      </c>
      <c r="Q107" s="53">
        <v>80111600</v>
      </c>
      <c r="R107" s="162" t="s">
        <v>200</v>
      </c>
      <c r="S107" s="162" t="str">
        <f>MID(PAA[[#This Row],[Meta Proyecto de Inversión]],1,4)</f>
        <v>8126</v>
      </c>
      <c r="T107" s="162" t="str">
        <f>MID(PAA[[#This Row],[Meta Proyecto de Inversión]],6,1)</f>
        <v>1</v>
      </c>
      <c r="U107" s="163" t="str">
        <f>IFERROR(VLOOKUP(N107,TD!$B$50:$F$54,2,0)," ")</f>
        <v>O230117</v>
      </c>
      <c r="V107" s="163" t="str">
        <f>IFERROR(VLOOKUP(N107,TD!$B$50:$F$54,3,0)," ")</f>
        <v>4599</v>
      </c>
      <c r="W107" s="163">
        <f>IFERROR(VLOOKUP(N107,TD!$B$50:$F$54,4,0)," ")</f>
        <v>20240207</v>
      </c>
      <c r="X107" s="162" t="s">
        <v>182</v>
      </c>
      <c r="Y107" s="163" t="str">
        <f>IFERROR(VLOOKUP(X107,TD!$J$51:$K$64,2,0)," ")</f>
        <v>Servicios para la planeación y sistemas de gestión y comunicación estratégica</v>
      </c>
      <c r="Z107" s="164" t="str">
        <f>CONCATENATE(X107,"-",Y107)</f>
        <v>13-Servicios para la planeación y sistemas de gestión y comunicación estratégica</v>
      </c>
      <c r="AA107" s="162" t="s">
        <v>229</v>
      </c>
      <c r="AB107" s="163" t="str">
        <f>IFERROR(VLOOKUP(AA107,TD!$N$51:$O$66,2,0)," ")</f>
        <v>Servicio de asistencia técnica</v>
      </c>
      <c r="AC107" s="164" t="str">
        <f>CONCATENATE(AA107,"_",AB107)</f>
        <v>031_Servicio de asistencia técnica</v>
      </c>
      <c r="AD107" s="164" t="str">
        <f>CONCATENATE(Z107," ",AC107)</f>
        <v>13-Servicios para la planeación y sistemas de gestión y comunicación estratégica 031_Servicio de asistencia técnica</v>
      </c>
      <c r="AE107" s="163" t="str">
        <f>CONCATENATE(U107,V107,W107,X107,AA107)</f>
        <v>O23011745992024020713031</v>
      </c>
      <c r="AF107" s="163" t="str">
        <f>IFERROR(VLOOKUP(AD107,TD!$J$66:$K$89,2,0)," ")</f>
        <v>PM/0131/0113/45990310207</v>
      </c>
      <c r="AG107" s="118" t="s">
        <v>385</v>
      </c>
      <c r="AH107" s="162" t="s">
        <v>194</v>
      </c>
      <c r="AI107" s="165" t="str">
        <f>CONCATENATE(PAA[[#This Row],[Id Interno]],"-",PAA[[#This Row],[tipo de Contrato (TH talento humano - B/S bienes y/o servicios)]],"-",S107,"-",T107,"-",PAA[[#This Row],[Objeto de la contratación]])</f>
        <v>20260079-TH-8126-1-Prestar servicios profesionales para apoyar al Jefe de la Oficina de Planeación en asuntos estratégicos de la gestión administrativa</v>
      </c>
    </row>
    <row r="108" spans="2:35" ht="84" x14ac:dyDescent="0.35">
      <c r="B108" s="23">
        <v>20260080</v>
      </c>
      <c r="C108" s="99" t="s">
        <v>904</v>
      </c>
      <c r="D108" s="23" t="s">
        <v>105</v>
      </c>
      <c r="E108" s="23" t="s">
        <v>363</v>
      </c>
      <c r="F108" s="159" t="s">
        <v>144</v>
      </c>
      <c r="G108" s="160" t="s">
        <v>373</v>
      </c>
      <c r="H108" s="161">
        <v>7</v>
      </c>
      <c r="I108" s="161">
        <v>0</v>
      </c>
      <c r="J108" s="127">
        <v>49000000</v>
      </c>
      <c r="K108" s="88" t="s">
        <v>398</v>
      </c>
      <c r="L108" s="159" t="s">
        <v>36</v>
      </c>
      <c r="M108" s="162" t="s">
        <v>485</v>
      </c>
      <c r="N108" s="23" t="s">
        <v>197</v>
      </c>
      <c r="O108" s="151" t="s">
        <v>945</v>
      </c>
      <c r="P108" s="159" t="s">
        <v>348</v>
      </c>
      <c r="Q108" s="53">
        <v>80111600</v>
      </c>
      <c r="R108" s="162" t="s">
        <v>200</v>
      </c>
      <c r="S108" s="162" t="str">
        <f>MID(PAA[[#This Row],[Meta Proyecto de Inversión]],1,4)</f>
        <v>8126</v>
      </c>
      <c r="T108" s="162" t="str">
        <f>MID(PAA[[#This Row],[Meta Proyecto de Inversión]],6,1)</f>
        <v>1</v>
      </c>
      <c r="U108" s="163" t="str">
        <f>IFERROR(VLOOKUP(N108,TD!$B$50:$F$54,2,0)," ")</f>
        <v>O230117</v>
      </c>
      <c r="V108" s="163" t="str">
        <f>IFERROR(VLOOKUP(N108,TD!$B$50:$F$54,3,0)," ")</f>
        <v>4599</v>
      </c>
      <c r="W108" s="163">
        <f>IFERROR(VLOOKUP(N108,TD!$B$50:$F$54,4,0)," ")</f>
        <v>20240207</v>
      </c>
      <c r="X108" s="162" t="s">
        <v>182</v>
      </c>
      <c r="Y108" s="163" t="str">
        <f>IFERROR(VLOOKUP(X108,TD!$J$51:$K$64,2,0)," ")</f>
        <v>Servicios para la planeación y sistemas de gestión y comunicación estratégica</v>
      </c>
      <c r="Z108" s="164" t="str">
        <f>CONCATENATE(X108,"-",Y108)</f>
        <v>13-Servicios para la planeación y sistemas de gestión y comunicación estratégica</v>
      </c>
      <c r="AA108" s="162" t="s">
        <v>229</v>
      </c>
      <c r="AB108" s="163" t="str">
        <f>IFERROR(VLOOKUP(AA108,TD!$N$51:$O$66,2,0)," ")</f>
        <v>Servicio de asistencia técnica</v>
      </c>
      <c r="AC108" s="164" t="str">
        <f>CONCATENATE(AA108,"_",AB108)</f>
        <v>031_Servicio de asistencia técnica</v>
      </c>
      <c r="AD108" s="164" t="str">
        <f>CONCATENATE(Z108," ",AC108)</f>
        <v>13-Servicios para la planeación y sistemas de gestión y comunicación estratégica 031_Servicio de asistencia técnica</v>
      </c>
      <c r="AE108" s="163" t="str">
        <f>CONCATENATE(U108,V108,W108,X108,AA108)</f>
        <v>O23011745992024020713031</v>
      </c>
      <c r="AF108" s="163" t="str">
        <f>IFERROR(VLOOKUP(AD108,TD!$J$66:$K$89,2,0)," ")</f>
        <v>PM/0131/0113/45990310207</v>
      </c>
      <c r="AG108" s="118" t="s">
        <v>385</v>
      </c>
      <c r="AH108" s="162" t="s">
        <v>193</v>
      </c>
      <c r="AI108" s="165" t="str">
        <f>CONCATENATE(PAA[[#This Row],[Id Interno]],"-",PAA[[#This Row],[tipo de Contrato (TH talento humano - B/S bienes y/o servicios)]],"-",S108,"-",T108,"-",PAA[[#This Row],[Objeto de la contratación]])</f>
        <v>20260080-TH-8126-1-Prestar servicios profesionales a la Oficina Asesora de Planeación en los asuntos concernientes que se le asignen para la implementación del Modelo Integrado de Planeación y Gestión MIPG.</v>
      </c>
    </row>
    <row r="109" spans="2:35" ht="70" x14ac:dyDescent="0.35">
      <c r="B109" s="23">
        <v>20260081</v>
      </c>
      <c r="C109" s="99" t="s">
        <v>610</v>
      </c>
      <c r="D109" s="23" t="s">
        <v>105</v>
      </c>
      <c r="E109" s="23" t="s">
        <v>363</v>
      </c>
      <c r="F109" s="159" t="s">
        <v>144</v>
      </c>
      <c r="G109" s="160" t="s">
        <v>374</v>
      </c>
      <c r="H109" s="161">
        <v>10</v>
      </c>
      <c r="I109" s="161">
        <v>0</v>
      </c>
      <c r="J109" s="127">
        <v>78000000</v>
      </c>
      <c r="K109" s="88" t="s">
        <v>398</v>
      </c>
      <c r="L109" s="159" t="s">
        <v>46</v>
      </c>
      <c r="M109" s="162" t="s">
        <v>421</v>
      </c>
      <c r="N109" s="23" t="s">
        <v>197</v>
      </c>
      <c r="O109" s="151" t="s">
        <v>945</v>
      </c>
      <c r="P109" s="159" t="s">
        <v>348</v>
      </c>
      <c r="Q109" s="53">
        <v>80111600</v>
      </c>
      <c r="R109" s="162" t="s">
        <v>208</v>
      </c>
      <c r="S109" s="162" t="str">
        <f>MID(PAA[[#This Row],[Meta Proyecto de Inversión]],1,4)</f>
        <v>8126</v>
      </c>
      <c r="T109" s="162" t="str">
        <f>MID(PAA[[#This Row],[Meta Proyecto de Inversión]],6,1)</f>
        <v>9</v>
      </c>
      <c r="U109" s="163" t="str">
        <f>IFERROR(VLOOKUP(N109,TD!$B$50:$F$54,2,0)," ")</f>
        <v>O230117</v>
      </c>
      <c r="V109" s="163" t="str">
        <f>IFERROR(VLOOKUP(N109,TD!$B$50:$F$54,3,0)," ")</f>
        <v>4599</v>
      </c>
      <c r="W109" s="163">
        <f>IFERROR(VLOOKUP(N109,TD!$B$50:$F$54,4,0)," ")</f>
        <v>20240207</v>
      </c>
      <c r="X109" s="162" t="s">
        <v>174</v>
      </c>
      <c r="Y109" s="163" t="str">
        <f>IFERROR(VLOOKUP(X109,TD!$J$51:$K$64,2,0)," ")</f>
        <v>Infraestructura física, mantenimiento y dotación (Sedes construidas, mantenidas reforzadas)</v>
      </c>
      <c r="Z109" s="164" t="str">
        <f>CONCATENATE(X109,"-",Y109)</f>
        <v>08-Infraestructura física, mantenimiento y dotación (Sedes construidas, mantenidas reforzadas)</v>
      </c>
      <c r="AA109" s="162" t="s">
        <v>227</v>
      </c>
      <c r="AB109" s="163" t="str">
        <f>IFERROR(VLOOKUP(AA109,TD!$N$51:$O$66,2,0)," ")</f>
        <v>Sedes mantenidas</v>
      </c>
      <c r="AC109" s="164" t="str">
        <f>CONCATENATE(AA109,"_",AB109)</f>
        <v>016_Sedes mantenidas</v>
      </c>
      <c r="AD109" s="164" t="str">
        <f>CONCATENATE(Z109," ",AC109)</f>
        <v>08-Infraestructura física, mantenimiento y dotación (Sedes construidas, mantenidas reforzadas) 016_Sedes mantenidas</v>
      </c>
      <c r="AE109" s="163" t="str">
        <f>CONCATENATE(U109,V109,W109,X109,AA109)</f>
        <v>O23011745992024020708016</v>
      </c>
      <c r="AF109" s="163" t="str">
        <f>IFERROR(VLOOKUP(AD109,TD!$J$66:$K$89,2,0)," ")</f>
        <v>PM/0131/0108/45990160207</v>
      </c>
      <c r="AG109" s="118" t="s">
        <v>385</v>
      </c>
      <c r="AH109" s="162" t="s">
        <v>193</v>
      </c>
      <c r="AI109" s="165" t="str">
        <f>CONCATENATE(PAA[[#This Row],[Id Interno]],"-",PAA[[#This Row],[tipo de Contrato (TH talento humano - B/S bienes y/o servicios)]],"-",S109,"-",T109,"-",PAA[[#This Row],[Objeto de la contratación]])</f>
        <v>20260081-TH-8126-9-Prestar servicios profesionales jurídicos especializados en la Oficina de Control Disciplinario Interno para orientar, revisar y apoyar los documentos que se elaboren en el desarrollo del proceso disciplinario en etapa de instrucción.</v>
      </c>
    </row>
    <row r="110" spans="2:35" ht="70" x14ac:dyDescent="0.35">
      <c r="B110" s="23">
        <v>20260082</v>
      </c>
      <c r="C110" s="99" t="s">
        <v>897</v>
      </c>
      <c r="D110" s="23" t="s">
        <v>105</v>
      </c>
      <c r="E110" s="23" t="s">
        <v>363</v>
      </c>
      <c r="F110" s="159" t="s">
        <v>144</v>
      </c>
      <c r="G110" s="160" t="s">
        <v>374</v>
      </c>
      <c r="H110" s="161">
        <v>10</v>
      </c>
      <c r="I110" s="161">
        <v>0</v>
      </c>
      <c r="J110" s="127">
        <v>85000000</v>
      </c>
      <c r="K110" s="88" t="s">
        <v>398</v>
      </c>
      <c r="L110" s="159" t="s">
        <v>46</v>
      </c>
      <c r="M110" s="162" t="s">
        <v>421</v>
      </c>
      <c r="N110" s="23" t="s">
        <v>197</v>
      </c>
      <c r="O110" s="151" t="s">
        <v>945</v>
      </c>
      <c r="P110" s="159" t="s">
        <v>348</v>
      </c>
      <c r="Q110" s="53">
        <v>80111600</v>
      </c>
      <c r="R110" s="162" t="s">
        <v>208</v>
      </c>
      <c r="S110" s="162" t="str">
        <f>MID(PAA[[#This Row],[Meta Proyecto de Inversión]],1,4)</f>
        <v>8126</v>
      </c>
      <c r="T110" s="162" t="str">
        <f>MID(PAA[[#This Row],[Meta Proyecto de Inversión]],6,1)</f>
        <v>9</v>
      </c>
      <c r="U110" s="163" t="str">
        <f>IFERROR(VLOOKUP(N110,TD!$B$50:$F$54,2,0)," ")</f>
        <v>O230117</v>
      </c>
      <c r="V110" s="163" t="str">
        <f>IFERROR(VLOOKUP(N110,TD!$B$50:$F$54,3,0)," ")</f>
        <v>4599</v>
      </c>
      <c r="W110" s="163">
        <f>IFERROR(VLOOKUP(N110,TD!$B$50:$F$54,4,0)," ")</f>
        <v>20240207</v>
      </c>
      <c r="X110" s="162" t="s">
        <v>174</v>
      </c>
      <c r="Y110" s="163" t="str">
        <f>IFERROR(VLOOKUP(X110,TD!$J$51:$K$64,2,0)," ")</f>
        <v>Infraestructura física, mantenimiento y dotación (Sedes construidas, mantenidas reforzadas)</v>
      </c>
      <c r="Z110" s="164" t="str">
        <f>CONCATENATE(X110,"-",Y110)</f>
        <v>08-Infraestructura física, mantenimiento y dotación (Sedes construidas, mantenidas reforzadas)</v>
      </c>
      <c r="AA110" s="162" t="s">
        <v>227</v>
      </c>
      <c r="AB110" s="163" t="str">
        <f>IFERROR(VLOOKUP(AA110,TD!$N$51:$O$66,2,0)," ")</f>
        <v>Sedes mantenidas</v>
      </c>
      <c r="AC110" s="164" t="str">
        <f>CONCATENATE(AA110,"_",AB110)</f>
        <v>016_Sedes mantenidas</v>
      </c>
      <c r="AD110" s="164" t="str">
        <f>CONCATENATE(Z110," ",AC110)</f>
        <v>08-Infraestructura física, mantenimiento y dotación (Sedes construidas, mantenidas reforzadas) 016_Sedes mantenidas</v>
      </c>
      <c r="AE110" s="163" t="str">
        <f>CONCATENATE(U110,V110,W110,X110,AA110)</f>
        <v>O23011745992024020708016</v>
      </c>
      <c r="AF110" s="163" t="str">
        <f>IFERROR(VLOOKUP(AD110,TD!$J$66:$K$89,2,0)," ")</f>
        <v>PM/0131/0108/45990160207</v>
      </c>
      <c r="AG110" s="118" t="s">
        <v>385</v>
      </c>
      <c r="AH110" s="162" t="s">
        <v>193</v>
      </c>
      <c r="AI110" s="165" t="str">
        <f>CONCATENATE(PAA[[#This Row],[Id Interno]],"-",PAA[[#This Row],[tipo de Contrato (TH talento humano - B/S bienes y/o servicios)]],"-",S110,"-",T110,"-",PAA[[#This Row],[Objeto de la contratación]])</f>
        <v>20260082-TH-8126-9-Prestar los servicios profesionales jurídicos especializados en la Oficina de Control Disciplinario Interno de la entidad estableciendo pautas de liderazgo en las actuaciones procesales que se deban tramitar en esa dependencia en etapa de instrucción</v>
      </c>
    </row>
    <row r="111" spans="2:35" ht="70" x14ac:dyDescent="0.35">
      <c r="B111" s="23">
        <v>20260083</v>
      </c>
      <c r="C111" s="99" t="s">
        <v>611</v>
      </c>
      <c r="D111" s="23" t="s">
        <v>105</v>
      </c>
      <c r="E111" s="23" t="s">
        <v>363</v>
      </c>
      <c r="F111" s="159" t="s">
        <v>144</v>
      </c>
      <c r="G111" s="160" t="s">
        <v>374</v>
      </c>
      <c r="H111" s="161">
        <v>10</v>
      </c>
      <c r="I111" s="161">
        <v>0</v>
      </c>
      <c r="J111" s="127">
        <v>80000000</v>
      </c>
      <c r="K111" s="88" t="s">
        <v>398</v>
      </c>
      <c r="L111" s="159" t="s">
        <v>46</v>
      </c>
      <c r="M111" s="162" t="s">
        <v>421</v>
      </c>
      <c r="N111" s="23" t="s">
        <v>197</v>
      </c>
      <c r="O111" s="151" t="s">
        <v>945</v>
      </c>
      <c r="P111" s="159" t="s">
        <v>348</v>
      </c>
      <c r="Q111" s="53">
        <v>80111600</v>
      </c>
      <c r="R111" s="162" t="s">
        <v>208</v>
      </c>
      <c r="S111" s="162" t="str">
        <f>MID(PAA[[#This Row],[Meta Proyecto de Inversión]],1,4)</f>
        <v>8126</v>
      </c>
      <c r="T111" s="162" t="str">
        <f>MID(PAA[[#This Row],[Meta Proyecto de Inversión]],6,1)</f>
        <v>9</v>
      </c>
      <c r="U111" s="163" t="str">
        <f>IFERROR(VLOOKUP(N111,TD!$B$50:$F$54,2,0)," ")</f>
        <v>O230117</v>
      </c>
      <c r="V111" s="163" t="str">
        <f>IFERROR(VLOOKUP(N111,TD!$B$50:$F$54,3,0)," ")</f>
        <v>4599</v>
      </c>
      <c r="W111" s="163">
        <f>IFERROR(VLOOKUP(N111,TD!$B$50:$F$54,4,0)," ")</f>
        <v>20240207</v>
      </c>
      <c r="X111" s="162" t="s">
        <v>174</v>
      </c>
      <c r="Y111" s="163" t="str">
        <f>IFERROR(VLOOKUP(X111,TD!$J$51:$K$64,2,0)," ")</f>
        <v>Infraestructura física, mantenimiento y dotación (Sedes construidas, mantenidas reforzadas)</v>
      </c>
      <c r="Z111" s="164" t="str">
        <f>CONCATENATE(X111,"-",Y111)</f>
        <v>08-Infraestructura física, mantenimiento y dotación (Sedes construidas, mantenidas reforzadas)</v>
      </c>
      <c r="AA111" s="162" t="s">
        <v>227</v>
      </c>
      <c r="AB111" s="163" t="str">
        <f>IFERROR(VLOOKUP(AA111,TD!$N$51:$O$66,2,0)," ")</f>
        <v>Sedes mantenidas</v>
      </c>
      <c r="AC111" s="164" t="str">
        <f>CONCATENATE(AA111,"_",AB111)</f>
        <v>016_Sedes mantenidas</v>
      </c>
      <c r="AD111" s="164" t="str">
        <f>CONCATENATE(Z111," ",AC111)</f>
        <v>08-Infraestructura física, mantenimiento y dotación (Sedes construidas, mantenidas reforzadas) 016_Sedes mantenidas</v>
      </c>
      <c r="AE111" s="163" t="str">
        <f>CONCATENATE(U111,V111,W111,X111,AA111)</f>
        <v>O23011745992024020708016</v>
      </c>
      <c r="AF111" s="163" t="str">
        <f>IFERROR(VLOOKUP(AD111,TD!$J$66:$K$89,2,0)," ")</f>
        <v>PM/0131/0108/45990160207</v>
      </c>
      <c r="AG111" s="118" t="s">
        <v>385</v>
      </c>
      <c r="AH111" s="162" t="s">
        <v>193</v>
      </c>
      <c r="AI111" s="165" t="str">
        <f>CONCATENATE(PAA[[#This Row],[Id Interno]],"-",PAA[[#This Row],[tipo de Contrato (TH talento humano - B/S bienes y/o servicios)]],"-",S111,"-",T111,"-",PAA[[#This Row],[Objeto de la contratación]])</f>
        <v>20260083-TH-8126-9-Prestar servicios profesionales jurídicos en la Oficina de Control Disciplinario Interno de la entidad para apoyar la gestión, logística y operación de los procesos contractuales y administrativos a cargo de esta dependencia.</v>
      </c>
    </row>
    <row r="112" spans="2:35" ht="56" x14ac:dyDescent="0.35">
      <c r="B112" s="23">
        <v>20260084</v>
      </c>
      <c r="C112" s="99" t="s">
        <v>423</v>
      </c>
      <c r="D112" s="23" t="s">
        <v>105</v>
      </c>
      <c r="E112" s="23" t="s">
        <v>363</v>
      </c>
      <c r="F112" s="159" t="s">
        <v>144</v>
      </c>
      <c r="G112" s="160" t="s">
        <v>374</v>
      </c>
      <c r="H112" s="161">
        <v>10</v>
      </c>
      <c r="I112" s="161">
        <v>0</v>
      </c>
      <c r="J112" s="127">
        <v>70000000</v>
      </c>
      <c r="K112" s="88" t="s">
        <v>398</v>
      </c>
      <c r="L112" s="159" t="s">
        <v>46</v>
      </c>
      <c r="M112" s="162" t="s">
        <v>421</v>
      </c>
      <c r="N112" s="23" t="s">
        <v>197</v>
      </c>
      <c r="O112" s="151" t="s">
        <v>945</v>
      </c>
      <c r="P112" s="159" t="s">
        <v>348</v>
      </c>
      <c r="Q112" s="53">
        <v>80111600</v>
      </c>
      <c r="R112" s="162" t="s">
        <v>208</v>
      </c>
      <c r="S112" s="162" t="str">
        <f>MID(PAA[[#This Row],[Meta Proyecto de Inversión]],1,4)</f>
        <v>8126</v>
      </c>
      <c r="T112" s="162" t="str">
        <f>MID(PAA[[#This Row],[Meta Proyecto de Inversión]],6,1)</f>
        <v>9</v>
      </c>
      <c r="U112" s="163" t="str">
        <f>IFERROR(VLOOKUP(N112,TD!$B$50:$F$54,2,0)," ")</f>
        <v>O230117</v>
      </c>
      <c r="V112" s="163" t="str">
        <f>IFERROR(VLOOKUP(N112,TD!$B$50:$F$54,3,0)," ")</f>
        <v>4599</v>
      </c>
      <c r="W112" s="163">
        <f>IFERROR(VLOOKUP(N112,TD!$B$50:$F$54,4,0)," ")</f>
        <v>20240207</v>
      </c>
      <c r="X112" s="162" t="s">
        <v>174</v>
      </c>
      <c r="Y112" s="163" t="str">
        <f>IFERROR(VLOOKUP(X112,TD!$J$51:$K$64,2,0)," ")</f>
        <v>Infraestructura física, mantenimiento y dotación (Sedes construidas, mantenidas reforzadas)</v>
      </c>
      <c r="Z112" s="164" t="str">
        <f>CONCATENATE(X112,"-",Y112)</f>
        <v>08-Infraestructura física, mantenimiento y dotación (Sedes construidas, mantenidas reforzadas)</v>
      </c>
      <c r="AA112" s="162" t="s">
        <v>227</v>
      </c>
      <c r="AB112" s="163" t="str">
        <f>IFERROR(VLOOKUP(AA112,TD!$N$51:$O$66,2,0)," ")</f>
        <v>Sedes mantenidas</v>
      </c>
      <c r="AC112" s="164" t="str">
        <f>CONCATENATE(AA112,"_",AB112)</f>
        <v>016_Sedes mantenidas</v>
      </c>
      <c r="AD112" s="164" t="str">
        <f>CONCATENATE(Z112," ",AC112)</f>
        <v>08-Infraestructura física, mantenimiento y dotación (Sedes construidas, mantenidas reforzadas) 016_Sedes mantenidas</v>
      </c>
      <c r="AE112" s="163" t="str">
        <f>CONCATENATE(U112,V112,W112,X112,AA112)</f>
        <v>O23011745992024020708016</v>
      </c>
      <c r="AF112" s="163" t="str">
        <f>IFERROR(VLOOKUP(AD112,TD!$J$66:$K$89,2,0)," ")</f>
        <v>PM/0131/0108/45990160207</v>
      </c>
      <c r="AG112" s="118" t="s">
        <v>385</v>
      </c>
      <c r="AH112" s="162" t="s">
        <v>193</v>
      </c>
      <c r="AI112" s="165" t="str">
        <f>CONCATENATE(PAA[[#This Row],[Id Interno]],"-",PAA[[#This Row],[tipo de Contrato (TH talento humano - B/S bienes y/o servicios)]],"-",S112,"-",T112,"-",PAA[[#This Row],[Objeto de la contratación]])</f>
        <v>20260084-TH-8126-9-Prestar servicios profesionales jurídicos para apoyar la instrucción y demás actuaciones que deban surtirse en los procesos disciplinarios adelantados por la Oficina de Control Disciplinario Interno.</v>
      </c>
    </row>
    <row r="113" spans="2:35" ht="56" x14ac:dyDescent="0.35">
      <c r="B113" s="23">
        <v>20260085</v>
      </c>
      <c r="C113" s="99" t="s">
        <v>423</v>
      </c>
      <c r="D113" s="23" t="s">
        <v>105</v>
      </c>
      <c r="E113" s="23" t="s">
        <v>363</v>
      </c>
      <c r="F113" s="159" t="s">
        <v>144</v>
      </c>
      <c r="G113" s="160" t="s">
        <v>374</v>
      </c>
      <c r="H113" s="161">
        <v>10</v>
      </c>
      <c r="I113" s="161">
        <v>0</v>
      </c>
      <c r="J113" s="127">
        <v>70000000</v>
      </c>
      <c r="K113" s="88" t="s">
        <v>398</v>
      </c>
      <c r="L113" s="159" t="s">
        <v>46</v>
      </c>
      <c r="M113" s="162" t="s">
        <v>421</v>
      </c>
      <c r="N113" s="23" t="s">
        <v>197</v>
      </c>
      <c r="O113" s="151" t="s">
        <v>945</v>
      </c>
      <c r="P113" s="159" t="s">
        <v>348</v>
      </c>
      <c r="Q113" s="53">
        <v>80111600</v>
      </c>
      <c r="R113" s="162" t="s">
        <v>208</v>
      </c>
      <c r="S113" s="162" t="str">
        <f>MID(PAA[[#This Row],[Meta Proyecto de Inversión]],1,4)</f>
        <v>8126</v>
      </c>
      <c r="T113" s="162" t="str">
        <f>MID(PAA[[#This Row],[Meta Proyecto de Inversión]],6,1)</f>
        <v>9</v>
      </c>
      <c r="U113" s="163" t="str">
        <f>IFERROR(VLOOKUP(N113,TD!$B$50:$F$54,2,0)," ")</f>
        <v>O230117</v>
      </c>
      <c r="V113" s="163" t="str">
        <f>IFERROR(VLOOKUP(N113,TD!$B$50:$F$54,3,0)," ")</f>
        <v>4599</v>
      </c>
      <c r="W113" s="163">
        <f>IFERROR(VLOOKUP(N113,TD!$B$50:$F$54,4,0)," ")</f>
        <v>20240207</v>
      </c>
      <c r="X113" s="162" t="s">
        <v>174</v>
      </c>
      <c r="Y113" s="163" t="str">
        <f>IFERROR(VLOOKUP(X113,TD!$J$51:$K$64,2,0)," ")</f>
        <v>Infraestructura física, mantenimiento y dotación (Sedes construidas, mantenidas reforzadas)</v>
      </c>
      <c r="Z113" s="164" t="str">
        <f>CONCATENATE(X113,"-",Y113)</f>
        <v>08-Infraestructura física, mantenimiento y dotación (Sedes construidas, mantenidas reforzadas)</v>
      </c>
      <c r="AA113" s="162" t="s">
        <v>227</v>
      </c>
      <c r="AB113" s="163" t="str">
        <f>IFERROR(VLOOKUP(AA113,TD!$N$51:$O$66,2,0)," ")</f>
        <v>Sedes mantenidas</v>
      </c>
      <c r="AC113" s="164" t="str">
        <f>CONCATENATE(AA113,"_",AB113)</f>
        <v>016_Sedes mantenidas</v>
      </c>
      <c r="AD113" s="164" t="str">
        <f>CONCATENATE(Z113," ",AC113)</f>
        <v>08-Infraestructura física, mantenimiento y dotación (Sedes construidas, mantenidas reforzadas) 016_Sedes mantenidas</v>
      </c>
      <c r="AE113" s="163" t="str">
        <f>CONCATENATE(U113,V113,W113,X113,AA113)</f>
        <v>O23011745992024020708016</v>
      </c>
      <c r="AF113" s="163" t="str">
        <f>IFERROR(VLOOKUP(AD113,TD!$J$66:$K$89,2,0)," ")</f>
        <v>PM/0131/0108/45990160207</v>
      </c>
      <c r="AG113" s="118" t="s">
        <v>385</v>
      </c>
      <c r="AH113" s="162" t="s">
        <v>193</v>
      </c>
      <c r="AI113" s="165" t="str">
        <f>CONCATENATE(PAA[[#This Row],[Id Interno]],"-",PAA[[#This Row],[tipo de Contrato (TH talento humano - B/S bienes y/o servicios)]],"-",S113,"-",T113,"-",PAA[[#This Row],[Objeto de la contratación]])</f>
        <v>20260085-TH-8126-9-Prestar servicios profesionales jurídicos para apoyar la instrucción y demás actuaciones que deban surtirse en los procesos disciplinarios adelantados por la Oficina de Control Disciplinario Interno.</v>
      </c>
    </row>
    <row r="114" spans="2:35" ht="56" x14ac:dyDescent="0.35">
      <c r="B114" s="23">
        <v>20260086</v>
      </c>
      <c r="C114" s="99" t="s">
        <v>423</v>
      </c>
      <c r="D114" s="23" t="s">
        <v>105</v>
      </c>
      <c r="E114" s="23" t="s">
        <v>363</v>
      </c>
      <c r="F114" s="159" t="s">
        <v>144</v>
      </c>
      <c r="G114" s="160" t="s">
        <v>374</v>
      </c>
      <c r="H114" s="161">
        <v>10</v>
      </c>
      <c r="I114" s="161">
        <v>0</v>
      </c>
      <c r="J114" s="127">
        <v>70000000</v>
      </c>
      <c r="K114" s="88" t="s">
        <v>398</v>
      </c>
      <c r="L114" s="159" t="s">
        <v>46</v>
      </c>
      <c r="M114" s="162" t="s">
        <v>421</v>
      </c>
      <c r="N114" s="23" t="s">
        <v>197</v>
      </c>
      <c r="O114" s="151" t="s">
        <v>945</v>
      </c>
      <c r="P114" s="159" t="s">
        <v>348</v>
      </c>
      <c r="Q114" s="53">
        <v>80111600</v>
      </c>
      <c r="R114" s="162" t="s">
        <v>208</v>
      </c>
      <c r="S114" s="162" t="str">
        <f>MID(PAA[[#This Row],[Meta Proyecto de Inversión]],1,4)</f>
        <v>8126</v>
      </c>
      <c r="T114" s="162" t="str">
        <f>MID(PAA[[#This Row],[Meta Proyecto de Inversión]],6,1)</f>
        <v>9</v>
      </c>
      <c r="U114" s="163" t="str">
        <f>IFERROR(VLOOKUP(N114,TD!$B$50:$F$54,2,0)," ")</f>
        <v>O230117</v>
      </c>
      <c r="V114" s="163" t="str">
        <f>IFERROR(VLOOKUP(N114,TD!$B$50:$F$54,3,0)," ")</f>
        <v>4599</v>
      </c>
      <c r="W114" s="163">
        <f>IFERROR(VLOOKUP(N114,TD!$B$50:$F$54,4,0)," ")</f>
        <v>20240207</v>
      </c>
      <c r="X114" s="162" t="s">
        <v>174</v>
      </c>
      <c r="Y114" s="163" t="str">
        <f>IFERROR(VLOOKUP(X114,TD!$J$51:$K$64,2,0)," ")</f>
        <v>Infraestructura física, mantenimiento y dotación (Sedes construidas, mantenidas reforzadas)</v>
      </c>
      <c r="Z114" s="164" t="str">
        <f>CONCATENATE(X114,"-",Y114)</f>
        <v>08-Infraestructura física, mantenimiento y dotación (Sedes construidas, mantenidas reforzadas)</v>
      </c>
      <c r="AA114" s="162" t="s">
        <v>227</v>
      </c>
      <c r="AB114" s="163" t="str">
        <f>IFERROR(VLOOKUP(AA114,TD!$N$51:$O$66,2,0)," ")</f>
        <v>Sedes mantenidas</v>
      </c>
      <c r="AC114" s="164" t="str">
        <f>CONCATENATE(AA114,"_",AB114)</f>
        <v>016_Sedes mantenidas</v>
      </c>
      <c r="AD114" s="164" t="str">
        <f>CONCATENATE(Z114," ",AC114)</f>
        <v>08-Infraestructura física, mantenimiento y dotación (Sedes construidas, mantenidas reforzadas) 016_Sedes mantenidas</v>
      </c>
      <c r="AE114" s="163" t="str">
        <f>CONCATENATE(U114,V114,W114,X114,AA114)</f>
        <v>O23011745992024020708016</v>
      </c>
      <c r="AF114" s="163" t="str">
        <f>IFERROR(VLOOKUP(AD114,TD!$J$66:$K$89,2,0)," ")</f>
        <v>PM/0131/0108/45990160207</v>
      </c>
      <c r="AG114" s="118" t="s">
        <v>385</v>
      </c>
      <c r="AH114" s="162" t="s">
        <v>193</v>
      </c>
      <c r="AI114" s="165" t="str">
        <f>CONCATENATE(PAA[[#This Row],[Id Interno]],"-",PAA[[#This Row],[tipo de Contrato (TH talento humano - B/S bienes y/o servicios)]],"-",S114,"-",T114,"-",PAA[[#This Row],[Objeto de la contratación]])</f>
        <v>20260086-TH-8126-9-Prestar servicios profesionales jurídicos para apoyar la instrucción y demás actuaciones que deban surtirse en los procesos disciplinarios adelantados por la Oficina de Control Disciplinario Interno.</v>
      </c>
    </row>
    <row r="115" spans="2:35" ht="56" x14ac:dyDescent="0.35">
      <c r="B115" s="23">
        <v>20260087</v>
      </c>
      <c r="C115" s="99" t="s">
        <v>423</v>
      </c>
      <c r="D115" s="23" t="s">
        <v>105</v>
      </c>
      <c r="E115" s="23" t="s">
        <v>363</v>
      </c>
      <c r="F115" s="159" t="s">
        <v>144</v>
      </c>
      <c r="G115" s="160" t="s">
        <v>374</v>
      </c>
      <c r="H115" s="161">
        <v>10</v>
      </c>
      <c r="I115" s="161">
        <v>0</v>
      </c>
      <c r="J115" s="127">
        <v>70000000</v>
      </c>
      <c r="K115" s="88" t="s">
        <v>398</v>
      </c>
      <c r="L115" s="159" t="s">
        <v>46</v>
      </c>
      <c r="M115" s="162" t="s">
        <v>421</v>
      </c>
      <c r="N115" s="23" t="s">
        <v>197</v>
      </c>
      <c r="O115" s="151" t="s">
        <v>945</v>
      </c>
      <c r="P115" s="159" t="s">
        <v>348</v>
      </c>
      <c r="Q115" s="53">
        <v>80111600</v>
      </c>
      <c r="R115" s="162" t="s">
        <v>208</v>
      </c>
      <c r="S115" s="162" t="str">
        <f>MID(PAA[[#This Row],[Meta Proyecto de Inversión]],1,4)</f>
        <v>8126</v>
      </c>
      <c r="T115" s="162" t="str">
        <f>MID(PAA[[#This Row],[Meta Proyecto de Inversión]],6,1)</f>
        <v>9</v>
      </c>
      <c r="U115" s="163" t="str">
        <f>IFERROR(VLOOKUP(N115,TD!$B$50:$F$54,2,0)," ")</f>
        <v>O230117</v>
      </c>
      <c r="V115" s="163" t="str">
        <f>IFERROR(VLOOKUP(N115,TD!$B$50:$F$54,3,0)," ")</f>
        <v>4599</v>
      </c>
      <c r="W115" s="163">
        <f>IFERROR(VLOOKUP(N115,TD!$B$50:$F$54,4,0)," ")</f>
        <v>20240207</v>
      </c>
      <c r="X115" s="162" t="s">
        <v>174</v>
      </c>
      <c r="Y115" s="163" t="str">
        <f>IFERROR(VLOOKUP(X115,TD!$J$51:$K$64,2,0)," ")</f>
        <v>Infraestructura física, mantenimiento y dotación (Sedes construidas, mantenidas reforzadas)</v>
      </c>
      <c r="Z115" s="164" t="str">
        <f>CONCATENATE(X115,"-",Y115)</f>
        <v>08-Infraestructura física, mantenimiento y dotación (Sedes construidas, mantenidas reforzadas)</v>
      </c>
      <c r="AA115" s="162" t="s">
        <v>227</v>
      </c>
      <c r="AB115" s="163" t="str">
        <f>IFERROR(VLOOKUP(AA115,TD!$N$51:$O$66,2,0)," ")</f>
        <v>Sedes mantenidas</v>
      </c>
      <c r="AC115" s="164" t="str">
        <f>CONCATENATE(AA115,"_",AB115)</f>
        <v>016_Sedes mantenidas</v>
      </c>
      <c r="AD115" s="164" t="str">
        <f>CONCATENATE(Z115," ",AC115)</f>
        <v>08-Infraestructura física, mantenimiento y dotación (Sedes construidas, mantenidas reforzadas) 016_Sedes mantenidas</v>
      </c>
      <c r="AE115" s="163" t="str">
        <f>CONCATENATE(U115,V115,W115,X115,AA115)</f>
        <v>O23011745992024020708016</v>
      </c>
      <c r="AF115" s="163" t="str">
        <f>IFERROR(VLOOKUP(AD115,TD!$J$66:$K$89,2,0)," ")</f>
        <v>PM/0131/0108/45990160207</v>
      </c>
      <c r="AG115" s="118" t="s">
        <v>385</v>
      </c>
      <c r="AH115" s="162" t="s">
        <v>193</v>
      </c>
      <c r="AI115" s="165" t="str">
        <f>CONCATENATE(PAA[[#This Row],[Id Interno]],"-",PAA[[#This Row],[tipo de Contrato (TH talento humano - B/S bienes y/o servicios)]],"-",S115,"-",T115,"-",PAA[[#This Row],[Objeto de la contratación]])</f>
        <v>20260087-TH-8126-9-Prestar servicios profesionales jurídicos para apoyar la instrucción y demás actuaciones que deban surtirse en los procesos disciplinarios adelantados por la Oficina de Control Disciplinario Interno.</v>
      </c>
    </row>
    <row r="116" spans="2:35" ht="84" x14ac:dyDescent="0.35">
      <c r="B116" s="23">
        <v>20260088</v>
      </c>
      <c r="C116" s="99" t="s">
        <v>423</v>
      </c>
      <c r="D116" s="23" t="s">
        <v>105</v>
      </c>
      <c r="E116" s="23" t="s">
        <v>363</v>
      </c>
      <c r="F116" s="159" t="s">
        <v>144</v>
      </c>
      <c r="G116" s="160" t="s">
        <v>374</v>
      </c>
      <c r="H116" s="161">
        <v>10</v>
      </c>
      <c r="I116" s="161">
        <v>0</v>
      </c>
      <c r="J116" s="127">
        <v>70000000</v>
      </c>
      <c r="K116" s="88" t="s">
        <v>398</v>
      </c>
      <c r="L116" s="159" t="s">
        <v>46</v>
      </c>
      <c r="M116" s="162" t="s">
        <v>421</v>
      </c>
      <c r="N116" s="23" t="s">
        <v>197</v>
      </c>
      <c r="O116" s="151" t="s">
        <v>945</v>
      </c>
      <c r="P116" s="159" t="s">
        <v>348</v>
      </c>
      <c r="Q116" s="53">
        <v>80111600</v>
      </c>
      <c r="R116" s="162" t="s">
        <v>208</v>
      </c>
      <c r="S116" s="162" t="str">
        <f>MID(PAA[[#This Row],[Meta Proyecto de Inversión]],1,4)</f>
        <v>8126</v>
      </c>
      <c r="T116" s="162" t="str">
        <f>MID(PAA[[#This Row],[Meta Proyecto de Inversión]],6,1)</f>
        <v>9</v>
      </c>
      <c r="U116" s="163" t="str">
        <f>IFERROR(VLOOKUP(N116,TD!$B$50:$F$54,2,0)," ")</f>
        <v>O230117</v>
      </c>
      <c r="V116" s="163" t="str">
        <f>IFERROR(VLOOKUP(N116,TD!$B$50:$F$54,3,0)," ")</f>
        <v>4599</v>
      </c>
      <c r="W116" s="163">
        <f>IFERROR(VLOOKUP(N116,TD!$B$50:$F$54,4,0)," ")</f>
        <v>20240207</v>
      </c>
      <c r="X116" s="162" t="s">
        <v>174</v>
      </c>
      <c r="Y116" s="163" t="str">
        <f>IFERROR(VLOOKUP(X116,TD!$J$51:$K$64,2,0)," ")</f>
        <v>Infraestructura física, mantenimiento y dotación (Sedes construidas, mantenidas reforzadas)</v>
      </c>
      <c r="Z116" s="164" t="str">
        <f>CONCATENATE(X116,"-",Y116)</f>
        <v>08-Infraestructura física, mantenimiento y dotación (Sedes construidas, mantenidas reforzadas)</v>
      </c>
      <c r="AA116" s="162" t="s">
        <v>227</v>
      </c>
      <c r="AB116" s="163" t="str">
        <f>IFERROR(VLOOKUP(AA116,TD!$N$51:$O$66,2,0)," ")</f>
        <v>Sedes mantenidas</v>
      </c>
      <c r="AC116" s="164" t="str">
        <f>CONCATENATE(AA116,"_",AB116)</f>
        <v>016_Sedes mantenidas</v>
      </c>
      <c r="AD116" s="164" t="str">
        <f>CONCATENATE(Z116," ",AC116)</f>
        <v>08-Infraestructura física, mantenimiento y dotación (Sedes construidas, mantenidas reforzadas) 016_Sedes mantenidas</v>
      </c>
      <c r="AE116" s="163" t="str">
        <f>CONCATENATE(U116,V116,W116,X116,AA116)</f>
        <v>O23011745992024020708016</v>
      </c>
      <c r="AF116" s="163" t="str">
        <f>IFERROR(VLOOKUP(AD116,TD!$J$66:$K$89,2,0)," ")</f>
        <v>PM/0131/0108/45990160207</v>
      </c>
      <c r="AG116" s="118" t="s">
        <v>385</v>
      </c>
      <c r="AH116" s="162" t="s">
        <v>193</v>
      </c>
      <c r="AI116" s="165" t="str">
        <f>CONCATENATE(PAA[[#This Row],[Id Interno]],"-",PAA[[#This Row],[tipo de Contrato (TH talento humano - B/S bienes y/o servicios)]],"-",S116,"-",T116,"-",PAA[[#This Row],[Objeto de la contratación]])</f>
        <v>20260088-TH-8126-9-Prestar servicios profesionales jurídicos para apoyar la instrucción y demás actuaciones que deban surtirse en los procesos disciplinarios adelantados por la Oficina de Control Disciplinario Interno.</v>
      </c>
    </row>
    <row r="117" spans="2:35" ht="84" x14ac:dyDescent="0.35">
      <c r="B117" s="23">
        <v>20260089</v>
      </c>
      <c r="C117" s="99" t="s">
        <v>424</v>
      </c>
      <c r="D117" s="23" t="s">
        <v>105</v>
      </c>
      <c r="E117" s="23" t="s">
        <v>363</v>
      </c>
      <c r="F117" s="159" t="s">
        <v>144</v>
      </c>
      <c r="G117" s="160" t="s">
        <v>374</v>
      </c>
      <c r="H117" s="161">
        <v>10</v>
      </c>
      <c r="I117" s="161">
        <v>0</v>
      </c>
      <c r="J117" s="127">
        <v>55000000</v>
      </c>
      <c r="K117" s="88" t="s">
        <v>398</v>
      </c>
      <c r="L117" s="159" t="s">
        <v>46</v>
      </c>
      <c r="M117" s="162" t="s">
        <v>421</v>
      </c>
      <c r="N117" s="23" t="s">
        <v>197</v>
      </c>
      <c r="O117" s="151" t="s">
        <v>945</v>
      </c>
      <c r="P117" s="159" t="s">
        <v>348</v>
      </c>
      <c r="Q117" s="53">
        <v>80111600</v>
      </c>
      <c r="R117" s="162" t="s">
        <v>208</v>
      </c>
      <c r="S117" s="162" t="str">
        <f>MID(PAA[[#This Row],[Meta Proyecto de Inversión]],1,4)</f>
        <v>8126</v>
      </c>
      <c r="T117" s="162" t="str">
        <f>MID(PAA[[#This Row],[Meta Proyecto de Inversión]],6,1)</f>
        <v>9</v>
      </c>
      <c r="U117" s="163" t="str">
        <f>IFERROR(VLOOKUP(N117,TD!$B$50:$F$54,2,0)," ")</f>
        <v>O230117</v>
      </c>
      <c r="V117" s="163" t="str">
        <f>IFERROR(VLOOKUP(N117,TD!$B$50:$F$54,3,0)," ")</f>
        <v>4599</v>
      </c>
      <c r="W117" s="163">
        <f>IFERROR(VLOOKUP(N117,TD!$B$50:$F$54,4,0)," ")</f>
        <v>20240207</v>
      </c>
      <c r="X117" s="162" t="s">
        <v>174</v>
      </c>
      <c r="Y117" s="163" t="str">
        <f>IFERROR(VLOOKUP(X117,TD!$J$51:$K$64,2,0)," ")</f>
        <v>Infraestructura física, mantenimiento y dotación (Sedes construidas, mantenidas reforzadas)</v>
      </c>
      <c r="Z117" s="164" t="str">
        <f>CONCATENATE(X117,"-",Y117)</f>
        <v>08-Infraestructura física, mantenimiento y dotación (Sedes construidas, mantenidas reforzadas)</v>
      </c>
      <c r="AA117" s="162" t="s">
        <v>227</v>
      </c>
      <c r="AB117" s="163" t="str">
        <f>IFERROR(VLOOKUP(AA117,TD!$N$51:$O$66,2,0)," ")</f>
        <v>Sedes mantenidas</v>
      </c>
      <c r="AC117" s="164" t="str">
        <f>CONCATENATE(AA117,"_",AB117)</f>
        <v>016_Sedes mantenidas</v>
      </c>
      <c r="AD117" s="164" t="str">
        <f>CONCATENATE(Z117," ",AC117)</f>
        <v>08-Infraestructura física, mantenimiento y dotación (Sedes construidas, mantenidas reforzadas) 016_Sedes mantenidas</v>
      </c>
      <c r="AE117" s="163" t="str">
        <f>CONCATENATE(U117,V117,W117,X117,AA117)</f>
        <v>O23011745992024020708016</v>
      </c>
      <c r="AF117" s="163" t="str">
        <f>IFERROR(VLOOKUP(AD117,TD!$J$66:$K$89,2,0)," ")</f>
        <v>PM/0131/0108/45990160207</v>
      </c>
      <c r="AG117" s="118" t="s">
        <v>385</v>
      </c>
      <c r="AH117" s="162" t="s">
        <v>193</v>
      </c>
      <c r="AI117" s="165" t="str">
        <f>CONCATENATE(PAA[[#This Row],[Id Interno]],"-",PAA[[#This Row],[tipo de Contrato (TH talento humano - B/S bienes y/o servicios)]],"-",S117,"-",T117,"-",PAA[[#This Row],[Objeto de la contratación]])</f>
        <v xml:space="preserve">20260089-TH-8126-9-Prestar servicios profesionales para ejercer las labores de secretaría común y actividades jurídicas que requieren las actuaciones disciplinarias en etapa de instrucción adelantadas por la Oficina de Control Disciplinario Interno.	</v>
      </c>
    </row>
    <row r="118" spans="2:35" ht="70" x14ac:dyDescent="0.35">
      <c r="B118" s="23">
        <v>20260090</v>
      </c>
      <c r="C118" s="99" t="s">
        <v>612</v>
      </c>
      <c r="D118" s="23" t="s">
        <v>105</v>
      </c>
      <c r="E118" s="23" t="s">
        <v>363</v>
      </c>
      <c r="F118" s="159" t="s">
        <v>145</v>
      </c>
      <c r="G118" s="160" t="s">
        <v>374</v>
      </c>
      <c r="H118" s="161">
        <v>10</v>
      </c>
      <c r="I118" s="161">
        <v>0</v>
      </c>
      <c r="J118" s="127">
        <v>36000000</v>
      </c>
      <c r="K118" s="88" t="s">
        <v>398</v>
      </c>
      <c r="L118" s="159" t="s">
        <v>46</v>
      </c>
      <c r="M118" s="162" t="s">
        <v>421</v>
      </c>
      <c r="N118" s="23" t="s">
        <v>197</v>
      </c>
      <c r="O118" s="151" t="s">
        <v>945</v>
      </c>
      <c r="P118" s="159" t="s">
        <v>348</v>
      </c>
      <c r="Q118" s="53">
        <v>80111600</v>
      </c>
      <c r="R118" s="162" t="s">
        <v>208</v>
      </c>
      <c r="S118" s="162" t="str">
        <f>MID(PAA[[#This Row],[Meta Proyecto de Inversión]],1,4)</f>
        <v>8126</v>
      </c>
      <c r="T118" s="162" t="str">
        <f>MID(PAA[[#This Row],[Meta Proyecto de Inversión]],6,1)</f>
        <v>9</v>
      </c>
      <c r="U118" s="163" t="str">
        <f>IFERROR(VLOOKUP(N118,TD!$B$50:$F$54,2,0)," ")</f>
        <v>O230117</v>
      </c>
      <c r="V118" s="163" t="str">
        <f>IFERROR(VLOOKUP(N118,TD!$B$50:$F$54,3,0)," ")</f>
        <v>4599</v>
      </c>
      <c r="W118" s="163">
        <f>IFERROR(VLOOKUP(N118,TD!$B$50:$F$54,4,0)," ")</f>
        <v>20240207</v>
      </c>
      <c r="X118" s="162" t="s">
        <v>174</v>
      </c>
      <c r="Y118" s="163" t="str">
        <f>IFERROR(VLOOKUP(X118,TD!$J$51:$K$64,2,0)," ")</f>
        <v>Infraestructura física, mantenimiento y dotación (Sedes construidas, mantenidas reforzadas)</v>
      </c>
      <c r="Z118" s="164" t="str">
        <f>CONCATENATE(X118,"-",Y118)</f>
        <v>08-Infraestructura física, mantenimiento y dotación (Sedes construidas, mantenidas reforzadas)</v>
      </c>
      <c r="AA118" s="162" t="s">
        <v>227</v>
      </c>
      <c r="AB118" s="163" t="str">
        <f>IFERROR(VLOOKUP(AA118,TD!$N$51:$O$66,2,0)," ")</f>
        <v>Sedes mantenidas</v>
      </c>
      <c r="AC118" s="164" t="str">
        <f>CONCATENATE(AA118,"_",AB118)</f>
        <v>016_Sedes mantenidas</v>
      </c>
      <c r="AD118" s="164" t="str">
        <f>CONCATENATE(Z118," ",AC118)</f>
        <v>08-Infraestructura física, mantenimiento y dotación (Sedes construidas, mantenidas reforzadas) 016_Sedes mantenidas</v>
      </c>
      <c r="AE118" s="163" t="str">
        <f>CONCATENATE(U118,V118,W118,X118,AA118)</f>
        <v>O23011745992024020708016</v>
      </c>
      <c r="AF118" s="163" t="str">
        <f>IFERROR(VLOOKUP(AD118,TD!$J$66:$K$89,2,0)," ")</f>
        <v>PM/0131/0108/45990160207</v>
      </c>
      <c r="AG118" s="118" t="s">
        <v>385</v>
      </c>
      <c r="AH118" s="162" t="s">
        <v>193</v>
      </c>
      <c r="AI118" s="165" t="str">
        <f>CONCATENATE(PAA[[#This Row],[Id Interno]],"-",PAA[[#This Row],[tipo de Contrato (TH talento humano - B/S bienes y/o servicios)]],"-",S118,"-",T118,"-",PAA[[#This Row],[Objeto de la contratación]])</f>
        <v>20260090-TH-8126-9-Prestación de servicios de apoyo técnico a la Oficina de Control Disciplinario Interno de la UAECOB para la gestión y cumplimiento de las funciones administrativas asignadas.</v>
      </c>
    </row>
    <row r="119" spans="2:35" ht="84" x14ac:dyDescent="0.35">
      <c r="B119" s="23">
        <v>20260091</v>
      </c>
      <c r="C119" s="99" t="s">
        <v>613</v>
      </c>
      <c r="D119" s="23" t="s">
        <v>105</v>
      </c>
      <c r="E119" s="23" t="s">
        <v>363</v>
      </c>
      <c r="F119" s="159" t="s">
        <v>145</v>
      </c>
      <c r="G119" s="160" t="s">
        <v>374</v>
      </c>
      <c r="H119" s="161">
        <v>10</v>
      </c>
      <c r="I119" s="161">
        <v>0</v>
      </c>
      <c r="J119" s="127">
        <v>26000000</v>
      </c>
      <c r="K119" s="88" t="s">
        <v>398</v>
      </c>
      <c r="L119" s="159" t="s">
        <v>46</v>
      </c>
      <c r="M119" s="162" t="s">
        <v>421</v>
      </c>
      <c r="N119" s="23" t="s">
        <v>197</v>
      </c>
      <c r="O119" s="151" t="s">
        <v>945</v>
      </c>
      <c r="P119" s="159" t="s">
        <v>348</v>
      </c>
      <c r="Q119" s="53">
        <v>80111600</v>
      </c>
      <c r="R119" s="162" t="s">
        <v>208</v>
      </c>
      <c r="S119" s="162" t="str">
        <f>MID(PAA[[#This Row],[Meta Proyecto de Inversión]],1,4)</f>
        <v>8126</v>
      </c>
      <c r="T119" s="162" t="str">
        <f>MID(PAA[[#This Row],[Meta Proyecto de Inversión]],6,1)</f>
        <v>9</v>
      </c>
      <c r="U119" s="163" t="str">
        <f>IFERROR(VLOOKUP(N119,TD!$B$50:$F$54,2,0)," ")</f>
        <v>O230117</v>
      </c>
      <c r="V119" s="163" t="str">
        <f>IFERROR(VLOOKUP(N119,TD!$B$50:$F$54,3,0)," ")</f>
        <v>4599</v>
      </c>
      <c r="W119" s="163">
        <f>IFERROR(VLOOKUP(N119,TD!$B$50:$F$54,4,0)," ")</f>
        <v>20240207</v>
      </c>
      <c r="X119" s="162" t="s">
        <v>174</v>
      </c>
      <c r="Y119" s="163" t="str">
        <f>IFERROR(VLOOKUP(X119,TD!$J$51:$K$64,2,0)," ")</f>
        <v>Infraestructura física, mantenimiento y dotación (Sedes construidas, mantenidas reforzadas)</v>
      </c>
      <c r="Z119" s="164" t="str">
        <f>CONCATENATE(X119,"-",Y119)</f>
        <v>08-Infraestructura física, mantenimiento y dotación (Sedes construidas, mantenidas reforzadas)</v>
      </c>
      <c r="AA119" s="162" t="s">
        <v>227</v>
      </c>
      <c r="AB119" s="163" t="str">
        <f>IFERROR(VLOOKUP(AA119,TD!$N$51:$O$66,2,0)," ")</f>
        <v>Sedes mantenidas</v>
      </c>
      <c r="AC119" s="164" t="str">
        <f>CONCATENATE(AA119,"_",AB119)</f>
        <v>016_Sedes mantenidas</v>
      </c>
      <c r="AD119" s="164" t="str">
        <f>CONCATENATE(Z119," ",AC119)</f>
        <v>08-Infraestructura física, mantenimiento y dotación (Sedes construidas, mantenidas reforzadas) 016_Sedes mantenidas</v>
      </c>
      <c r="AE119" s="163" t="str">
        <f>CONCATENATE(U119,V119,W119,X119,AA119)</f>
        <v>O23011745992024020708016</v>
      </c>
      <c r="AF119" s="163" t="str">
        <f>IFERROR(VLOOKUP(AD119,TD!$J$66:$K$89,2,0)," ")</f>
        <v>PM/0131/0108/45990160207</v>
      </c>
      <c r="AG119" s="118" t="s">
        <v>385</v>
      </c>
      <c r="AH119" s="162" t="s">
        <v>193</v>
      </c>
      <c r="AI119" s="165" t="str">
        <f>CONCATENATE(PAA[[#This Row],[Id Interno]],"-",PAA[[#This Row],[tipo de Contrato (TH talento humano - B/S bienes y/o servicios)]],"-",S119,"-",T119,"-",PAA[[#This Row],[Objeto de la contratación]])</f>
        <v>20260091-TH-8126-9-Prestación de servicios de apoyo administrativo y de gestión documental a la Oficina de Control Disciplinario Interno de la UAECOB, en el manejo y organización de la documentación propia de los expedientes disciplinarios y las actividades de archivo que se requieran.</v>
      </c>
    </row>
    <row r="120" spans="2:35" ht="84" x14ac:dyDescent="0.35">
      <c r="B120" s="23">
        <v>20260092</v>
      </c>
      <c r="C120" s="99" t="s">
        <v>614</v>
      </c>
      <c r="D120" s="23" t="s">
        <v>105</v>
      </c>
      <c r="E120" s="23" t="s">
        <v>363</v>
      </c>
      <c r="F120" s="159" t="s">
        <v>144</v>
      </c>
      <c r="G120" s="160" t="s">
        <v>374</v>
      </c>
      <c r="H120" s="161">
        <v>10</v>
      </c>
      <c r="I120" s="161">
        <v>0</v>
      </c>
      <c r="J120" s="127">
        <v>60000000</v>
      </c>
      <c r="K120" s="88" t="s">
        <v>398</v>
      </c>
      <c r="L120" s="159" t="s">
        <v>46</v>
      </c>
      <c r="M120" s="162" t="s">
        <v>421</v>
      </c>
      <c r="N120" s="23" t="s">
        <v>197</v>
      </c>
      <c r="O120" s="151" t="s">
        <v>945</v>
      </c>
      <c r="P120" s="159" t="s">
        <v>348</v>
      </c>
      <c r="Q120" s="53">
        <v>80111600</v>
      </c>
      <c r="R120" s="162" t="s">
        <v>208</v>
      </c>
      <c r="S120" s="162" t="str">
        <f>MID(PAA[[#This Row],[Meta Proyecto de Inversión]],1,4)</f>
        <v>8126</v>
      </c>
      <c r="T120" s="162" t="str">
        <f>MID(PAA[[#This Row],[Meta Proyecto de Inversión]],6,1)</f>
        <v>9</v>
      </c>
      <c r="U120" s="163" t="str">
        <f>IFERROR(VLOOKUP(N120,TD!$B$50:$F$54,2,0)," ")</f>
        <v>O230117</v>
      </c>
      <c r="V120" s="163" t="str">
        <f>IFERROR(VLOOKUP(N120,TD!$B$50:$F$54,3,0)," ")</f>
        <v>4599</v>
      </c>
      <c r="W120" s="163">
        <f>IFERROR(VLOOKUP(N120,TD!$B$50:$F$54,4,0)," ")</f>
        <v>20240207</v>
      </c>
      <c r="X120" s="162" t="s">
        <v>174</v>
      </c>
      <c r="Y120" s="163" t="str">
        <f>IFERROR(VLOOKUP(X120,TD!$J$51:$K$64,2,0)," ")</f>
        <v>Infraestructura física, mantenimiento y dotación (Sedes construidas, mantenidas reforzadas)</v>
      </c>
      <c r="Z120" s="164" t="str">
        <f>CONCATENATE(X120,"-",Y120)</f>
        <v>08-Infraestructura física, mantenimiento y dotación (Sedes construidas, mantenidas reforzadas)</v>
      </c>
      <c r="AA120" s="162" t="s">
        <v>227</v>
      </c>
      <c r="AB120" s="163" t="str">
        <f>IFERROR(VLOOKUP(AA120,TD!$N$51:$O$66,2,0)," ")</f>
        <v>Sedes mantenidas</v>
      </c>
      <c r="AC120" s="164" t="str">
        <f>CONCATENATE(AA120,"_",AB120)</f>
        <v>016_Sedes mantenidas</v>
      </c>
      <c r="AD120" s="164" t="str">
        <f>CONCATENATE(Z120," ",AC120)</f>
        <v>08-Infraestructura física, mantenimiento y dotación (Sedes construidas, mantenidas reforzadas) 016_Sedes mantenidas</v>
      </c>
      <c r="AE120" s="163" t="str">
        <f>CONCATENATE(U120,V120,W120,X120,AA120)</f>
        <v>O23011745992024020708016</v>
      </c>
      <c r="AF120" s="163" t="str">
        <f>IFERROR(VLOOKUP(AD120,TD!$J$66:$K$89,2,0)," ")</f>
        <v>PM/0131/0108/45990160207</v>
      </c>
      <c r="AG120" s="118" t="s">
        <v>385</v>
      </c>
      <c r="AH120" s="162" t="s">
        <v>193</v>
      </c>
      <c r="AI120" s="165" t="str">
        <f>CONCATENATE(PAA[[#This Row],[Id Interno]],"-",PAA[[#This Row],[tipo de Contrato (TH talento humano - B/S bienes y/o servicios)]],"-",S120,"-",T120,"-",PAA[[#This Row],[Objeto de la contratación]])</f>
        <v>20260092-TH-8126-9-Prestar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v>
      </c>
    </row>
    <row r="121" spans="2:35" ht="70" x14ac:dyDescent="0.35">
      <c r="B121" s="23">
        <v>20260093</v>
      </c>
      <c r="C121" s="99" t="s">
        <v>425</v>
      </c>
      <c r="D121" s="23" t="s">
        <v>105</v>
      </c>
      <c r="E121" s="23" t="s">
        <v>363</v>
      </c>
      <c r="F121" s="159" t="s">
        <v>144</v>
      </c>
      <c r="G121" s="160" t="s">
        <v>373</v>
      </c>
      <c r="H121" s="161">
        <v>11</v>
      </c>
      <c r="I121" s="161">
        <v>0</v>
      </c>
      <c r="J121" s="127">
        <v>85158000</v>
      </c>
      <c r="K121" s="88" t="s">
        <v>398</v>
      </c>
      <c r="L121" s="159" t="s">
        <v>152</v>
      </c>
      <c r="M121" s="162" t="s">
        <v>958</v>
      </c>
      <c r="N121" s="23" t="s">
        <v>197</v>
      </c>
      <c r="O121" s="151" t="s">
        <v>945</v>
      </c>
      <c r="P121" s="159" t="s">
        <v>348</v>
      </c>
      <c r="Q121" s="53">
        <v>80111600</v>
      </c>
      <c r="R121" s="162" t="s">
        <v>208</v>
      </c>
      <c r="S121" s="162" t="str">
        <f>MID(PAA[[#This Row],[Meta Proyecto de Inversión]],1,4)</f>
        <v>8126</v>
      </c>
      <c r="T121" s="162" t="str">
        <f>MID(PAA[[#This Row],[Meta Proyecto de Inversión]],6,1)</f>
        <v>9</v>
      </c>
      <c r="U121" s="163" t="str">
        <f>IFERROR(VLOOKUP(N121,TD!$B$50:$F$54,2,0)," ")</f>
        <v>O230117</v>
      </c>
      <c r="V121" s="163" t="str">
        <f>IFERROR(VLOOKUP(N121,TD!$B$50:$F$54,3,0)," ")</f>
        <v>4599</v>
      </c>
      <c r="W121" s="163">
        <f>IFERROR(VLOOKUP(N121,TD!$B$50:$F$54,4,0)," ")</f>
        <v>20240207</v>
      </c>
      <c r="X121" s="162" t="s">
        <v>174</v>
      </c>
      <c r="Y121" s="163" t="str">
        <f>IFERROR(VLOOKUP(X121,TD!$J$51:$K$64,2,0)," ")</f>
        <v>Infraestructura física, mantenimiento y dotación (Sedes construidas, mantenidas reforzadas)</v>
      </c>
      <c r="Z121" s="164" t="str">
        <f>CONCATENATE(X121,"-",Y121)</f>
        <v>08-Infraestructura física, mantenimiento y dotación (Sedes construidas, mantenidas reforzadas)</v>
      </c>
      <c r="AA121" s="162" t="s">
        <v>227</v>
      </c>
      <c r="AB121" s="163" t="str">
        <f>IFERROR(VLOOKUP(AA121,TD!$N$51:$O$66,2,0)," ")</f>
        <v>Sedes mantenidas</v>
      </c>
      <c r="AC121" s="164" t="str">
        <f>CONCATENATE(AA121,"_",AB121)</f>
        <v>016_Sedes mantenidas</v>
      </c>
      <c r="AD121" s="164" t="str">
        <f>CONCATENATE(Z121," ",AC121)</f>
        <v>08-Infraestructura física, mantenimiento y dotación (Sedes construidas, mantenidas reforzadas) 016_Sedes mantenidas</v>
      </c>
      <c r="AE121" s="163" t="str">
        <f>CONCATENATE(U121,V121,W121,X121,AA121)</f>
        <v>O23011745992024020708016</v>
      </c>
      <c r="AF121" s="163" t="str">
        <f>IFERROR(VLOOKUP(AD121,TD!$J$66:$K$89,2,0)," ")</f>
        <v>PM/0131/0108/45990160207</v>
      </c>
      <c r="AG121" s="118" t="s">
        <v>385</v>
      </c>
      <c r="AH121" s="162" t="s">
        <v>193</v>
      </c>
      <c r="AI121" s="165" t="str">
        <f>CONCATENATE(PAA[[#This Row],[Id Interno]],"-",PAA[[#This Row],[tipo de Contrato (TH talento humano - B/S bienes y/o servicios)]],"-",S121,"-",T121,"-",PAA[[#This Row],[Objeto de la contratación]])</f>
        <v>20260093-TH-8126-9-Prestar los servicios profesionales como abogado en la Oficina de Control Interno para el desarrollo del Plan Anual de Auditorías.</v>
      </c>
    </row>
    <row r="122" spans="2:35" ht="70" x14ac:dyDescent="0.35">
      <c r="B122" s="23">
        <v>20260094</v>
      </c>
      <c r="C122" s="99" t="s">
        <v>426</v>
      </c>
      <c r="D122" s="23" t="s">
        <v>105</v>
      </c>
      <c r="E122" s="23" t="s">
        <v>363</v>
      </c>
      <c r="F122" s="159" t="s">
        <v>144</v>
      </c>
      <c r="G122" s="160" t="s">
        <v>373</v>
      </c>
      <c r="H122" s="161">
        <v>11</v>
      </c>
      <c r="I122" s="161">
        <v>0</v>
      </c>
      <c r="J122" s="127">
        <v>85158000</v>
      </c>
      <c r="K122" s="88" t="s">
        <v>398</v>
      </c>
      <c r="L122" s="159" t="s">
        <v>152</v>
      </c>
      <c r="M122" s="162" t="s">
        <v>958</v>
      </c>
      <c r="N122" s="23" t="s">
        <v>197</v>
      </c>
      <c r="O122" s="151" t="s">
        <v>945</v>
      </c>
      <c r="P122" s="159" t="s">
        <v>348</v>
      </c>
      <c r="Q122" s="53">
        <v>80111600</v>
      </c>
      <c r="R122" s="162" t="s">
        <v>208</v>
      </c>
      <c r="S122" s="162" t="str">
        <f>MID(PAA[[#This Row],[Meta Proyecto de Inversión]],1,4)</f>
        <v>8126</v>
      </c>
      <c r="T122" s="162" t="str">
        <f>MID(PAA[[#This Row],[Meta Proyecto de Inversión]],6,1)</f>
        <v>9</v>
      </c>
      <c r="U122" s="163" t="str">
        <f>IFERROR(VLOOKUP(N122,TD!$B$50:$F$54,2,0)," ")</f>
        <v>O230117</v>
      </c>
      <c r="V122" s="163" t="str">
        <f>IFERROR(VLOOKUP(N122,TD!$B$50:$F$54,3,0)," ")</f>
        <v>4599</v>
      </c>
      <c r="W122" s="163">
        <f>IFERROR(VLOOKUP(N122,TD!$B$50:$F$54,4,0)," ")</f>
        <v>20240207</v>
      </c>
      <c r="X122" s="162" t="s">
        <v>174</v>
      </c>
      <c r="Y122" s="163" t="str">
        <f>IFERROR(VLOOKUP(X122,TD!$J$51:$K$64,2,0)," ")</f>
        <v>Infraestructura física, mantenimiento y dotación (Sedes construidas, mantenidas reforzadas)</v>
      </c>
      <c r="Z122" s="164" t="str">
        <f>CONCATENATE(X122,"-",Y122)</f>
        <v>08-Infraestructura física, mantenimiento y dotación (Sedes construidas, mantenidas reforzadas)</v>
      </c>
      <c r="AA122" s="162" t="s">
        <v>227</v>
      </c>
      <c r="AB122" s="163" t="str">
        <f>IFERROR(VLOOKUP(AA122,TD!$N$51:$O$66,2,0)," ")</f>
        <v>Sedes mantenidas</v>
      </c>
      <c r="AC122" s="164" t="str">
        <f>CONCATENATE(AA122,"_",AB122)</f>
        <v>016_Sedes mantenidas</v>
      </c>
      <c r="AD122" s="164" t="str">
        <f>CONCATENATE(Z122," ",AC122)</f>
        <v>08-Infraestructura física, mantenimiento y dotación (Sedes construidas, mantenidas reforzadas) 016_Sedes mantenidas</v>
      </c>
      <c r="AE122" s="163" t="str">
        <f>CONCATENATE(U122,V122,W122,X122,AA122)</f>
        <v>O23011745992024020708016</v>
      </c>
      <c r="AF122" s="163" t="str">
        <f>IFERROR(VLOOKUP(AD122,TD!$J$66:$K$89,2,0)," ")</f>
        <v>PM/0131/0108/45990160207</v>
      </c>
      <c r="AG122" s="118" t="s">
        <v>385</v>
      </c>
      <c r="AH122" s="162" t="s">
        <v>193</v>
      </c>
      <c r="AI122" s="165" t="str">
        <f>CONCATENATE(PAA[[#This Row],[Id Interno]],"-",PAA[[#This Row],[tipo de Contrato (TH talento humano - B/S bienes y/o servicios)]],"-",S122,"-",T122,"-",PAA[[#This Row],[Objeto de la contratación]])</f>
        <v>20260094-TH-8126-9-Prestar los servicios profesionales como contador público en la Oficina de Control Interno para el desarrollo del Plan Anual de Auditorías.</v>
      </c>
    </row>
    <row r="123" spans="2:35" ht="56" x14ac:dyDescent="0.35">
      <c r="B123" s="23">
        <v>20260095</v>
      </c>
      <c r="C123" s="99" t="s">
        <v>427</v>
      </c>
      <c r="D123" s="23" t="s">
        <v>105</v>
      </c>
      <c r="E123" s="23" t="s">
        <v>363</v>
      </c>
      <c r="F123" s="159" t="s">
        <v>144</v>
      </c>
      <c r="G123" s="160" t="s">
        <v>373</v>
      </c>
      <c r="H123" s="161">
        <v>11</v>
      </c>
      <c r="I123" s="161">
        <v>0</v>
      </c>
      <c r="J123" s="127">
        <v>85158000</v>
      </c>
      <c r="K123" s="88" t="s">
        <v>398</v>
      </c>
      <c r="L123" s="159" t="s">
        <v>152</v>
      </c>
      <c r="M123" s="162" t="s">
        <v>958</v>
      </c>
      <c r="N123" s="23" t="s">
        <v>197</v>
      </c>
      <c r="O123" s="151" t="s">
        <v>945</v>
      </c>
      <c r="P123" s="159" t="s">
        <v>348</v>
      </c>
      <c r="Q123" s="53">
        <v>80111600</v>
      </c>
      <c r="R123" s="162" t="s">
        <v>208</v>
      </c>
      <c r="S123" s="162" t="str">
        <f>MID(PAA[[#This Row],[Meta Proyecto de Inversión]],1,4)</f>
        <v>8126</v>
      </c>
      <c r="T123" s="162" t="str">
        <f>MID(PAA[[#This Row],[Meta Proyecto de Inversión]],6,1)</f>
        <v>9</v>
      </c>
      <c r="U123" s="163" t="str">
        <f>IFERROR(VLOOKUP(N123,TD!$B$50:$F$54,2,0)," ")</f>
        <v>O230117</v>
      </c>
      <c r="V123" s="163" t="str">
        <f>IFERROR(VLOOKUP(N123,TD!$B$50:$F$54,3,0)," ")</f>
        <v>4599</v>
      </c>
      <c r="W123" s="163">
        <f>IFERROR(VLOOKUP(N123,TD!$B$50:$F$54,4,0)," ")</f>
        <v>20240207</v>
      </c>
      <c r="X123" s="162" t="s">
        <v>174</v>
      </c>
      <c r="Y123" s="163" t="str">
        <f>IFERROR(VLOOKUP(X123,TD!$J$51:$K$64,2,0)," ")</f>
        <v>Infraestructura física, mantenimiento y dotación (Sedes construidas, mantenidas reforzadas)</v>
      </c>
      <c r="Z123" s="164" t="str">
        <f>CONCATENATE(X123,"-",Y123)</f>
        <v>08-Infraestructura física, mantenimiento y dotación (Sedes construidas, mantenidas reforzadas)</v>
      </c>
      <c r="AA123" s="162" t="s">
        <v>227</v>
      </c>
      <c r="AB123" s="163" t="str">
        <f>IFERROR(VLOOKUP(AA123,TD!$N$51:$O$66,2,0)," ")</f>
        <v>Sedes mantenidas</v>
      </c>
      <c r="AC123" s="164" t="str">
        <f>CONCATENATE(AA123,"_",AB123)</f>
        <v>016_Sedes mantenidas</v>
      </c>
      <c r="AD123" s="164" t="str">
        <f>CONCATENATE(Z123," ",AC123)</f>
        <v>08-Infraestructura física, mantenimiento y dotación (Sedes construidas, mantenidas reforzadas) 016_Sedes mantenidas</v>
      </c>
      <c r="AE123" s="163" t="str">
        <f>CONCATENATE(U123,V123,W123,X123,AA123)</f>
        <v>O23011745992024020708016</v>
      </c>
      <c r="AF123" s="163" t="str">
        <f>IFERROR(VLOOKUP(AD123,TD!$J$66:$K$89,2,0)," ")</f>
        <v>PM/0131/0108/45990160207</v>
      </c>
      <c r="AG123" s="118" t="s">
        <v>385</v>
      </c>
      <c r="AH123" s="162" t="s">
        <v>193</v>
      </c>
      <c r="AI123" s="165" t="str">
        <f>CONCATENATE(PAA[[#This Row],[Id Interno]],"-",PAA[[#This Row],[tipo de Contrato (TH talento humano - B/S bienes y/o servicios)]],"-",S123,"-",T123,"-",PAA[[#This Row],[Objeto de la contratación]])</f>
        <v>20260095-TH-8126-9-Prestar los servicios profesionales en la Oficina de Control Interno para el desarrollo del Plan Anual de Auditorías.</v>
      </c>
    </row>
    <row r="124" spans="2:35" ht="56" x14ac:dyDescent="0.35">
      <c r="B124" s="23">
        <v>20260096</v>
      </c>
      <c r="C124" s="99" t="s">
        <v>427</v>
      </c>
      <c r="D124" s="23" t="s">
        <v>105</v>
      </c>
      <c r="E124" s="23" t="s">
        <v>363</v>
      </c>
      <c r="F124" s="159" t="s">
        <v>144</v>
      </c>
      <c r="G124" s="160" t="s">
        <v>373</v>
      </c>
      <c r="H124" s="161">
        <v>11</v>
      </c>
      <c r="I124" s="161">
        <v>0</v>
      </c>
      <c r="J124" s="127">
        <v>51424000</v>
      </c>
      <c r="K124" s="88" t="s">
        <v>398</v>
      </c>
      <c r="L124" s="159" t="s">
        <v>152</v>
      </c>
      <c r="M124" s="162" t="s">
        <v>958</v>
      </c>
      <c r="N124" s="23" t="s">
        <v>197</v>
      </c>
      <c r="O124" s="151" t="s">
        <v>945</v>
      </c>
      <c r="P124" s="159" t="s">
        <v>348</v>
      </c>
      <c r="Q124" s="53">
        <v>80111600</v>
      </c>
      <c r="R124" s="162" t="s">
        <v>208</v>
      </c>
      <c r="S124" s="162" t="str">
        <f>MID(PAA[[#This Row],[Meta Proyecto de Inversión]],1,4)</f>
        <v>8126</v>
      </c>
      <c r="T124" s="162" t="str">
        <f>MID(PAA[[#This Row],[Meta Proyecto de Inversión]],6,1)</f>
        <v>9</v>
      </c>
      <c r="U124" s="163" t="str">
        <f>IFERROR(VLOOKUP(N124,TD!$B$50:$F$54,2,0)," ")</f>
        <v>O230117</v>
      </c>
      <c r="V124" s="163" t="str">
        <f>IFERROR(VLOOKUP(N124,TD!$B$50:$F$54,3,0)," ")</f>
        <v>4599</v>
      </c>
      <c r="W124" s="163">
        <f>IFERROR(VLOOKUP(N124,TD!$B$50:$F$54,4,0)," ")</f>
        <v>20240207</v>
      </c>
      <c r="X124" s="162" t="s">
        <v>174</v>
      </c>
      <c r="Y124" s="163" t="str">
        <f>IFERROR(VLOOKUP(X124,TD!$J$51:$K$64,2,0)," ")</f>
        <v>Infraestructura física, mantenimiento y dotación (Sedes construidas, mantenidas reforzadas)</v>
      </c>
      <c r="Z124" s="164" t="str">
        <f>CONCATENATE(X124,"-",Y124)</f>
        <v>08-Infraestructura física, mantenimiento y dotación (Sedes construidas, mantenidas reforzadas)</v>
      </c>
      <c r="AA124" s="162" t="s">
        <v>227</v>
      </c>
      <c r="AB124" s="163" t="str">
        <f>IFERROR(VLOOKUP(AA124,TD!$N$51:$O$66,2,0)," ")</f>
        <v>Sedes mantenidas</v>
      </c>
      <c r="AC124" s="164" t="str">
        <f>CONCATENATE(AA124,"_",AB124)</f>
        <v>016_Sedes mantenidas</v>
      </c>
      <c r="AD124" s="164" t="str">
        <f>CONCATENATE(Z124," ",AC124)</f>
        <v>08-Infraestructura física, mantenimiento y dotación (Sedes construidas, mantenidas reforzadas) 016_Sedes mantenidas</v>
      </c>
      <c r="AE124" s="163" t="str">
        <f>CONCATENATE(U124,V124,W124,X124,AA124)</f>
        <v>O23011745992024020708016</v>
      </c>
      <c r="AF124" s="163" t="str">
        <f>IFERROR(VLOOKUP(AD124,TD!$J$66:$K$89,2,0)," ")</f>
        <v>PM/0131/0108/45990160207</v>
      </c>
      <c r="AG124" s="118" t="s">
        <v>385</v>
      </c>
      <c r="AH124" s="162" t="s">
        <v>193</v>
      </c>
      <c r="AI124" s="165" t="str">
        <f>CONCATENATE(PAA[[#This Row],[Id Interno]],"-",PAA[[#This Row],[tipo de Contrato (TH talento humano - B/S bienes y/o servicios)]],"-",S124,"-",T124,"-",PAA[[#This Row],[Objeto de la contratación]])</f>
        <v>20260096-TH-8126-9-Prestar los servicios profesionales en la Oficina de Control Interno para el desarrollo del Plan Anual de Auditorías.</v>
      </c>
    </row>
    <row r="125" spans="2:35" ht="56" x14ac:dyDescent="0.35">
      <c r="B125" s="23">
        <v>20260097</v>
      </c>
      <c r="C125" s="99" t="s">
        <v>428</v>
      </c>
      <c r="D125" s="23" t="s">
        <v>105</v>
      </c>
      <c r="E125" s="23" t="s">
        <v>363</v>
      </c>
      <c r="F125" s="159" t="s">
        <v>145</v>
      </c>
      <c r="G125" s="160" t="s">
        <v>373</v>
      </c>
      <c r="H125" s="161">
        <v>11</v>
      </c>
      <c r="I125" s="161">
        <v>0</v>
      </c>
      <c r="J125" s="127">
        <v>43102000</v>
      </c>
      <c r="K125" s="88" t="s">
        <v>398</v>
      </c>
      <c r="L125" s="159" t="s">
        <v>152</v>
      </c>
      <c r="M125" s="162" t="s">
        <v>958</v>
      </c>
      <c r="N125" s="23" t="s">
        <v>197</v>
      </c>
      <c r="O125" s="151" t="s">
        <v>945</v>
      </c>
      <c r="P125" s="159" t="s">
        <v>348</v>
      </c>
      <c r="Q125" s="53">
        <v>80111600</v>
      </c>
      <c r="R125" s="162" t="s">
        <v>208</v>
      </c>
      <c r="S125" s="162" t="str">
        <f>MID(PAA[[#This Row],[Meta Proyecto de Inversión]],1,4)</f>
        <v>8126</v>
      </c>
      <c r="T125" s="162" t="str">
        <f>MID(PAA[[#This Row],[Meta Proyecto de Inversión]],6,1)</f>
        <v>9</v>
      </c>
      <c r="U125" s="163" t="str">
        <f>IFERROR(VLOOKUP(N125,TD!$B$50:$F$54,2,0)," ")</f>
        <v>O230117</v>
      </c>
      <c r="V125" s="163" t="str">
        <f>IFERROR(VLOOKUP(N125,TD!$B$50:$F$54,3,0)," ")</f>
        <v>4599</v>
      </c>
      <c r="W125" s="163">
        <f>IFERROR(VLOOKUP(N125,TD!$B$50:$F$54,4,0)," ")</f>
        <v>20240207</v>
      </c>
      <c r="X125" s="162" t="s">
        <v>174</v>
      </c>
      <c r="Y125" s="163" t="str">
        <f>IFERROR(VLOOKUP(X125,TD!$J$51:$K$64,2,0)," ")</f>
        <v>Infraestructura física, mantenimiento y dotación (Sedes construidas, mantenidas reforzadas)</v>
      </c>
      <c r="Z125" s="164" t="str">
        <f>CONCATENATE(X125,"-",Y125)</f>
        <v>08-Infraestructura física, mantenimiento y dotación (Sedes construidas, mantenidas reforzadas)</v>
      </c>
      <c r="AA125" s="162" t="s">
        <v>227</v>
      </c>
      <c r="AB125" s="163" t="str">
        <f>IFERROR(VLOOKUP(AA125,TD!$N$51:$O$66,2,0)," ")</f>
        <v>Sedes mantenidas</v>
      </c>
      <c r="AC125" s="164" t="str">
        <f>CONCATENATE(AA125,"_",AB125)</f>
        <v>016_Sedes mantenidas</v>
      </c>
      <c r="AD125" s="164" t="str">
        <f>CONCATENATE(Z125," ",AC125)</f>
        <v>08-Infraestructura física, mantenimiento y dotación (Sedes construidas, mantenidas reforzadas) 016_Sedes mantenidas</v>
      </c>
      <c r="AE125" s="163" t="str">
        <f>CONCATENATE(U125,V125,W125,X125,AA125)</f>
        <v>O23011745992024020708016</v>
      </c>
      <c r="AF125" s="163" t="str">
        <f>IFERROR(VLOOKUP(AD125,TD!$J$66:$K$89,2,0)," ")</f>
        <v>PM/0131/0108/45990160207</v>
      </c>
      <c r="AG125" s="118" t="s">
        <v>385</v>
      </c>
      <c r="AH125" s="162" t="s">
        <v>193</v>
      </c>
      <c r="AI125" s="165" t="str">
        <f>CONCATENATE(PAA[[#This Row],[Id Interno]],"-",PAA[[#This Row],[tipo de Contrato (TH talento humano - B/S bienes y/o servicios)]],"-",S125,"-",T125,"-",PAA[[#This Row],[Objeto de la contratación]])</f>
        <v>20260097-TH-8126-9-Prestar servicios de apoyo a la gestión como técnico en la Oficina de Control Interno para ejecutar procesos y procedimientos administrativos y asistenciales teniendo en cuenta el Plan Anual de Auditorías.</v>
      </c>
    </row>
    <row r="126" spans="2:35" ht="56" x14ac:dyDescent="0.35">
      <c r="B126" s="23">
        <v>20260098</v>
      </c>
      <c r="C126" s="99" t="s">
        <v>403</v>
      </c>
      <c r="D126" s="23" t="s">
        <v>105</v>
      </c>
      <c r="E126" s="23" t="s">
        <v>363</v>
      </c>
      <c r="F126" s="159" t="s">
        <v>144</v>
      </c>
      <c r="G126" s="160" t="s">
        <v>374</v>
      </c>
      <c r="H126" s="161">
        <v>9</v>
      </c>
      <c r="I126" s="161">
        <v>0</v>
      </c>
      <c r="J126" s="127">
        <v>90000000</v>
      </c>
      <c r="K126" s="88" t="s">
        <v>398</v>
      </c>
      <c r="L126" s="159" t="s">
        <v>153</v>
      </c>
      <c r="M126" s="162" t="s">
        <v>420</v>
      </c>
      <c r="N126" s="23" t="s">
        <v>197</v>
      </c>
      <c r="O126" s="151" t="s">
        <v>945</v>
      </c>
      <c r="P126" s="159" t="s">
        <v>348</v>
      </c>
      <c r="Q126" s="53">
        <v>80111600</v>
      </c>
      <c r="R126" s="162" t="s">
        <v>208</v>
      </c>
      <c r="S126" s="162" t="str">
        <f>MID(PAA[[#This Row],[Meta Proyecto de Inversión]],1,4)</f>
        <v>8126</v>
      </c>
      <c r="T126" s="162" t="str">
        <f>MID(PAA[[#This Row],[Meta Proyecto de Inversión]],6,1)</f>
        <v>9</v>
      </c>
      <c r="U126" s="163" t="str">
        <f>IFERROR(VLOOKUP(N126,TD!$B$50:$F$54,2,0)," ")</f>
        <v>O230117</v>
      </c>
      <c r="V126" s="163" t="str">
        <f>IFERROR(VLOOKUP(N126,TD!$B$50:$F$54,3,0)," ")</f>
        <v>4599</v>
      </c>
      <c r="W126" s="163">
        <f>IFERROR(VLOOKUP(N126,TD!$B$50:$F$54,4,0)," ")</f>
        <v>20240207</v>
      </c>
      <c r="X126" s="162" t="s">
        <v>174</v>
      </c>
      <c r="Y126" s="163" t="str">
        <f>IFERROR(VLOOKUP(X126,TD!$J$51:$K$64,2,0)," ")</f>
        <v>Infraestructura física, mantenimiento y dotación (Sedes construidas, mantenidas reforzadas)</v>
      </c>
      <c r="Z126" s="164" t="str">
        <f>CONCATENATE(X126,"-",Y126)</f>
        <v>08-Infraestructura física, mantenimiento y dotación (Sedes construidas, mantenidas reforzadas)</v>
      </c>
      <c r="AA126" s="162" t="s">
        <v>227</v>
      </c>
      <c r="AB126" s="163" t="str">
        <f>IFERROR(VLOOKUP(AA126,TD!$N$51:$O$66,2,0)," ")</f>
        <v>Sedes mantenidas</v>
      </c>
      <c r="AC126" s="164" t="str">
        <f>CONCATENATE(AA126,"_",AB126)</f>
        <v>016_Sedes mantenidas</v>
      </c>
      <c r="AD126" s="164" t="str">
        <f>CONCATENATE(Z126," ",AC126)</f>
        <v>08-Infraestructura física, mantenimiento y dotación (Sedes construidas, mantenidas reforzadas) 016_Sedes mantenidas</v>
      </c>
      <c r="AE126" s="163" t="str">
        <f>CONCATENATE(U126,V126,W126,X126,AA126)</f>
        <v>O23011745992024020708016</v>
      </c>
      <c r="AF126" s="163" t="str">
        <f>IFERROR(VLOOKUP(AD126,TD!$J$66:$K$89,2,0)," ")</f>
        <v>PM/0131/0108/45990160207</v>
      </c>
      <c r="AG126" s="118" t="s">
        <v>385</v>
      </c>
      <c r="AH126" s="162" t="s">
        <v>193</v>
      </c>
      <c r="AI126" s="165" t="str">
        <f>CONCATENATE(PAA[[#This Row],[Id Interno]],"-",PAA[[#This Row],[tipo de Contrato (TH talento humano - B/S bienes y/o servicios)]],"-",S126,"-",T126,"-",PAA[[#This Row],[Objeto de la contratación]])</f>
        <v>20260098-TH-8126-9-Prestar los servicios profesionales jurídicos especializados para orientar y apoyar los procesos de contratación en sus diferentes etapas adelantados por la Oficina Jurídica, tendientes a garantizar las necesidades propias de la UAECOB</v>
      </c>
    </row>
    <row r="127" spans="2:35" ht="56" x14ac:dyDescent="0.35">
      <c r="B127" s="23">
        <v>20260099</v>
      </c>
      <c r="C127" s="99" t="s">
        <v>615</v>
      </c>
      <c r="D127" s="23" t="s">
        <v>105</v>
      </c>
      <c r="E127" s="23" t="s">
        <v>363</v>
      </c>
      <c r="F127" s="159" t="s">
        <v>144</v>
      </c>
      <c r="G127" s="160" t="s">
        <v>374</v>
      </c>
      <c r="H127" s="161">
        <v>8</v>
      </c>
      <c r="I127" s="161">
        <v>0</v>
      </c>
      <c r="J127" s="127">
        <v>72000000</v>
      </c>
      <c r="K127" s="88" t="s">
        <v>398</v>
      </c>
      <c r="L127" s="159" t="s">
        <v>153</v>
      </c>
      <c r="M127" s="162" t="s">
        <v>420</v>
      </c>
      <c r="N127" s="23" t="s">
        <v>197</v>
      </c>
      <c r="O127" s="151" t="s">
        <v>945</v>
      </c>
      <c r="P127" s="159" t="s">
        <v>348</v>
      </c>
      <c r="Q127" s="53">
        <v>80111600</v>
      </c>
      <c r="R127" s="162" t="s">
        <v>208</v>
      </c>
      <c r="S127" s="162" t="str">
        <f>MID(PAA[[#This Row],[Meta Proyecto de Inversión]],1,4)</f>
        <v>8126</v>
      </c>
      <c r="T127" s="162" t="str">
        <f>MID(PAA[[#This Row],[Meta Proyecto de Inversión]],6,1)</f>
        <v>9</v>
      </c>
      <c r="U127" s="163" t="str">
        <f>IFERROR(VLOOKUP(N127,TD!$B$50:$F$54,2,0)," ")</f>
        <v>O230117</v>
      </c>
      <c r="V127" s="163" t="str">
        <f>IFERROR(VLOOKUP(N127,TD!$B$50:$F$54,3,0)," ")</f>
        <v>4599</v>
      </c>
      <c r="W127" s="163">
        <f>IFERROR(VLOOKUP(N127,TD!$B$50:$F$54,4,0)," ")</f>
        <v>20240207</v>
      </c>
      <c r="X127" s="162" t="s">
        <v>174</v>
      </c>
      <c r="Y127" s="163" t="str">
        <f>IFERROR(VLOOKUP(X127,TD!$J$51:$K$64,2,0)," ")</f>
        <v>Infraestructura física, mantenimiento y dotación (Sedes construidas, mantenidas reforzadas)</v>
      </c>
      <c r="Z127" s="164" t="str">
        <f>CONCATENATE(X127,"-",Y127)</f>
        <v>08-Infraestructura física, mantenimiento y dotación (Sedes construidas, mantenidas reforzadas)</v>
      </c>
      <c r="AA127" s="162" t="s">
        <v>227</v>
      </c>
      <c r="AB127" s="163" t="str">
        <f>IFERROR(VLOOKUP(AA127,TD!$N$51:$O$66,2,0)," ")</f>
        <v>Sedes mantenidas</v>
      </c>
      <c r="AC127" s="164" t="str">
        <f>CONCATENATE(AA127,"_",AB127)</f>
        <v>016_Sedes mantenidas</v>
      </c>
      <c r="AD127" s="164" t="str">
        <f>CONCATENATE(Z127," ",AC127)</f>
        <v>08-Infraestructura física, mantenimiento y dotación (Sedes construidas, mantenidas reforzadas) 016_Sedes mantenidas</v>
      </c>
      <c r="AE127" s="163" t="str">
        <f>CONCATENATE(U127,V127,W127,X127,AA127)</f>
        <v>O23011745992024020708016</v>
      </c>
      <c r="AF127" s="163" t="str">
        <f>IFERROR(VLOOKUP(AD127,TD!$J$66:$K$89,2,0)," ")</f>
        <v>PM/0131/0108/45990160207</v>
      </c>
      <c r="AG127" s="118" t="s">
        <v>385</v>
      </c>
      <c r="AH127" s="162" t="s">
        <v>193</v>
      </c>
      <c r="AI127" s="165" t="str">
        <f>CONCATENATE(PAA[[#This Row],[Id Interno]],"-",PAA[[#This Row],[tipo de Contrato (TH talento humano - B/S bienes y/o servicios)]],"-",S127,"-",T127,"-",PAA[[#This Row],[Objeto de la contratación]])</f>
        <v>20260099-TH-8126-9-Prestar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v>
      </c>
    </row>
    <row r="128" spans="2:35" ht="70" x14ac:dyDescent="0.35">
      <c r="B128" s="23">
        <v>20260100</v>
      </c>
      <c r="C128" s="99" t="s">
        <v>616</v>
      </c>
      <c r="D128" s="23" t="s">
        <v>105</v>
      </c>
      <c r="E128" s="23" t="s">
        <v>363</v>
      </c>
      <c r="F128" s="159" t="s">
        <v>144</v>
      </c>
      <c r="G128" s="160" t="s">
        <v>374</v>
      </c>
      <c r="H128" s="161">
        <v>8</v>
      </c>
      <c r="I128" s="161">
        <v>0</v>
      </c>
      <c r="J128" s="127">
        <v>29600000</v>
      </c>
      <c r="K128" s="88" t="s">
        <v>398</v>
      </c>
      <c r="L128" s="159" t="s">
        <v>153</v>
      </c>
      <c r="M128" s="162" t="s">
        <v>420</v>
      </c>
      <c r="N128" s="23" t="s">
        <v>197</v>
      </c>
      <c r="O128" s="151" t="s">
        <v>945</v>
      </c>
      <c r="P128" s="159" t="s">
        <v>348</v>
      </c>
      <c r="Q128" s="53">
        <v>80111600</v>
      </c>
      <c r="R128" s="162" t="s">
        <v>208</v>
      </c>
      <c r="S128" s="162" t="str">
        <f>MID(PAA[[#This Row],[Meta Proyecto de Inversión]],1,4)</f>
        <v>8126</v>
      </c>
      <c r="T128" s="162" t="str">
        <f>MID(PAA[[#This Row],[Meta Proyecto de Inversión]],6,1)</f>
        <v>9</v>
      </c>
      <c r="U128" s="163" t="str">
        <f>IFERROR(VLOOKUP(N128,TD!$B$50:$F$54,2,0)," ")</f>
        <v>O230117</v>
      </c>
      <c r="V128" s="163" t="str">
        <f>IFERROR(VLOOKUP(N128,TD!$B$50:$F$54,3,0)," ")</f>
        <v>4599</v>
      </c>
      <c r="W128" s="163">
        <f>IFERROR(VLOOKUP(N128,TD!$B$50:$F$54,4,0)," ")</f>
        <v>20240207</v>
      </c>
      <c r="X128" s="162" t="s">
        <v>174</v>
      </c>
      <c r="Y128" s="163" t="str">
        <f>IFERROR(VLOOKUP(X128,TD!$J$51:$K$64,2,0)," ")</f>
        <v>Infraestructura física, mantenimiento y dotación (Sedes construidas, mantenidas reforzadas)</v>
      </c>
      <c r="Z128" s="164" t="str">
        <f>CONCATENATE(X128,"-",Y128)</f>
        <v>08-Infraestructura física, mantenimiento y dotación (Sedes construidas, mantenidas reforzadas)</v>
      </c>
      <c r="AA128" s="162" t="s">
        <v>227</v>
      </c>
      <c r="AB128" s="163" t="str">
        <f>IFERROR(VLOOKUP(AA128,TD!$N$51:$O$66,2,0)," ")</f>
        <v>Sedes mantenidas</v>
      </c>
      <c r="AC128" s="164" t="str">
        <f>CONCATENATE(AA128,"_",AB128)</f>
        <v>016_Sedes mantenidas</v>
      </c>
      <c r="AD128" s="164" t="str">
        <f>CONCATENATE(Z128," ",AC128)</f>
        <v>08-Infraestructura física, mantenimiento y dotación (Sedes construidas, mantenidas reforzadas) 016_Sedes mantenidas</v>
      </c>
      <c r="AE128" s="163" t="str">
        <f>CONCATENATE(U128,V128,W128,X128,AA128)</f>
        <v>O23011745992024020708016</v>
      </c>
      <c r="AF128" s="163" t="str">
        <f>IFERROR(VLOOKUP(AD128,TD!$J$66:$K$89,2,0)," ")</f>
        <v>PM/0131/0108/45990160207</v>
      </c>
      <c r="AG128" s="118" t="s">
        <v>385</v>
      </c>
      <c r="AH128" s="162" t="s">
        <v>193</v>
      </c>
      <c r="AI128" s="165" t="str">
        <f>CONCATENATE(PAA[[#This Row],[Id Interno]],"-",PAA[[#This Row],[tipo de Contrato (TH talento humano - B/S bienes y/o servicios)]],"-",S128,"-",T128,"-",PAA[[#This Row],[Objeto de la contratación]])</f>
        <v>20260100-TH-8126-9-Prestar el servicio de apoyo técnico y operativo a la gestión de los procesos disciplinarios en la etapa de juzgamiento, mediante la ejecución de tareas administrativas, logísticas y de soporte documental en la Oficina Jurídica</v>
      </c>
    </row>
    <row r="129" spans="2:35" ht="56" x14ac:dyDescent="0.35">
      <c r="B129" s="23">
        <v>20260101</v>
      </c>
      <c r="C129" s="99" t="s">
        <v>617</v>
      </c>
      <c r="D129" s="23" t="s">
        <v>105</v>
      </c>
      <c r="E129" s="23" t="s">
        <v>363</v>
      </c>
      <c r="F129" s="159" t="s">
        <v>144</v>
      </c>
      <c r="G129" s="160" t="s">
        <v>374</v>
      </c>
      <c r="H129" s="161">
        <v>8</v>
      </c>
      <c r="I129" s="161">
        <v>0</v>
      </c>
      <c r="J129" s="127">
        <v>52000000</v>
      </c>
      <c r="K129" s="88" t="s">
        <v>398</v>
      </c>
      <c r="L129" s="159" t="s">
        <v>153</v>
      </c>
      <c r="M129" s="162" t="s">
        <v>420</v>
      </c>
      <c r="N129" s="23" t="s">
        <v>197</v>
      </c>
      <c r="O129" s="151" t="s">
        <v>945</v>
      </c>
      <c r="P129" s="159" t="s">
        <v>348</v>
      </c>
      <c r="Q129" s="53">
        <v>80111600</v>
      </c>
      <c r="R129" s="162" t="s">
        <v>208</v>
      </c>
      <c r="S129" s="162" t="str">
        <f>MID(PAA[[#This Row],[Meta Proyecto de Inversión]],1,4)</f>
        <v>8126</v>
      </c>
      <c r="T129" s="162" t="str">
        <f>MID(PAA[[#This Row],[Meta Proyecto de Inversión]],6,1)</f>
        <v>9</v>
      </c>
      <c r="U129" s="163" t="str">
        <f>IFERROR(VLOOKUP(N129,TD!$B$50:$F$54,2,0)," ")</f>
        <v>O230117</v>
      </c>
      <c r="V129" s="163" t="str">
        <f>IFERROR(VLOOKUP(N129,TD!$B$50:$F$54,3,0)," ")</f>
        <v>4599</v>
      </c>
      <c r="W129" s="163">
        <f>IFERROR(VLOOKUP(N129,TD!$B$50:$F$54,4,0)," ")</f>
        <v>20240207</v>
      </c>
      <c r="X129" s="162" t="s">
        <v>174</v>
      </c>
      <c r="Y129" s="163" t="str">
        <f>IFERROR(VLOOKUP(X129,TD!$J$51:$K$64,2,0)," ")</f>
        <v>Infraestructura física, mantenimiento y dotación (Sedes construidas, mantenidas reforzadas)</v>
      </c>
      <c r="Z129" s="164" t="str">
        <f>CONCATENATE(X129,"-",Y129)</f>
        <v>08-Infraestructura física, mantenimiento y dotación (Sedes construidas, mantenidas reforzadas)</v>
      </c>
      <c r="AA129" s="162" t="s">
        <v>227</v>
      </c>
      <c r="AB129" s="163" t="str">
        <f>IFERROR(VLOOKUP(AA129,TD!$N$51:$O$66,2,0)," ")</f>
        <v>Sedes mantenidas</v>
      </c>
      <c r="AC129" s="164" t="str">
        <f>CONCATENATE(AA129,"_",AB129)</f>
        <v>016_Sedes mantenidas</v>
      </c>
      <c r="AD129" s="164" t="str">
        <f>CONCATENATE(Z129," ",AC129)</f>
        <v>08-Infraestructura física, mantenimiento y dotación (Sedes construidas, mantenidas reforzadas) 016_Sedes mantenidas</v>
      </c>
      <c r="AE129" s="163" t="str">
        <f>CONCATENATE(U129,V129,W129,X129,AA129)</f>
        <v>O23011745992024020708016</v>
      </c>
      <c r="AF129" s="163" t="str">
        <f>IFERROR(VLOOKUP(AD129,TD!$J$66:$K$89,2,0)," ")</f>
        <v>PM/0131/0108/45990160207</v>
      </c>
      <c r="AG129" s="118" t="s">
        <v>385</v>
      </c>
      <c r="AH129" s="162" t="s">
        <v>193</v>
      </c>
      <c r="AI129" s="165" t="str">
        <f>CONCATENATE(PAA[[#This Row],[Id Interno]],"-",PAA[[#This Row],[tipo de Contrato (TH talento humano - B/S bienes y/o servicios)]],"-",S129,"-",T129,"-",PAA[[#This Row],[Objeto de la contratación]])</f>
        <v>20260101-TH-8126-9-Prestar servicios profesionales jurídicos para apoyar las actividades de defensa Judicial y de procesos penales que adelante la UAE Cuerpo Oficial de Bomberos de Bogotá</v>
      </c>
    </row>
    <row r="130" spans="2:35" ht="56" x14ac:dyDescent="0.35">
      <c r="B130" s="23">
        <v>20260102</v>
      </c>
      <c r="C130" s="99" t="s">
        <v>408</v>
      </c>
      <c r="D130" s="23" t="s">
        <v>105</v>
      </c>
      <c r="E130" s="23" t="s">
        <v>363</v>
      </c>
      <c r="F130" s="159" t="s">
        <v>144</v>
      </c>
      <c r="G130" s="160" t="s">
        <v>374</v>
      </c>
      <c r="H130" s="161">
        <v>9</v>
      </c>
      <c r="I130" s="161">
        <v>0</v>
      </c>
      <c r="J130" s="127">
        <v>67500000</v>
      </c>
      <c r="K130" s="88" t="s">
        <v>398</v>
      </c>
      <c r="L130" s="159" t="s">
        <v>153</v>
      </c>
      <c r="M130" s="162" t="s">
        <v>420</v>
      </c>
      <c r="N130" s="23" t="s">
        <v>197</v>
      </c>
      <c r="O130" s="151" t="s">
        <v>945</v>
      </c>
      <c r="P130" s="159" t="s">
        <v>348</v>
      </c>
      <c r="Q130" s="53">
        <v>80111600</v>
      </c>
      <c r="R130" s="162" t="s">
        <v>208</v>
      </c>
      <c r="S130" s="162" t="str">
        <f>MID(PAA[[#This Row],[Meta Proyecto de Inversión]],1,4)</f>
        <v>8126</v>
      </c>
      <c r="T130" s="162" t="str">
        <f>MID(PAA[[#This Row],[Meta Proyecto de Inversión]],6,1)</f>
        <v>9</v>
      </c>
      <c r="U130" s="163" t="str">
        <f>IFERROR(VLOOKUP(N130,TD!$B$50:$F$54,2,0)," ")</f>
        <v>O230117</v>
      </c>
      <c r="V130" s="163" t="str">
        <f>IFERROR(VLOOKUP(N130,TD!$B$50:$F$54,3,0)," ")</f>
        <v>4599</v>
      </c>
      <c r="W130" s="163">
        <f>IFERROR(VLOOKUP(N130,TD!$B$50:$F$54,4,0)," ")</f>
        <v>20240207</v>
      </c>
      <c r="X130" s="162" t="s">
        <v>174</v>
      </c>
      <c r="Y130" s="163" t="str">
        <f>IFERROR(VLOOKUP(X130,TD!$J$51:$K$64,2,0)," ")</f>
        <v>Infraestructura física, mantenimiento y dotación (Sedes construidas, mantenidas reforzadas)</v>
      </c>
      <c r="Z130" s="164" t="str">
        <f>CONCATENATE(X130,"-",Y130)</f>
        <v>08-Infraestructura física, mantenimiento y dotación (Sedes construidas, mantenidas reforzadas)</v>
      </c>
      <c r="AA130" s="162" t="s">
        <v>227</v>
      </c>
      <c r="AB130" s="163" t="str">
        <f>IFERROR(VLOOKUP(AA130,TD!$N$51:$O$66,2,0)," ")</f>
        <v>Sedes mantenidas</v>
      </c>
      <c r="AC130" s="164" t="str">
        <f>CONCATENATE(AA130,"_",AB130)</f>
        <v>016_Sedes mantenidas</v>
      </c>
      <c r="AD130" s="164" t="str">
        <f>CONCATENATE(Z130," ",AC130)</f>
        <v>08-Infraestructura física, mantenimiento y dotación (Sedes construidas, mantenidas reforzadas) 016_Sedes mantenidas</v>
      </c>
      <c r="AE130" s="163" t="str">
        <f>CONCATENATE(U130,V130,W130,X130,AA130)</f>
        <v>O23011745992024020708016</v>
      </c>
      <c r="AF130" s="163" t="str">
        <f>IFERROR(VLOOKUP(AD130,TD!$J$66:$K$89,2,0)," ")</f>
        <v>PM/0131/0108/45990160207</v>
      </c>
      <c r="AG130" s="118" t="s">
        <v>385</v>
      </c>
      <c r="AH130" s="162" t="s">
        <v>193</v>
      </c>
      <c r="AI130" s="165" t="str">
        <f>CONCATENATE(PAA[[#This Row],[Id Interno]],"-",PAA[[#This Row],[tipo de Contrato (TH talento humano - B/S bienes y/o servicios)]],"-",S130,"-",T130,"-",PAA[[#This Row],[Objeto de la contratación]])</f>
        <v>20260102-TH-8126-9-Prestar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31" spans="2:35" ht="56" x14ac:dyDescent="0.35">
      <c r="B131" s="23">
        <v>20260103</v>
      </c>
      <c r="C131" s="99" t="s">
        <v>410</v>
      </c>
      <c r="D131" s="23" t="s">
        <v>105</v>
      </c>
      <c r="E131" s="23" t="s">
        <v>363</v>
      </c>
      <c r="F131" s="159" t="s">
        <v>144</v>
      </c>
      <c r="G131" s="160" t="s">
        <v>374</v>
      </c>
      <c r="H131" s="161">
        <v>8</v>
      </c>
      <c r="I131" s="161">
        <v>0</v>
      </c>
      <c r="J131" s="127">
        <v>53600000</v>
      </c>
      <c r="K131" s="88" t="s">
        <v>398</v>
      </c>
      <c r="L131" s="159" t="s">
        <v>153</v>
      </c>
      <c r="M131" s="162" t="s">
        <v>420</v>
      </c>
      <c r="N131" s="23" t="s">
        <v>197</v>
      </c>
      <c r="O131" s="151" t="s">
        <v>945</v>
      </c>
      <c r="P131" s="159" t="s">
        <v>348</v>
      </c>
      <c r="Q131" s="53">
        <v>80111600</v>
      </c>
      <c r="R131" s="162" t="s">
        <v>208</v>
      </c>
      <c r="S131" s="162" t="str">
        <f>MID(PAA[[#This Row],[Meta Proyecto de Inversión]],1,4)</f>
        <v>8126</v>
      </c>
      <c r="T131" s="162" t="str">
        <f>MID(PAA[[#This Row],[Meta Proyecto de Inversión]],6,1)</f>
        <v>9</v>
      </c>
      <c r="U131" s="163" t="str">
        <f>IFERROR(VLOOKUP(N131,TD!$B$50:$F$54,2,0)," ")</f>
        <v>O230117</v>
      </c>
      <c r="V131" s="163" t="str">
        <f>IFERROR(VLOOKUP(N131,TD!$B$50:$F$54,3,0)," ")</f>
        <v>4599</v>
      </c>
      <c r="W131" s="163">
        <f>IFERROR(VLOOKUP(N131,TD!$B$50:$F$54,4,0)," ")</f>
        <v>20240207</v>
      </c>
      <c r="X131" s="162" t="s">
        <v>174</v>
      </c>
      <c r="Y131" s="163" t="str">
        <f>IFERROR(VLOOKUP(X131,TD!$J$51:$K$64,2,0)," ")</f>
        <v>Infraestructura física, mantenimiento y dotación (Sedes construidas, mantenidas reforzadas)</v>
      </c>
      <c r="Z131" s="164" t="str">
        <f>CONCATENATE(X131,"-",Y131)</f>
        <v>08-Infraestructura física, mantenimiento y dotación (Sedes construidas, mantenidas reforzadas)</v>
      </c>
      <c r="AA131" s="162" t="s">
        <v>227</v>
      </c>
      <c r="AB131" s="163" t="str">
        <f>IFERROR(VLOOKUP(AA131,TD!$N$51:$O$66,2,0)," ")</f>
        <v>Sedes mantenidas</v>
      </c>
      <c r="AC131" s="164" t="str">
        <f>CONCATENATE(AA131,"_",AB131)</f>
        <v>016_Sedes mantenidas</v>
      </c>
      <c r="AD131" s="164" t="str">
        <f>CONCATENATE(Z131," ",AC131)</f>
        <v>08-Infraestructura física, mantenimiento y dotación (Sedes construidas, mantenidas reforzadas) 016_Sedes mantenidas</v>
      </c>
      <c r="AE131" s="163" t="str">
        <f>CONCATENATE(U131,V131,W131,X131,AA131)</f>
        <v>O23011745992024020708016</v>
      </c>
      <c r="AF131" s="163" t="str">
        <f>IFERROR(VLOOKUP(AD131,TD!$J$66:$K$89,2,0)," ")</f>
        <v>PM/0131/0108/45990160207</v>
      </c>
      <c r="AG131" s="118" t="s">
        <v>385</v>
      </c>
      <c r="AH131" s="162" t="s">
        <v>193</v>
      </c>
      <c r="AI131" s="165" t="str">
        <f>CONCATENATE(PAA[[#This Row],[Id Interno]],"-",PAA[[#This Row],[tipo de Contrato (TH talento humano - B/S bienes y/o servicios)]],"-",S131,"-",T131,"-",PAA[[#This Row],[Objeto de la contratación]])</f>
        <v>20260103-TH-8126-9-Prestar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32" spans="2:35" ht="56" x14ac:dyDescent="0.35">
      <c r="B132" s="23">
        <v>20260104</v>
      </c>
      <c r="C132" s="99" t="s">
        <v>410</v>
      </c>
      <c r="D132" s="23" t="s">
        <v>105</v>
      </c>
      <c r="E132" s="23" t="s">
        <v>363</v>
      </c>
      <c r="F132" s="159" t="s">
        <v>144</v>
      </c>
      <c r="G132" s="160" t="s">
        <v>374</v>
      </c>
      <c r="H132" s="161">
        <v>4</v>
      </c>
      <c r="I132" s="161">
        <v>0</v>
      </c>
      <c r="J132" s="127">
        <v>24800000</v>
      </c>
      <c r="K132" s="88" t="s">
        <v>398</v>
      </c>
      <c r="L132" s="159" t="s">
        <v>153</v>
      </c>
      <c r="M132" s="162" t="s">
        <v>420</v>
      </c>
      <c r="N132" s="23" t="s">
        <v>197</v>
      </c>
      <c r="O132" s="151" t="s">
        <v>945</v>
      </c>
      <c r="P132" s="159" t="s">
        <v>348</v>
      </c>
      <c r="Q132" s="53">
        <v>80111600</v>
      </c>
      <c r="R132" s="162" t="s">
        <v>208</v>
      </c>
      <c r="S132" s="162" t="str">
        <f>MID(PAA[[#This Row],[Meta Proyecto de Inversión]],1,4)</f>
        <v>8126</v>
      </c>
      <c r="T132" s="162" t="str">
        <f>MID(PAA[[#This Row],[Meta Proyecto de Inversión]],6,1)</f>
        <v>9</v>
      </c>
      <c r="U132" s="163" t="str">
        <f>IFERROR(VLOOKUP(N132,TD!$B$50:$F$54,2,0)," ")</f>
        <v>O230117</v>
      </c>
      <c r="V132" s="163" t="str">
        <f>IFERROR(VLOOKUP(N132,TD!$B$50:$F$54,3,0)," ")</f>
        <v>4599</v>
      </c>
      <c r="W132" s="163">
        <f>IFERROR(VLOOKUP(N132,TD!$B$50:$F$54,4,0)," ")</f>
        <v>20240207</v>
      </c>
      <c r="X132" s="162" t="s">
        <v>174</v>
      </c>
      <c r="Y132" s="163" t="str">
        <f>IFERROR(VLOOKUP(X132,TD!$J$51:$K$64,2,0)," ")</f>
        <v>Infraestructura física, mantenimiento y dotación (Sedes construidas, mantenidas reforzadas)</v>
      </c>
      <c r="Z132" s="164" t="str">
        <f>CONCATENATE(X132,"-",Y132)</f>
        <v>08-Infraestructura física, mantenimiento y dotación (Sedes construidas, mantenidas reforzadas)</v>
      </c>
      <c r="AA132" s="162" t="s">
        <v>227</v>
      </c>
      <c r="AB132" s="163" t="str">
        <f>IFERROR(VLOOKUP(AA132,TD!$N$51:$O$66,2,0)," ")</f>
        <v>Sedes mantenidas</v>
      </c>
      <c r="AC132" s="164" t="str">
        <f>CONCATENATE(AA132,"_",AB132)</f>
        <v>016_Sedes mantenidas</v>
      </c>
      <c r="AD132" s="164" t="str">
        <f>CONCATENATE(Z132," ",AC132)</f>
        <v>08-Infraestructura física, mantenimiento y dotación (Sedes construidas, mantenidas reforzadas) 016_Sedes mantenidas</v>
      </c>
      <c r="AE132" s="163" t="str">
        <f>CONCATENATE(U132,V132,W132,X132,AA132)</f>
        <v>O23011745992024020708016</v>
      </c>
      <c r="AF132" s="163" t="str">
        <f>IFERROR(VLOOKUP(AD132,TD!$J$66:$K$89,2,0)," ")</f>
        <v>PM/0131/0108/45990160207</v>
      </c>
      <c r="AG132" s="118" t="s">
        <v>385</v>
      </c>
      <c r="AH132" s="162" t="s">
        <v>193</v>
      </c>
      <c r="AI132" s="165" t="str">
        <f>CONCATENATE(PAA[[#This Row],[Id Interno]],"-",PAA[[#This Row],[tipo de Contrato (TH talento humano - B/S bienes y/o servicios)]],"-",S132,"-",T132,"-",PAA[[#This Row],[Objeto de la contratación]])</f>
        <v>20260104-TH-8126-9-Prestar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33" spans="2:35" ht="56" x14ac:dyDescent="0.35">
      <c r="B133" s="23">
        <v>20260105</v>
      </c>
      <c r="C133" s="99" t="s">
        <v>410</v>
      </c>
      <c r="D133" s="23" t="s">
        <v>105</v>
      </c>
      <c r="E133" s="23" t="s">
        <v>363</v>
      </c>
      <c r="F133" s="159" t="s">
        <v>144</v>
      </c>
      <c r="G133" s="160" t="s">
        <v>374</v>
      </c>
      <c r="H133" s="161">
        <v>8</v>
      </c>
      <c r="I133" s="161">
        <v>0</v>
      </c>
      <c r="J133" s="127">
        <v>53600000</v>
      </c>
      <c r="K133" s="88" t="s">
        <v>398</v>
      </c>
      <c r="L133" s="159" t="s">
        <v>153</v>
      </c>
      <c r="M133" s="162" t="s">
        <v>420</v>
      </c>
      <c r="N133" s="23" t="s">
        <v>197</v>
      </c>
      <c r="O133" s="151" t="s">
        <v>945</v>
      </c>
      <c r="P133" s="159" t="s">
        <v>348</v>
      </c>
      <c r="Q133" s="53">
        <v>80111600</v>
      </c>
      <c r="R133" s="162" t="s">
        <v>208</v>
      </c>
      <c r="S133" s="162" t="str">
        <f>MID(PAA[[#This Row],[Meta Proyecto de Inversión]],1,4)</f>
        <v>8126</v>
      </c>
      <c r="T133" s="162" t="str">
        <f>MID(PAA[[#This Row],[Meta Proyecto de Inversión]],6,1)</f>
        <v>9</v>
      </c>
      <c r="U133" s="163" t="str">
        <f>IFERROR(VLOOKUP(N133,TD!$B$50:$F$54,2,0)," ")</f>
        <v>O230117</v>
      </c>
      <c r="V133" s="163" t="str">
        <f>IFERROR(VLOOKUP(N133,TD!$B$50:$F$54,3,0)," ")</f>
        <v>4599</v>
      </c>
      <c r="W133" s="163">
        <f>IFERROR(VLOOKUP(N133,TD!$B$50:$F$54,4,0)," ")</f>
        <v>20240207</v>
      </c>
      <c r="X133" s="162" t="s">
        <v>174</v>
      </c>
      <c r="Y133" s="163" t="str">
        <f>IFERROR(VLOOKUP(X133,TD!$J$51:$K$64,2,0)," ")</f>
        <v>Infraestructura física, mantenimiento y dotación (Sedes construidas, mantenidas reforzadas)</v>
      </c>
      <c r="Z133" s="164" t="str">
        <f>CONCATENATE(X133,"-",Y133)</f>
        <v>08-Infraestructura física, mantenimiento y dotación (Sedes construidas, mantenidas reforzadas)</v>
      </c>
      <c r="AA133" s="162" t="s">
        <v>227</v>
      </c>
      <c r="AB133" s="163" t="str">
        <f>IFERROR(VLOOKUP(AA133,TD!$N$51:$O$66,2,0)," ")</f>
        <v>Sedes mantenidas</v>
      </c>
      <c r="AC133" s="164" t="str">
        <f>CONCATENATE(AA133,"_",AB133)</f>
        <v>016_Sedes mantenidas</v>
      </c>
      <c r="AD133" s="164" t="str">
        <f>CONCATENATE(Z133," ",AC133)</f>
        <v>08-Infraestructura física, mantenimiento y dotación (Sedes construidas, mantenidas reforzadas) 016_Sedes mantenidas</v>
      </c>
      <c r="AE133" s="163" t="str">
        <f>CONCATENATE(U133,V133,W133,X133,AA133)</f>
        <v>O23011745992024020708016</v>
      </c>
      <c r="AF133" s="163" t="str">
        <f>IFERROR(VLOOKUP(AD133,TD!$J$66:$K$89,2,0)," ")</f>
        <v>PM/0131/0108/45990160207</v>
      </c>
      <c r="AG133" s="118" t="s">
        <v>385</v>
      </c>
      <c r="AH133" s="162" t="s">
        <v>193</v>
      </c>
      <c r="AI133" s="165" t="str">
        <f>CONCATENATE(PAA[[#This Row],[Id Interno]],"-",PAA[[#This Row],[tipo de Contrato (TH talento humano - B/S bienes y/o servicios)]],"-",S133,"-",T133,"-",PAA[[#This Row],[Objeto de la contratación]])</f>
        <v>20260105-TH-8126-9-Prestar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34" spans="2:35" ht="98" x14ac:dyDescent="0.35">
      <c r="B134" s="23">
        <v>20260106</v>
      </c>
      <c r="C134" s="99" t="s">
        <v>404</v>
      </c>
      <c r="D134" s="23" t="s">
        <v>105</v>
      </c>
      <c r="E134" s="23" t="s">
        <v>363</v>
      </c>
      <c r="F134" s="159" t="s">
        <v>144</v>
      </c>
      <c r="G134" s="160" t="s">
        <v>374</v>
      </c>
      <c r="H134" s="161">
        <v>9</v>
      </c>
      <c r="I134" s="161">
        <v>0</v>
      </c>
      <c r="J134" s="127">
        <v>94500000</v>
      </c>
      <c r="K134" s="88" t="s">
        <v>398</v>
      </c>
      <c r="L134" s="159" t="s">
        <v>153</v>
      </c>
      <c r="M134" s="162" t="s">
        <v>420</v>
      </c>
      <c r="N134" s="23" t="s">
        <v>197</v>
      </c>
      <c r="O134" s="151" t="s">
        <v>945</v>
      </c>
      <c r="P134" s="159" t="s">
        <v>348</v>
      </c>
      <c r="Q134" s="53">
        <v>80111600</v>
      </c>
      <c r="R134" s="162" t="s">
        <v>208</v>
      </c>
      <c r="S134" s="162" t="str">
        <f>MID(PAA[[#This Row],[Meta Proyecto de Inversión]],1,4)</f>
        <v>8126</v>
      </c>
      <c r="T134" s="162" t="str">
        <f>MID(PAA[[#This Row],[Meta Proyecto de Inversión]],6,1)</f>
        <v>9</v>
      </c>
      <c r="U134" s="163" t="str">
        <f>IFERROR(VLOOKUP(N134,TD!$B$50:$F$54,2,0)," ")</f>
        <v>O230117</v>
      </c>
      <c r="V134" s="163" t="str">
        <f>IFERROR(VLOOKUP(N134,TD!$B$50:$F$54,3,0)," ")</f>
        <v>4599</v>
      </c>
      <c r="W134" s="163">
        <f>IFERROR(VLOOKUP(N134,TD!$B$50:$F$54,4,0)," ")</f>
        <v>20240207</v>
      </c>
      <c r="X134" s="162" t="s">
        <v>174</v>
      </c>
      <c r="Y134" s="163" t="str">
        <f>IFERROR(VLOOKUP(X134,TD!$J$51:$K$64,2,0)," ")</f>
        <v>Infraestructura física, mantenimiento y dotación (Sedes construidas, mantenidas reforzadas)</v>
      </c>
      <c r="Z134" s="164" t="str">
        <f>CONCATENATE(X134,"-",Y134)</f>
        <v>08-Infraestructura física, mantenimiento y dotación (Sedes construidas, mantenidas reforzadas)</v>
      </c>
      <c r="AA134" s="162" t="s">
        <v>227</v>
      </c>
      <c r="AB134" s="163" t="str">
        <f>IFERROR(VLOOKUP(AA134,TD!$N$51:$O$66,2,0)," ")</f>
        <v>Sedes mantenidas</v>
      </c>
      <c r="AC134" s="164" t="str">
        <f>CONCATENATE(AA134,"_",AB134)</f>
        <v>016_Sedes mantenidas</v>
      </c>
      <c r="AD134" s="164" t="str">
        <f>CONCATENATE(Z134," ",AC134)</f>
        <v>08-Infraestructura física, mantenimiento y dotación (Sedes construidas, mantenidas reforzadas) 016_Sedes mantenidas</v>
      </c>
      <c r="AE134" s="163" t="str">
        <f>CONCATENATE(U134,V134,W134,X134,AA134)</f>
        <v>O23011745992024020708016</v>
      </c>
      <c r="AF134" s="163" t="str">
        <f>IFERROR(VLOOKUP(AD134,TD!$J$66:$K$89,2,0)," ")</f>
        <v>PM/0131/0108/45990160207</v>
      </c>
      <c r="AG134" s="118" t="s">
        <v>385</v>
      </c>
      <c r="AH134" s="162" t="s">
        <v>193</v>
      </c>
      <c r="AI134" s="165" t="str">
        <f>CONCATENATE(PAA[[#This Row],[Id Interno]],"-",PAA[[#This Row],[tipo de Contrato (TH talento humano - B/S bienes y/o servicios)]],"-",S134,"-",T134,"-",PAA[[#This Row],[Objeto de la contratación]])</f>
        <v>20260106-TH-8126-9-Prestar los servicios profesionales jurídicos especializados en la Oficina Jurídica que garantice la verificación de la legalidad, en apoyo a cada una de las actuaciones a cargo de esta Oficina.</v>
      </c>
    </row>
    <row r="135" spans="2:35" ht="98" x14ac:dyDescent="0.35">
      <c r="B135" s="23">
        <v>20260107</v>
      </c>
      <c r="C135" s="99" t="s">
        <v>405</v>
      </c>
      <c r="D135" s="23" t="s">
        <v>105</v>
      </c>
      <c r="E135" s="23" t="s">
        <v>363</v>
      </c>
      <c r="F135" s="159" t="s">
        <v>144</v>
      </c>
      <c r="G135" s="160" t="s">
        <v>374</v>
      </c>
      <c r="H135" s="161">
        <v>8</v>
      </c>
      <c r="I135" s="161">
        <v>0</v>
      </c>
      <c r="J135" s="127">
        <v>77200000</v>
      </c>
      <c r="K135" s="88" t="s">
        <v>398</v>
      </c>
      <c r="L135" s="159" t="s">
        <v>153</v>
      </c>
      <c r="M135" s="162" t="s">
        <v>420</v>
      </c>
      <c r="N135" s="23" t="s">
        <v>197</v>
      </c>
      <c r="O135" s="151" t="s">
        <v>945</v>
      </c>
      <c r="P135" s="159" t="s">
        <v>348</v>
      </c>
      <c r="Q135" s="53">
        <v>80111600</v>
      </c>
      <c r="R135" s="162" t="s">
        <v>208</v>
      </c>
      <c r="S135" s="162" t="str">
        <f>MID(PAA[[#This Row],[Meta Proyecto de Inversión]],1,4)</f>
        <v>8126</v>
      </c>
      <c r="T135" s="162" t="str">
        <f>MID(PAA[[#This Row],[Meta Proyecto de Inversión]],6,1)</f>
        <v>9</v>
      </c>
      <c r="U135" s="163" t="str">
        <f>IFERROR(VLOOKUP(N135,TD!$B$50:$F$54,2,0)," ")</f>
        <v>O230117</v>
      </c>
      <c r="V135" s="163" t="str">
        <f>IFERROR(VLOOKUP(N135,TD!$B$50:$F$54,3,0)," ")</f>
        <v>4599</v>
      </c>
      <c r="W135" s="163">
        <f>IFERROR(VLOOKUP(N135,TD!$B$50:$F$54,4,0)," ")</f>
        <v>20240207</v>
      </c>
      <c r="X135" s="162" t="s">
        <v>174</v>
      </c>
      <c r="Y135" s="163" t="str">
        <f>IFERROR(VLOOKUP(X135,TD!$J$51:$K$64,2,0)," ")</f>
        <v>Infraestructura física, mantenimiento y dotación (Sedes construidas, mantenidas reforzadas)</v>
      </c>
      <c r="Z135" s="164" t="str">
        <f>CONCATENATE(X135,"-",Y135)</f>
        <v>08-Infraestructura física, mantenimiento y dotación (Sedes construidas, mantenidas reforzadas)</v>
      </c>
      <c r="AA135" s="162" t="s">
        <v>227</v>
      </c>
      <c r="AB135" s="163" t="str">
        <f>IFERROR(VLOOKUP(AA135,TD!$N$51:$O$66,2,0)," ")</f>
        <v>Sedes mantenidas</v>
      </c>
      <c r="AC135" s="164" t="str">
        <f>CONCATENATE(AA135,"_",AB135)</f>
        <v>016_Sedes mantenidas</v>
      </c>
      <c r="AD135" s="164" t="str">
        <f>CONCATENATE(Z135," ",AC135)</f>
        <v>08-Infraestructura física, mantenimiento y dotación (Sedes construidas, mantenidas reforzadas) 016_Sedes mantenidas</v>
      </c>
      <c r="AE135" s="163" t="str">
        <f>CONCATENATE(U135,V135,W135,X135,AA135)</f>
        <v>O23011745992024020708016</v>
      </c>
      <c r="AF135" s="163" t="str">
        <f>IFERROR(VLOOKUP(AD135,TD!$J$66:$K$89,2,0)," ")</f>
        <v>PM/0131/0108/45990160207</v>
      </c>
      <c r="AG135" s="118" t="s">
        <v>385</v>
      </c>
      <c r="AH135" s="162" t="s">
        <v>193</v>
      </c>
      <c r="AI135" s="165" t="str">
        <f>CONCATENATE(PAA[[#This Row],[Id Interno]],"-",PAA[[#This Row],[tipo de Contrato (TH talento humano - B/S bienes y/o servicios)]],"-",S135,"-",T135,"-",PAA[[#This Row],[Objeto de la contratación]])</f>
        <v>20260107-TH-8126-9-Prestar servicios profesionales para apoyar en la estructuración de las acciones de mejora, seguimiento  a la gestión contractual de la Entidad y demás procedimientos, en el marco de las funciones de la Oficina Jurídica</v>
      </c>
    </row>
    <row r="136" spans="2:35" ht="84" x14ac:dyDescent="0.35">
      <c r="B136" s="23">
        <v>20260108</v>
      </c>
      <c r="C136" s="99" t="s">
        <v>406</v>
      </c>
      <c r="D136" s="23" t="s">
        <v>105</v>
      </c>
      <c r="E136" s="23" t="s">
        <v>363</v>
      </c>
      <c r="F136" s="159" t="s">
        <v>144</v>
      </c>
      <c r="G136" s="160" t="s">
        <v>374</v>
      </c>
      <c r="H136" s="161">
        <v>8</v>
      </c>
      <c r="I136" s="161">
        <v>0</v>
      </c>
      <c r="J136" s="127">
        <v>52000000</v>
      </c>
      <c r="K136" s="88" t="s">
        <v>398</v>
      </c>
      <c r="L136" s="159" t="s">
        <v>153</v>
      </c>
      <c r="M136" s="162" t="s">
        <v>420</v>
      </c>
      <c r="N136" s="23" t="s">
        <v>197</v>
      </c>
      <c r="O136" s="151" t="s">
        <v>945</v>
      </c>
      <c r="P136" s="159" t="s">
        <v>348</v>
      </c>
      <c r="Q136" s="53">
        <v>80111600</v>
      </c>
      <c r="R136" s="162" t="s">
        <v>208</v>
      </c>
      <c r="S136" s="162" t="str">
        <f>MID(PAA[[#This Row],[Meta Proyecto de Inversión]],1,4)</f>
        <v>8126</v>
      </c>
      <c r="T136" s="162" t="str">
        <f>MID(PAA[[#This Row],[Meta Proyecto de Inversión]],6,1)</f>
        <v>9</v>
      </c>
      <c r="U136" s="163" t="str">
        <f>IFERROR(VLOOKUP(N136,TD!$B$50:$F$54,2,0)," ")</f>
        <v>O230117</v>
      </c>
      <c r="V136" s="163" t="str">
        <f>IFERROR(VLOOKUP(N136,TD!$B$50:$F$54,3,0)," ")</f>
        <v>4599</v>
      </c>
      <c r="W136" s="163">
        <f>IFERROR(VLOOKUP(N136,TD!$B$50:$F$54,4,0)," ")</f>
        <v>20240207</v>
      </c>
      <c r="X136" s="162" t="s">
        <v>174</v>
      </c>
      <c r="Y136" s="163" t="str">
        <f>IFERROR(VLOOKUP(X136,TD!$J$51:$K$64,2,0)," ")</f>
        <v>Infraestructura física, mantenimiento y dotación (Sedes construidas, mantenidas reforzadas)</v>
      </c>
      <c r="Z136" s="164" t="str">
        <f>CONCATENATE(X136,"-",Y136)</f>
        <v>08-Infraestructura física, mantenimiento y dotación (Sedes construidas, mantenidas reforzadas)</v>
      </c>
      <c r="AA136" s="162" t="s">
        <v>227</v>
      </c>
      <c r="AB136" s="163" t="str">
        <f>IFERROR(VLOOKUP(AA136,TD!$N$51:$O$66,2,0)," ")</f>
        <v>Sedes mantenidas</v>
      </c>
      <c r="AC136" s="164" t="str">
        <f>CONCATENATE(AA136,"_",AB136)</f>
        <v>016_Sedes mantenidas</v>
      </c>
      <c r="AD136" s="164" t="str">
        <f>CONCATENATE(Z136," ",AC136)</f>
        <v>08-Infraestructura física, mantenimiento y dotación (Sedes construidas, mantenidas reforzadas) 016_Sedes mantenidas</v>
      </c>
      <c r="AE136" s="163" t="str">
        <f>CONCATENATE(U136,V136,W136,X136,AA136)</f>
        <v>O23011745992024020708016</v>
      </c>
      <c r="AF136" s="163" t="str">
        <f>IFERROR(VLOOKUP(AD136,TD!$J$66:$K$89,2,0)," ")</f>
        <v>PM/0131/0108/45990160207</v>
      </c>
      <c r="AG136" s="118" t="s">
        <v>385</v>
      </c>
      <c r="AH136" s="162" t="s">
        <v>193</v>
      </c>
      <c r="AI136" s="165" t="str">
        <f>CONCATENATE(PAA[[#This Row],[Id Interno]],"-",PAA[[#This Row],[tipo de Contrato (TH talento humano - B/S bienes y/o servicios)]],"-",S136,"-",T136,"-",PAA[[#This Row],[Objeto de la contratación]])</f>
        <v>20260108-TH-8126-9-Prestar servicios profesionales para apoyar en la estructuración de las acciones de mejora, elaboración de informes y soporte de las funciones administrativas y de mejora</v>
      </c>
    </row>
    <row r="137" spans="2:35" ht="98" x14ac:dyDescent="0.35">
      <c r="B137" s="23">
        <v>20260110</v>
      </c>
      <c r="C137" s="99" t="s">
        <v>408</v>
      </c>
      <c r="D137" s="23" t="s">
        <v>105</v>
      </c>
      <c r="E137" s="23" t="s">
        <v>363</v>
      </c>
      <c r="F137" s="159" t="s">
        <v>144</v>
      </c>
      <c r="G137" s="160" t="s">
        <v>374</v>
      </c>
      <c r="H137" s="161">
        <v>9</v>
      </c>
      <c r="I137" s="161">
        <v>0</v>
      </c>
      <c r="J137" s="127">
        <v>76500000</v>
      </c>
      <c r="K137" s="88" t="s">
        <v>398</v>
      </c>
      <c r="L137" s="159" t="s">
        <v>153</v>
      </c>
      <c r="M137" s="162" t="s">
        <v>420</v>
      </c>
      <c r="N137" s="23" t="s">
        <v>197</v>
      </c>
      <c r="O137" s="151" t="s">
        <v>945</v>
      </c>
      <c r="P137" s="159" t="s">
        <v>348</v>
      </c>
      <c r="Q137" s="53">
        <v>80111600</v>
      </c>
      <c r="R137" s="162" t="s">
        <v>208</v>
      </c>
      <c r="S137" s="162" t="str">
        <f>MID(PAA[[#This Row],[Meta Proyecto de Inversión]],1,4)</f>
        <v>8126</v>
      </c>
      <c r="T137" s="162" t="str">
        <f>MID(PAA[[#This Row],[Meta Proyecto de Inversión]],6,1)</f>
        <v>9</v>
      </c>
      <c r="U137" s="163" t="str">
        <f>IFERROR(VLOOKUP(N137,TD!$B$50:$F$54,2,0)," ")</f>
        <v>O230117</v>
      </c>
      <c r="V137" s="163" t="str">
        <f>IFERROR(VLOOKUP(N137,TD!$B$50:$F$54,3,0)," ")</f>
        <v>4599</v>
      </c>
      <c r="W137" s="163">
        <f>IFERROR(VLOOKUP(N137,TD!$B$50:$F$54,4,0)," ")</f>
        <v>20240207</v>
      </c>
      <c r="X137" s="162" t="s">
        <v>174</v>
      </c>
      <c r="Y137" s="163" t="str">
        <f>IFERROR(VLOOKUP(X137,TD!$J$51:$K$64,2,0)," ")</f>
        <v>Infraestructura física, mantenimiento y dotación (Sedes construidas, mantenidas reforzadas)</v>
      </c>
      <c r="Z137" s="164" t="str">
        <f>CONCATENATE(X137,"-",Y137)</f>
        <v>08-Infraestructura física, mantenimiento y dotación (Sedes construidas, mantenidas reforzadas)</v>
      </c>
      <c r="AA137" s="162" t="s">
        <v>227</v>
      </c>
      <c r="AB137" s="163" t="str">
        <f>IFERROR(VLOOKUP(AA137,TD!$N$51:$O$66,2,0)," ")</f>
        <v>Sedes mantenidas</v>
      </c>
      <c r="AC137" s="164" t="str">
        <f>CONCATENATE(AA137,"_",AB137)</f>
        <v>016_Sedes mantenidas</v>
      </c>
      <c r="AD137" s="164" t="str">
        <f>CONCATENATE(Z137," ",AC137)</f>
        <v>08-Infraestructura física, mantenimiento y dotación (Sedes construidas, mantenidas reforzadas) 016_Sedes mantenidas</v>
      </c>
      <c r="AE137" s="163" t="str">
        <f>CONCATENATE(U137,V137,W137,X137,AA137)</f>
        <v>O23011745992024020708016</v>
      </c>
      <c r="AF137" s="163" t="str">
        <f>IFERROR(VLOOKUP(AD137,TD!$J$66:$K$89,2,0)," ")</f>
        <v>PM/0131/0108/45990160207</v>
      </c>
      <c r="AG137" s="118" t="s">
        <v>385</v>
      </c>
      <c r="AH137" s="162" t="s">
        <v>193</v>
      </c>
      <c r="AI137" s="165" t="str">
        <f>CONCATENATE(PAA[[#This Row],[Id Interno]],"-",PAA[[#This Row],[tipo de Contrato (TH talento humano - B/S bienes y/o servicios)]],"-",S137,"-",T137,"-",PAA[[#This Row],[Objeto de la contratación]])</f>
        <v>20260110-TH-8126-9-Prestar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38" spans="2:35" ht="98" x14ac:dyDescent="0.35">
      <c r="B138" s="23">
        <v>20260111</v>
      </c>
      <c r="C138" s="99" t="s">
        <v>408</v>
      </c>
      <c r="D138" s="23" t="s">
        <v>105</v>
      </c>
      <c r="E138" s="23" t="s">
        <v>363</v>
      </c>
      <c r="F138" s="159" t="s">
        <v>144</v>
      </c>
      <c r="G138" s="160" t="s">
        <v>374</v>
      </c>
      <c r="H138" s="161">
        <v>9</v>
      </c>
      <c r="I138" s="161">
        <v>0</v>
      </c>
      <c r="J138" s="127">
        <v>76500000</v>
      </c>
      <c r="K138" s="88" t="s">
        <v>398</v>
      </c>
      <c r="L138" s="159" t="s">
        <v>153</v>
      </c>
      <c r="M138" s="162" t="s">
        <v>420</v>
      </c>
      <c r="N138" s="23" t="s">
        <v>197</v>
      </c>
      <c r="O138" s="151" t="s">
        <v>945</v>
      </c>
      <c r="P138" s="159" t="s">
        <v>348</v>
      </c>
      <c r="Q138" s="53">
        <v>80111600</v>
      </c>
      <c r="R138" s="162" t="s">
        <v>208</v>
      </c>
      <c r="S138" s="162" t="str">
        <f>MID(PAA[[#This Row],[Meta Proyecto de Inversión]],1,4)</f>
        <v>8126</v>
      </c>
      <c r="T138" s="162" t="str">
        <f>MID(PAA[[#This Row],[Meta Proyecto de Inversión]],6,1)</f>
        <v>9</v>
      </c>
      <c r="U138" s="163" t="str">
        <f>IFERROR(VLOOKUP(N138,TD!$B$50:$F$54,2,0)," ")</f>
        <v>O230117</v>
      </c>
      <c r="V138" s="163" t="str">
        <f>IFERROR(VLOOKUP(N138,TD!$B$50:$F$54,3,0)," ")</f>
        <v>4599</v>
      </c>
      <c r="W138" s="163">
        <f>IFERROR(VLOOKUP(N138,TD!$B$50:$F$54,4,0)," ")</f>
        <v>20240207</v>
      </c>
      <c r="X138" s="162" t="s">
        <v>174</v>
      </c>
      <c r="Y138" s="163" t="str">
        <f>IFERROR(VLOOKUP(X138,TD!$J$51:$K$64,2,0)," ")</f>
        <v>Infraestructura física, mantenimiento y dotación (Sedes construidas, mantenidas reforzadas)</v>
      </c>
      <c r="Z138" s="164" t="str">
        <f>CONCATENATE(X138,"-",Y138)</f>
        <v>08-Infraestructura física, mantenimiento y dotación (Sedes construidas, mantenidas reforzadas)</v>
      </c>
      <c r="AA138" s="162" t="s">
        <v>227</v>
      </c>
      <c r="AB138" s="163" t="str">
        <f>IFERROR(VLOOKUP(AA138,TD!$N$51:$O$66,2,0)," ")</f>
        <v>Sedes mantenidas</v>
      </c>
      <c r="AC138" s="164" t="str">
        <f>CONCATENATE(AA138,"_",AB138)</f>
        <v>016_Sedes mantenidas</v>
      </c>
      <c r="AD138" s="164" t="str">
        <f>CONCATENATE(Z138," ",AC138)</f>
        <v>08-Infraestructura física, mantenimiento y dotación (Sedes construidas, mantenidas reforzadas) 016_Sedes mantenidas</v>
      </c>
      <c r="AE138" s="163" t="str">
        <f>CONCATENATE(U138,V138,W138,X138,AA138)</f>
        <v>O23011745992024020708016</v>
      </c>
      <c r="AF138" s="163" t="str">
        <f>IFERROR(VLOOKUP(AD138,TD!$J$66:$K$89,2,0)," ")</f>
        <v>PM/0131/0108/45990160207</v>
      </c>
      <c r="AG138" s="118" t="s">
        <v>385</v>
      </c>
      <c r="AH138" s="162" t="s">
        <v>193</v>
      </c>
      <c r="AI138" s="165" t="str">
        <f>CONCATENATE(PAA[[#This Row],[Id Interno]],"-",PAA[[#This Row],[tipo de Contrato (TH talento humano - B/S bienes y/o servicios)]],"-",S138,"-",T138,"-",PAA[[#This Row],[Objeto de la contratación]])</f>
        <v>20260111-TH-8126-9-Prestar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39" spans="2:35" ht="70" x14ac:dyDescent="0.35">
      <c r="B139" s="23">
        <v>20260112</v>
      </c>
      <c r="C139" s="99" t="s">
        <v>409</v>
      </c>
      <c r="D139" s="23" t="s">
        <v>105</v>
      </c>
      <c r="E139" s="23" t="s">
        <v>363</v>
      </c>
      <c r="F139" s="159" t="s">
        <v>144</v>
      </c>
      <c r="G139" s="160" t="s">
        <v>374</v>
      </c>
      <c r="H139" s="161">
        <v>9</v>
      </c>
      <c r="I139" s="161">
        <v>0</v>
      </c>
      <c r="J139" s="127">
        <v>76500000</v>
      </c>
      <c r="K139" s="88" t="s">
        <v>398</v>
      </c>
      <c r="L139" s="159" t="s">
        <v>153</v>
      </c>
      <c r="M139" s="162" t="s">
        <v>420</v>
      </c>
      <c r="N139" s="23" t="s">
        <v>197</v>
      </c>
      <c r="O139" s="151" t="s">
        <v>945</v>
      </c>
      <c r="P139" s="159" t="s">
        <v>348</v>
      </c>
      <c r="Q139" s="53">
        <v>80111600</v>
      </c>
      <c r="R139" s="162" t="s">
        <v>208</v>
      </c>
      <c r="S139" s="162" t="str">
        <f>MID(PAA[[#This Row],[Meta Proyecto de Inversión]],1,4)</f>
        <v>8126</v>
      </c>
      <c r="T139" s="162" t="str">
        <f>MID(PAA[[#This Row],[Meta Proyecto de Inversión]],6,1)</f>
        <v>9</v>
      </c>
      <c r="U139" s="163" t="str">
        <f>IFERROR(VLOOKUP(N139,TD!$B$50:$F$54,2,0)," ")</f>
        <v>O230117</v>
      </c>
      <c r="V139" s="163" t="str">
        <f>IFERROR(VLOOKUP(N139,TD!$B$50:$F$54,3,0)," ")</f>
        <v>4599</v>
      </c>
      <c r="W139" s="163">
        <f>IFERROR(VLOOKUP(N139,TD!$B$50:$F$54,4,0)," ")</f>
        <v>20240207</v>
      </c>
      <c r="X139" s="162" t="s">
        <v>174</v>
      </c>
      <c r="Y139" s="163" t="str">
        <f>IFERROR(VLOOKUP(X139,TD!$J$51:$K$64,2,0)," ")</f>
        <v>Infraestructura física, mantenimiento y dotación (Sedes construidas, mantenidas reforzadas)</v>
      </c>
      <c r="Z139" s="164" t="str">
        <f>CONCATENATE(X139,"-",Y139)</f>
        <v>08-Infraestructura física, mantenimiento y dotación (Sedes construidas, mantenidas reforzadas)</v>
      </c>
      <c r="AA139" s="162" t="s">
        <v>227</v>
      </c>
      <c r="AB139" s="163" t="str">
        <f>IFERROR(VLOOKUP(AA139,TD!$N$51:$O$66,2,0)," ")</f>
        <v>Sedes mantenidas</v>
      </c>
      <c r="AC139" s="164" t="str">
        <f>CONCATENATE(AA139,"_",AB139)</f>
        <v>016_Sedes mantenidas</v>
      </c>
      <c r="AD139" s="164" t="str">
        <f>CONCATENATE(Z139," ",AC139)</f>
        <v>08-Infraestructura física, mantenimiento y dotación (Sedes construidas, mantenidas reforzadas) 016_Sedes mantenidas</v>
      </c>
      <c r="AE139" s="163" t="str">
        <f>CONCATENATE(U139,V139,W139,X139,AA139)</f>
        <v>O23011745992024020708016</v>
      </c>
      <c r="AF139" s="163" t="str">
        <f>IFERROR(VLOOKUP(AD139,TD!$J$66:$K$89,2,0)," ")</f>
        <v>PM/0131/0108/45990160207</v>
      </c>
      <c r="AG139" s="118" t="s">
        <v>385</v>
      </c>
      <c r="AH139" s="162" t="s">
        <v>193</v>
      </c>
      <c r="AI139" s="165" t="str">
        <f>CONCATENATE(PAA[[#This Row],[Id Interno]],"-",PAA[[#This Row],[tipo de Contrato (TH talento humano - B/S bienes y/o servicios)]],"-",S139,"-",T139,"-",PAA[[#This Row],[Objeto de la contratación]])</f>
        <v>20260112-TH-8126-9-Prestar servicios profesionales jurídicos para orientar y apoyar los procesos de contratación gestionados por la Oficina Jurídica, en el marco de las actividades propias de la gestión contractual, con el objetivo de garantizar el cumplimiento de las necesidades de la UAECOB.</v>
      </c>
    </row>
    <row r="140" spans="2:35" ht="84" x14ac:dyDescent="0.35">
      <c r="B140" s="23">
        <v>20260113</v>
      </c>
      <c r="C140" s="99" t="s">
        <v>408</v>
      </c>
      <c r="D140" s="23" t="s">
        <v>105</v>
      </c>
      <c r="E140" s="23" t="s">
        <v>363</v>
      </c>
      <c r="F140" s="159" t="s">
        <v>144</v>
      </c>
      <c r="G140" s="160" t="s">
        <v>374</v>
      </c>
      <c r="H140" s="161">
        <v>9</v>
      </c>
      <c r="I140" s="161">
        <v>0</v>
      </c>
      <c r="J140" s="127">
        <v>76500000</v>
      </c>
      <c r="K140" s="88" t="s">
        <v>398</v>
      </c>
      <c r="L140" s="159" t="s">
        <v>153</v>
      </c>
      <c r="M140" s="162" t="s">
        <v>420</v>
      </c>
      <c r="N140" s="23" t="s">
        <v>197</v>
      </c>
      <c r="O140" s="151" t="s">
        <v>945</v>
      </c>
      <c r="P140" s="159" t="s">
        <v>348</v>
      </c>
      <c r="Q140" s="53">
        <v>80111600</v>
      </c>
      <c r="R140" s="162" t="s">
        <v>208</v>
      </c>
      <c r="S140" s="162" t="str">
        <f>MID(PAA[[#This Row],[Meta Proyecto de Inversión]],1,4)</f>
        <v>8126</v>
      </c>
      <c r="T140" s="162" t="str">
        <f>MID(PAA[[#This Row],[Meta Proyecto de Inversión]],6,1)</f>
        <v>9</v>
      </c>
      <c r="U140" s="163" t="str">
        <f>IFERROR(VLOOKUP(N140,TD!$B$50:$F$54,2,0)," ")</f>
        <v>O230117</v>
      </c>
      <c r="V140" s="163" t="str">
        <f>IFERROR(VLOOKUP(N140,TD!$B$50:$F$54,3,0)," ")</f>
        <v>4599</v>
      </c>
      <c r="W140" s="163">
        <f>IFERROR(VLOOKUP(N140,TD!$B$50:$F$54,4,0)," ")</f>
        <v>20240207</v>
      </c>
      <c r="X140" s="162" t="s">
        <v>174</v>
      </c>
      <c r="Y140" s="163" t="str">
        <f>IFERROR(VLOOKUP(X140,TD!$J$51:$K$64,2,0)," ")</f>
        <v>Infraestructura física, mantenimiento y dotación (Sedes construidas, mantenidas reforzadas)</v>
      </c>
      <c r="Z140" s="164" t="str">
        <f>CONCATENATE(X140,"-",Y140)</f>
        <v>08-Infraestructura física, mantenimiento y dotación (Sedes construidas, mantenidas reforzadas)</v>
      </c>
      <c r="AA140" s="162" t="s">
        <v>227</v>
      </c>
      <c r="AB140" s="163" t="str">
        <f>IFERROR(VLOOKUP(AA140,TD!$N$51:$O$66,2,0)," ")</f>
        <v>Sedes mantenidas</v>
      </c>
      <c r="AC140" s="164" t="str">
        <f>CONCATENATE(AA140,"_",AB140)</f>
        <v>016_Sedes mantenidas</v>
      </c>
      <c r="AD140" s="164" t="str">
        <f>CONCATENATE(Z140," ",AC140)</f>
        <v>08-Infraestructura física, mantenimiento y dotación (Sedes construidas, mantenidas reforzadas) 016_Sedes mantenidas</v>
      </c>
      <c r="AE140" s="163" t="str">
        <f>CONCATENATE(U140,V140,W140,X140,AA140)</f>
        <v>O23011745992024020708016</v>
      </c>
      <c r="AF140" s="163" t="str">
        <f>IFERROR(VLOOKUP(AD140,TD!$J$66:$K$89,2,0)," ")</f>
        <v>PM/0131/0108/45990160207</v>
      </c>
      <c r="AG140" s="118" t="s">
        <v>385</v>
      </c>
      <c r="AH140" s="162" t="s">
        <v>193</v>
      </c>
      <c r="AI140" s="165" t="str">
        <f>CONCATENATE(PAA[[#This Row],[Id Interno]],"-",PAA[[#This Row],[tipo de Contrato (TH talento humano - B/S bienes y/o servicios)]],"-",S140,"-",T140,"-",PAA[[#This Row],[Objeto de la contratación]])</f>
        <v>20260113-TH-8126-9-Prestar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41" spans="2:35" ht="84" x14ac:dyDescent="0.35">
      <c r="B141" s="23">
        <v>20260114</v>
      </c>
      <c r="C141" s="99" t="s">
        <v>408</v>
      </c>
      <c r="D141" s="23" t="s">
        <v>105</v>
      </c>
      <c r="E141" s="23" t="s">
        <v>363</v>
      </c>
      <c r="F141" s="159" t="s">
        <v>144</v>
      </c>
      <c r="G141" s="160" t="s">
        <v>374</v>
      </c>
      <c r="H141" s="161">
        <v>9</v>
      </c>
      <c r="I141" s="161">
        <v>0</v>
      </c>
      <c r="J141" s="127">
        <v>72000000</v>
      </c>
      <c r="K141" s="88" t="s">
        <v>398</v>
      </c>
      <c r="L141" s="159" t="s">
        <v>153</v>
      </c>
      <c r="M141" s="162" t="s">
        <v>420</v>
      </c>
      <c r="N141" s="23" t="s">
        <v>197</v>
      </c>
      <c r="O141" s="151" t="s">
        <v>945</v>
      </c>
      <c r="P141" s="159" t="s">
        <v>348</v>
      </c>
      <c r="Q141" s="53">
        <v>80111600</v>
      </c>
      <c r="R141" s="162" t="s">
        <v>208</v>
      </c>
      <c r="S141" s="162" t="str">
        <f>MID(PAA[[#This Row],[Meta Proyecto de Inversión]],1,4)</f>
        <v>8126</v>
      </c>
      <c r="T141" s="162" t="str">
        <f>MID(PAA[[#This Row],[Meta Proyecto de Inversión]],6,1)</f>
        <v>9</v>
      </c>
      <c r="U141" s="163" t="str">
        <f>IFERROR(VLOOKUP(N141,TD!$B$50:$F$54,2,0)," ")</f>
        <v>O230117</v>
      </c>
      <c r="V141" s="163" t="str">
        <f>IFERROR(VLOOKUP(N141,TD!$B$50:$F$54,3,0)," ")</f>
        <v>4599</v>
      </c>
      <c r="W141" s="163">
        <f>IFERROR(VLOOKUP(N141,TD!$B$50:$F$54,4,0)," ")</f>
        <v>20240207</v>
      </c>
      <c r="X141" s="162" t="s">
        <v>174</v>
      </c>
      <c r="Y141" s="163" t="str">
        <f>IFERROR(VLOOKUP(X141,TD!$J$51:$K$64,2,0)," ")</f>
        <v>Infraestructura física, mantenimiento y dotación (Sedes construidas, mantenidas reforzadas)</v>
      </c>
      <c r="Z141" s="164" t="str">
        <f>CONCATENATE(X141,"-",Y141)</f>
        <v>08-Infraestructura física, mantenimiento y dotación (Sedes construidas, mantenidas reforzadas)</v>
      </c>
      <c r="AA141" s="162" t="s">
        <v>227</v>
      </c>
      <c r="AB141" s="163" t="str">
        <f>IFERROR(VLOOKUP(AA141,TD!$N$51:$O$66,2,0)," ")</f>
        <v>Sedes mantenidas</v>
      </c>
      <c r="AC141" s="164" t="str">
        <f>CONCATENATE(AA141,"_",AB141)</f>
        <v>016_Sedes mantenidas</v>
      </c>
      <c r="AD141" s="164" t="str">
        <f>CONCATENATE(Z141," ",AC141)</f>
        <v>08-Infraestructura física, mantenimiento y dotación (Sedes construidas, mantenidas reforzadas) 016_Sedes mantenidas</v>
      </c>
      <c r="AE141" s="163" t="str">
        <f>CONCATENATE(U141,V141,W141,X141,AA141)</f>
        <v>O23011745992024020708016</v>
      </c>
      <c r="AF141" s="163" t="str">
        <f>IFERROR(VLOOKUP(AD141,TD!$J$66:$K$89,2,0)," ")</f>
        <v>PM/0131/0108/45990160207</v>
      </c>
      <c r="AG141" s="118" t="s">
        <v>385</v>
      </c>
      <c r="AH141" s="162" t="s">
        <v>193</v>
      </c>
      <c r="AI141" s="165" t="str">
        <f>CONCATENATE(PAA[[#This Row],[Id Interno]],"-",PAA[[#This Row],[tipo de Contrato (TH talento humano - B/S bienes y/o servicios)]],"-",S141,"-",T141,"-",PAA[[#This Row],[Objeto de la contratación]])</f>
        <v>20260114-TH-8126-9-Prestar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42" spans="2:35" ht="70" x14ac:dyDescent="0.35">
      <c r="B142" s="23">
        <v>20260115</v>
      </c>
      <c r="C142" s="99" t="s">
        <v>410</v>
      </c>
      <c r="D142" s="23" t="s">
        <v>105</v>
      </c>
      <c r="E142" s="23" t="s">
        <v>363</v>
      </c>
      <c r="F142" s="159" t="s">
        <v>145</v>
      </c>
      <c r="G142" s="160" t="s">
        <v>374</v>
      </c>
      <c r="H142" s="161">
        <v>9</v>
      </c>
      <c r="I142" s="161">
        <v>0</v>
      </c>
      <c r="J142" s="127">
        <v>60300000</v>
      </c>
      <c r="K142" s="88" t="s">
        <v>398</v>
      </c>
      <c r="L142" s="159" t="s">
        <v>153</v>
      </c>
      <c r="M142" s="162" t="s">
        <v>420</v>
      </c>
      <c r="N142" s="23" t="s">
        <v>197</v>
      </c>
      <c r="O142" s="151" t="s">
        <v>945</v>
      </c>
      <c r="P142" s="159" t="s">
        <v>348</v>
      </c>
      <c r="Q142" s="53">
        <v>80111600</v>
      </c>
      <c r="R142" s="162" t="s">
        <v>208</v>
      </c>
      <c r="S142" s="162" t="str">
        <f>MID(PAA[[#This Row],[Meta Proyecto de Inversión]],1,4)</f>
        <v>8126</v>
      </c>
      <c r="T142" s="162" t="str">
        <f>MID(PAA[[#This Row],[Meta Proyecto de Inversión]],6,1)</f>
        <v>9</v>
      </c>
      <c r="U142" s="163" t="str">
        <f>IFERROR(VLOOKUP(N142,TD!$B$50:$F$54,2,0)," ")</f>
        <v>O230117</v>
      </c>
      <c r="V142" s="163" t="str">
        <f>IFERROR(VLOOKUP(N142,TD!$B$50:$F$54,3,0)," ")</f>
        <v>4599</v>
      </c>
      <c r="W142" s="163">
        <f>IFERROR(VLOOKUP(N142,TD!$B$50:$F$54,4,0)," ")</f>
        <v>20240207</v>
      </c>
      <c r="X142" s="162" t="s">
        <v>174</v>
      </c>
      <c r="Y142" s="163" t="str">
        <f>IFERROR(VLOOKUP(X142,TD!$J$51:$K$64,2,0)," ")</f>
        <v>Infraestructura física, mantenimiento y dotación (Sedes construidas, mantenidas reforzadas)</v>
      </c>
      <c r="Z142" s="164" t="str">
        <f>CONCATENATE(X142,"-",Y142)</f>
        <v>08-Infraestructura física, mantenimiento y dotación (Sedes construidas, mantenidas reforzadas)</v>
      </c>
      <c r="AA142" s="162" t="s">
        <v>227</v>
      </c>
      <c r="AB142" s="163" t="str">
        <f>IFERROR(VLOOKUP(AA142,TD!$N$51:$O$66,2,0)," ")</f>
        <v>Sedes mantenidas</v>
      </c>
      <c r="AC142" s="164" t="str">
        <f>CONCATENATE(AA142,"_",AB142)</f>
        <v>016_Sedes mantenidas</v>
      </c>
      <c r="AD142" s="164" t="str">
        <f>CONCATENATE(Z142," ",AC142)</f>
        <v>08-Infraestructura física, mantenimiento y dotación (Sedes construidas, mantenidas reforzadas) 016_Sedes mantenidas</v>
      </c>
      <c r="AE142" s="163" t="str">
        <f>CONCATENATE(U142,V142,W142,X142,AA142)</f>
        <v>O23011745992024020708016</v>
      </c>
      <c r="AF142" s="163" t="str">
        <f>IFERROR(VLOOKUP(AD142,TD!$J$66:$K$89,2,0)," ")</f>
        <v>PM/0131/0108/45990160207</v>
      </c>
      <c r="AG142" s="118" t="s">
        <v>385</v>
      </c>
      <c r="AH142" s="162" t="s">
        <v>193</v>
      </c>
      <c r="AI142" s="165" t="str">
        <f>CONCATENATE(PAA[[#This Row],[Id Interno]],"-",PAA[[#This Row],[tipo de Contrato (TH talento humano - B/S bienes y/o servicios)]],"-",S142,"-",T142,"-",PAA[[#This Row],[Objeto de la contratación]])</f>
        <v>20260115-TH-8126-9-Prestar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43" spans="2:35" ht="84" x14ac:dyDescent="0.35">
      <c r="B143" s="23">
        <v>20260116</v>
      </c>
      <c r="C143" s="99" t="s">
        <v>410</v>
      </c>
      <c r="D143" s="23" t="s">
        <v>105</v>
      </c>
      <c r="E143" s="23" t="s">
        <v>363</v>
      </c>
      <c r="F143" s="159" t="s">
        <v>145</v>
      </c>
      <c r="G143" s="160" t="s">
        <v>374</v>
      </c>
      <c r="H143" s="161">
        <v>8</v>
      </c>
      <c r="I143" s="161">
        <v>0</v>
      </c>
      <c r="J143" s="127">
        <v>46400000</v>
      </c>
      <c r="K143" s="88" t="s">
        <v>398</v>
      </c>
      <c r="L143" s="159" t="s">
        <v>153</v>
      </c>
      <c r="M143" s="162" t="s">
        <v>420</v>
      </c>
      <c r="N143" s="23" t="s">
        <v>197</v>
      </c>
      <c r="O143" s="151" t="s">
        <v>945</v>
      </c>
      <c r="P143" s="159" t="s">
        <v>348</v>
      </c>
      <c r="Q143" s="53">
        <v>80111600</v>
      </c>
      <c r="R143" s="162" t="s">
        <v>208</v>
      </c>
      <c r="S143" s="162" t="str">
        <f>MID(PAA[[#This Row],[Meta Proyecto de Inversión]],1,4)</f>
        <v>8126</v>
      </c>
      <c r="T143" s="162" t="str">
        <f>MID(PAA[[#This Row],[Meta Proyecto de Inversión]],6,1)</f>
        <v>9</v>
      </c>
      <c r="U143" s="163" t="str">
        <f>IFERROR(VLOOKUP(N143,TD!$B$50:$F$54,2,0)," ")</f>
        <v>O230117</v>
      </c>
      <c r="V143" s="163" t="str">
        <f>IFERROR(VLOOKUP(N143,TD!$B$50:$F$54,3,0)," ")</f>
        <v>4599</v>
      </c>
      <c r="W143" s="163">
        <f>IFERROR(VLOOKUP(N143,TD!$B$50:$F$54,4,0)," ")</f>
        <v>20240207</v>
      </c>
      <c r="X143" s="162" t="s">
        <v>174</v>
      </c>
      <c r="Y143" s="163" t="str">
        <f>IFERROR(VLOOKUP(X143,TD!$J$51:$K$64,2,0)," ")</f>
        <v>Infraestructura física, mantenimiento y dotación (Sedes construidas, mantenidas reforzadas)</v>
      </c>
      <c r="Z143" s="164" t="str">
        <f>CONCATENATE(X143,"-",Y143)</f>
        <v>08-Infraestructura física, mantenimiento y dotación (Sedes construidas, mantenidas reforzadas)</v>
      </c>
      <c r="AA143" s="162" t="s">
        <v>227</v>
      </c>
      <c r="AB143" s="163" t="str">
        <f>IFERROR(VLOOKUP(AA143,TD!$N$51:$O$66,2,0)," ")</f>
        <v>Sedes mantenidas</v>
      </c>
      <c r="AC143" s="164" t="str">
        <f>CONCATENATE(AA143,"_",AB143)</f>
        <v>016_Sedes mantenidas</v>
      </c>
      <c r="AD143" s="164" t="str">
        <f>CONCATENATE(Z143," ",AC143)</f>
        <v>08-Infraestructura física, mantenimiento y dotación (Sedes construidas, mantenidas reforzadas) 016_Sedes mantenidas</v>
      </c>
      <c r="AE143" s="163" t="str">
        <f>CONCATENATE(U143,V143,W143,X143,AA143)</f>
        <v>O23011745992024020708016</v>
      </c>
      <c r="AF143" s="163" t="str">
        <f>IFERROR(VLOOKUP(AD143,TD!$J$66:$K$89,2,0)," ")</f>
        <v>PM/0131/0108/45990160207</v>
      </c>
      <c r="AG143" s="118" t="s">
        <v>385</v>
      </c>
      <c r="AH143" s="162" t="s">
        <v>193</v>
      </c>
      <c r="AI143" s="165" t="str">
        <f>CONCATENATE(PAA[[#This Row],[Id Interno]],"-",PAA[[#This Row],[tipo de Contrato (TH talento humano - B/S bienes y/o servicios)]],"-",S143,"-",T143,"-",PAA[[#This Row],[Objeto de la contratación]])</f>
        <v>20260116-TH-8126-9-Prestar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44" spans="2:35" ht="98" x14ac:dyDescent="0.35">
      <c r="B144" s="23">
        <v>20260117</v>
      </c>
      <c r="C144" s="99" t="s">
        <v>411</v>
      </c>
      <c r="D144" s="23" t="s">
        <v>105</v>
      </c>
      <c r="E144" s="23" t="s">
        <v>363</v>
      </c>
      <c r="F144" s="159" t="s">
        <v>144</v>
      </c>
      <c r="G144" s="160" t="s">
        <v>374</v>
      </c>
      <c r="H144" s="161">
        <v>8</v>
      </c>
      <c r="I144" s="161">
        <v>0</v>
      </c>
      <c r="J144" s="127">
        <v>72000000</v>
      </c>
      <c r="K144" s="88" t="s">
        <v>398</v>
      </c>
      <c r="L144" s="159" t="s">
        <v>153</v>
      </c>
      <c r="M144" s="162" t="s">
        <v>420</v>
      </c>
      <c r="N144" s="23" t="s">
        <v>197</v>
      </c>
      <c r="O144" s="151" t="s">
        <v>945</v>
      </c>
      <c r="P144" s="159" t="s">
        <v>348</v>
      </c>
      <c r="Q144" s="53">
        <v>80111600</v>
      </c>
      <c r="R144" s="162" t="s">
        <v>208</v>
      </c>
      <c r="S144" s="162" t="str">
        <f>MID(PAA[[#This Row],[Meta Proyecto de Inversión]],1,4)</f>
        <v>8126</v>
      </c>
      <c r="T144" s="162" t="str">
        <f>MID(PAA[[#This Row],[Meta Proyecto de Inversión]],6,1)</f>
        <v>9</v>
      </c>
      <c r="U144" s="163" t="str">
        <f>IFERROR(VLOOKUP(N144,TD!$B$50:$F$54,2,0)," ")</f>
        <v>O230117</v>
      </c>
      <c r="V144" s="163" t="str">
        <f>IFERROR(VLOOKUP(N144,TD!$B$50:$F$54,3,0)," ")</f>
        <v>4599</v>
      </c>
      <c r="W144" s="163">
        <f>IFERROR(VLOOKUP(N144,TD!$B$50:$F$54,4,0)," ")</f>
        <v>20240207</v>
      </c>
      <c r="X144" s="162" t="s">
        <v>174</v>
      </c>
      <c r="Y144" s="163" t="str">
        <f>IFERROR(VLOOKUP(X144,TD!$J$51:$K$64,2,0)," ")</f>
        <v>Infraestructura física, mantenimiento y dotación (Sedes construidas, mantenidas reforzadas)</v>
      </c>
      <c r="Z144" s="164" t="str">
        <f>CONCATENATE(X144,"-",Y144)</f>
        <v>08-Infraestructura física, mantenimiento y dotación (Sedes construidas, mantenidas reforzadas)</v>
      </c>
      <c r="AA144" s="162" t="s">
        <v>227</v>
      </c>
      <c r="AB144" s="163" t="str">
        <f>IFERROR(VLOOKUP(AA144,TD!$N$51:$O$66,2,0)," ")</f>
        <v>Sedes mantenidas</v>
      </c>
      <c r="AC144" s="164" t="str">
        <f>CONCATENATE(AA144,"_",AB144)</f>
        <v>016_Sedes mantenidas</v>
      </c>
      <c r="AD144" s="164" t="str">
        <f>CONCATENATE(Z144," ",AC144)</f>
        <v>08-Infraestructura física, mantenimiento y dotación (Sedes construidas, mantenidas reforzadas) 016_Sedes mantenidas</v>
      </c>
      <c r="AE144" s="163" t="str">
        <f>CONCATENATE(U144,V144,W144,X144,AA144)</f>
        <v>O23011745992024020708016</v>
      </c>
      <c r="AF144" s="163" t="str">
        <f>IFERROR(VLOOKUP(AD144,TD!$J$66:$K$89,2,0)," ")</f>
        <v>PM/0131/0108/45990160207</v>
      </c>
      <c r="AG144" s="118" t="s">
        <v>385</v>
      </c>
      <c r="AH144" s="162" t="s">
        <v>193</v>
      </c>
      <c r="AI144" s="165" t="str">
        <f>CONCATENATE(PAA[[#This Row],[Id Interno]],"-",PAA[[#This Row],[tipo de Contrato (TH talento humano - B/S bienes y/o servicios)]],"-",S144,"-",T144,"-",PAA[[#This Row],[Objeto de la contratación]])</f>
        <v>20260117-TH-8126-9-Prestar los servicios profesionales para realizar el acompañamiento administrativo y financiero en temas de liquidación y cierre de expedientes, como demás actuaciones administrativas requeridas de los procesos contractuales</v>
      </c>
    </row>
    <row r="145" spans="2:35" ht="112" x14ac:dyDescent="0.35">
      <c r="B145" s="23">
        <v>20260118</v>
      </c>
      <c r="C145" s="99" t="s">
        <v>412</v>
      </c>
      <c r="D145" s="23" t="s">
        <v>105</v>
      </c>
      <c r="E145" s="23" t="s">
        <v>363</v>
      </c>
      <c r="F145" s="159" t="s">
        <v>144</v>
      </c>
      <c r="G145" s="160" t="s">
        <v>374</v>
      </c>
      <c r="H145" s="161">
        <v>11</v>
      </c>
      <c r="I145" s="161">
        <v>0</v>
      </c>
      <c r="J145" s="127">
        <v>374000000</v>
      </c>
      <c r="K145" s="88" t="s">
        <v>398</v>
      </c>
      <c r="L145" s="159" t="s">
        <v>153</v>
      </c>
      <c r="M145" s="162" t="s">
        <v>420</v>
      </c>
      <c r="N145" s="23" t="s">
        <v>197</v>
      </c>
      <c r="O145" s="151" t="s">
        <v>945</v>
      </c>
      <c r="P145" s="159" t="s">
        <v>348</v>
      </c>
      <c r="Q145" s="53">
        <v>80111600</v>
      </c>
      <c r="R145" s="162" t="s">
        <v>208</v>
      </c>
      <c r="S145" s="162" t="str">
        <f>MID(PAA[[#This Row],[Meta Proyecto de Inversión]],1,4)</f>
        <v>8126</v>
      </c>
      <c r="T145" s="162" t="str">
        <f>MID(PAA[[#This Row],[Meta Proyecto de Inversión]],6,1)</f>
        <v>9</v>
      </c>
      <c r="U145" s="163" t="str">
        <f>IFERROR(VLOOKUP(N145,TD!$B$50:$F$54,2,0)," ")</f>
        <v>O230117</v>
      </c>
      <c r="V145" s="163" t="str">
        <f>IFERROR(VLOOKUP(N145,TD!$B$50:$F$54,3,0)," ")</f>
        <v>4599</v>
      </c>
      <c r="W145" s="163">
        <f>IFERROR(VLOOKUP(N145,TD!$B$50:$F$54,4,0)," ")</f>
        <v>20240207</v>
      </c>
      <c r="X145" s="162" t="s">
        <v>174</v>
      </c>
      <c r="Y145" s="163" t="str">
        <f>IFERROR(VLOOKUP(X145,TD!$J$51:$K$64,2,0)," ")</f>
        <v>Infraestructura física, mantenimiento y dotación (Sedes construidas, mantenidas reforzadas)</v>
      </c>
      <c r="Z145" s="164" t="str">
        <f>CONCATENATE(X145,"-",Y145)</f>
        <v>08-Infraestructura física, mantenimiento y dotación (Sedes construidas, mantenidas reforzadas)</v>
      </c>
      <c r="AA145" s="162" t="s">
        <v>227</v>
      </c>
      <c r="AB145" s="163" t="str">
        <f>IFERROR(VLOOKUP(AA145,TD!$N$51:$O$66,2,0)," ")</f>
        <v>Sedes mantenidas</v>
      </c>
      <c r="AC145" s="164" t="str">
        <f>CONCATENATE(AA145,"_",AB145)</f>
        <v>016_Sedes mantenidas</v>
      </c>
      <c r="AD145" s="164" t="str">
        <f>CONCATENATE(Z145," ",AC145)</f>
        <v>08-Infraestructura física, mantenimiento y dotación (Sedes construidas, mantenidas reforzadas) 016_Sedes mantenidas</v>
      </c>
      <c r="AE145" s="163" t="str">
        <f>CONCATENATE(U145,V145,W145,X145,AA145)</f>
        <v>O23011745992024020708016</v>
      </c>
      <c r="AF145" s="163" t="str">
        <f>IFERROR(VLOOKUP(AD145,TD!$J$66:$K$89,2,0)," ")</f>
        <v>PM/0131/0108/45990160207</v>
      </c>
      <c r="AG145" s="118" t="s">
        <v>385</v>
      </c>
      <c r="AH145" s="162" t="s">
        <v>193</v>
      </c>
      <c r="AI145" s="165" t="str">
        <f>CONCATENATE(PAA[[#This Row],[Id Interno]],"-",PAA[[#This Row],[tipo de Contrato (TH talento humano - B/S bienes y/o servicios)]],"-",S145,"-",T145,"-",PAA[[#This Row],[Objeto de la contratación]])</f>
        <v>20260118-TH-8126-9-Prestar los servicios profesionales especializados para la representación judicial  de la Entidad y la prevención del daño antijurídico.</v>
      </c>
    </row>
    <row r="146" spans="2:35" ht="84" x14ac:dyDescent="0.35">
      <c r="B146" s="23">
        <v>20260119</v>
      </c>
      <c r="C146" s="99" t="s">
        <v>413</v>
      </c>
      <c r="D146" s="23" t="s">
        <v>105</v>
      </c>
      <c r="E146" s="23" t="s">
        <v>363</v>
      </c>
      <c r="F146" s="159" t="s">
        <v>145</v>
      </c>
      <c r="G146" s="160" t="s">
        <v>374</v>
      </c>
      <c r="H146" s="161">
        <v>8</v>
      </c>
      <c r="I146" s="161">
        <v>0</v>
      </c>
      <c r="J146" s="127">
        <v>28800000</v>
      </c>
      <c r="K146" s="88" t="s">
        <v>398</v>
      </c>
      <c r="L146" s="159" t="s">
        <v>153</v>
      </c>
      <c r="M146" s="162" t="s">
        <v>420</v>
      </c>
      <c r="N146" s="23" t="s">
        <v>197</v>
      </c>
      <c r="O146" s="151" t="s">
        <v>945</v>
      </c>
      <c r="P146" s="159" t="s">
        <v>348</v>
      </c>
      <c r="Q146" s="53">
        <v>80111600</v>
      </c>
      <c r="R146" s="162" t="s">
        <v>208</v>
      </c>
      <c r="S146" s="162" t="str">
        <f>MID(PAA[[#This Row],[Meta Proyecto de Inversión]],1,4)</f>
        <v>8126</v>
      </c>
      <c r="T146" s="162" t="str">
        <f>MID(PAA[[#This Row],[Meta Proyecto de Inversión]],6,1)</f>
        <v>9</v>
      </c>
      <c r="U146" s="163" t="str">
        <f>IFERROR(VLOOKUP(N146,TD!$B$50:$F$54,2,0)," ")</f>
        <v>O230117</v>
      </c>
      <c r="V146" s="163" t="str">
        <f>IFERROR(VLOOKUP(N146,TD!$B$50:$F$54,3,0)," ")</f>
        <v>4599</v>
      </c>
      <c r="W146" s="163">
        <f>IFERROR(VLOOKUP(N146,TD!$B$50:$F$54,4,0)," ")</f>
        <v>20240207</v>
      </c>
      <c r="X146" s="162" t="s">
        <v>174</v>
      </c>
      <c r="Y146" s="163" t="str">
        <f>IFERROR(VLOOKUP(X146,TD!$J$51:$K$64,2,0)," ")</f>
        <v>Infraestructura física, mantenimiento y dotación (Sedes construidas, mantenidas reforzadas)</v>
      </c>
      <c r="Z146" s="164" t="str">
        <f>CONCATENATE(X146,"-",Y146)</f>
        <v>08-Infraestructura física, mantenimiento y dotación (Sedes construidas, mantenidas reforzadas)</v>
      </c>
      <c r="AA146" s="162" t="s">
        <v>227</v>
      </c>
      <c r="AB146" s="163" t="str">
        <f>IFERROR(VLOOKUP(AA146,TD!$N$51:$O$66,2,0)," ")</f>
        <v>Sedes mantenidas</v>
      </c>
      <c r="AC146" s="164" t="str">
        <f>CONCATENATE(AA146,"_",AB146)</f>
        <v>016_Sedes mantenidas</v>
      </c>
      <c r="AD146" s="164" t="str">
        <f>CONCATENATE(Z146," ",AC146)</f>
        <v>08-Infraestructura física, mantenimiento y dotación (Sedes construidas, mantenidas reforzadas) 016_Sedes mantenidas</v>
      </c>
      <c r="AE146" s="163" t="str">
        <f>CONCATENATE(U146,V146,W146,X146,AA146)</f>
        <v>O23011745992024020708016</v>
      </c>
      <c r="AF146" s="163" t="str">
        <f>IFERROR(VLOOKUP(AD146,TD!$J$66:$K$89,2,0)," ")</f>
        <v>PM/0131/0108/45990160207</v>
      </c>
      <c r="AG146" s="118" t="s">
        <v>385</v>
      </c>
      <c r="AH146" s="162" t="s">
        <v>193</v>
      </c>
      <c r="AI146" s="165" t="str">
        <f>CONCATENATE(PAA[[#This Row],[Id Interno]],"-",PAA[[#This Row],[tipo de Contrato (TH talento humano - B/S bienes y/o servicios)]],"-",S146,"-",T146,"-",PAA[[#This Row],[Objeto de la contratación]])</f>
        <v>20260119-TH-8126-9-Prestar los servicios de apoyo para las gestiones administrativas requeridas en la Oficina Jurídica.</v>
      </c>
    </row>
    <row r="147" spans="2:35" ht="84" x14ac:dyDescent="0.35">
      <c r="B147" s="23">
        <v>20260120</v>
      </c>
      <c r="C147" s="99" t="s">
        <v>414</v>
      </c>
      <c r="D147" s="23" t="s">
        <v>105</v>
      </c>
      <c r="E147" s="23" t="s">
        <v>363</v>
      </c>
      <c r="F147" s="159" t="s">
        <v>145</v>
      </c>
      <c r="G147" s="160" t="s">
        <v>374</v>
      </c>
      <c r="H147" s="161">
        <v>8</v>
      </c>
      <c r="I147" s="161">
        <v>0</v>
      </c>
      <c r="J147" s="127">
        <v>28800000</v>
      </c>
      <c r="K147" s="88" t="s">
        <v>398</v>
      </c>
      <c r="L147" s="159" t="s">
        <v>153</v>
      </c>
      <c r="M147" s="162" t="s">
        <v>420</v>
      </c>
      <c r="N147" s="23" t="s">
        <v>197</v>
      </c>
      <c r="O147" s="151" t="s">
        <v>945</v>
      </c>
      <c r="P147" s="159" t="s">
        <v>348</v>
      </c>
      <c r="Q147" s="53">
        <v>80111600</v>
      </c>
      <c r="R147" s="162" t="s">
        <v>208</v>
      </c>
      <c r="S147" s="162" t="str">
        <f>MID(PAA[[#This Row],[Meta Proyecto de Inversión]],1,4)</f>
        <v>8126</v>
      </c>
      <c r="T147" s="162" t="str">
        <f>MID(PAA[[#This Row],[Meta Proyecto de Inversión]],6,1)</f>
        <v>9</v>
      </c>
      <c r="U147" s="163" t="str">
        <f>IFERROR(VLOOKUP(N147,TD!$B$50:$F$54,2,0)," ")</f>
        <v>O230117</v>
      </c>
      <c r="V147" s="163" t="str">
        <f>IFERROR(VLOOKUP(N147,TD!$B$50:$F$54,3,0)," ")</f>
        <v>4599</v>
      </c>
      <c r="W147" s="163">
        <f>IFERROR(VLOOKUP(N147,TD!$B$50:$F$54,4,0)," ")</f>
        <v>20240207</v>
      </c>
      <c r="X147" s="162" t="s">
        <v>174</v>
      </c>
      <c r="Y147" s="163" t="str">
        <f>IFERROR(VLOOKUP(X147,TD!$J$51:$K$64,2,0)," ")</f>
        <v>Infraestructura física, mantenimiento y dotación (Sedes construidas, mantenidas reforzadas)</v>
      </c>
      <c r="Z147" s="164" t="str">
        <f>CONCATENATE(X147,"-",Y147)</f>
        <v>08-Infraestructura física, mantenimiento y dotación (Sedes construidas, mantenidas reforzadas)</v>
      </c>
      <c r="AA147" s="162" t="s">
        <v>227</v>
      </c>
      <c r="AB147" s="163" t="str">
        <f>IFERROR(VLOOKUP(AA147,TD!$N$51:$O$66,2,0)," ")</f>
        <v>Sedes mantenidas</v>
      </c>
      <c r="AC147" s="164" t="str">
        <f>CONCATENATE(AA147,"_",AB147)</f>
        <v>016_Sedes mantenidas</v>
      </c>
      <c r="AD147" s="164" t="str">
        <f>CONCATENATE(Z147," ",AC147)</f>
        <v>08-Infraestructura física, mantenimiento y dotación (Sedes construidas, mantenidas reforzadas) 016_Sedes mantenidas</v>
      </c>
      <c r="AE147" s="163" t="str">
        <f>CONCATENATE(U147,V147,W147,X147,AA147)</f>
        <v>O23011745992024020708016</v>
      </c>
      <c r="AF147" s="163" t="str">
        <f>IFERROR(VLOOKUP(AD147,TD!$J$66:$K$89,2,0)," ")</f>
        <v>PM/0131/0108/45990160207</v>
      </c>
      <c r="AG147" s="118" t="s">
        <v>385</v>
      </c>
      <c r="AH147" s="162" t="s">
        <v>193</v>
      </c>
      <c r="AI147" s="165" t="str">
        <f>CONCATENATE(PAA[[#This Row],[Id Interno]],"-",PAA[[#This Row],[tipo de Contrato (TH talento humano - B/S bienes y/o servicios)]],"-",S147,"-",T147,"-",PAA[[#This Row],[Objeto de la contratación]])</f>
        <v>20260120-TH-8126-9-Prestar los servicios de apoyo para las gestiones documentales y administrativas requerida por la Oficina  Jurídica.</v>
      </c>
    </row>
    <row r="148" spans="2:35" ht="84" x14ac:dyDescent="0.35">
      <c r="B148" s="23">
        <v>20260121</v>
      </c>
      <c r="C148" s="99" t="s">
        <v>414</v>
      </c>
      <c r="D148" s="23" t="s">
        <v>105</v>
      </c>
      <c r="E148" s="23" t="s">
        <v>363</v>
      </c>
      <c r="F148" s="159" t="s">
        <v>145</v>
      </c>
      <c r="G148" s="160" t="s">
        <v>374</v>
      </c>
      <c r="H148" s="161">
        <v>8</v>
      </c>
      <c r="I148" s="161">
        <v>0</v>
      </c>
      <c r="J148" s="127">
        <v>28800000</v>
      </c>
      <c r="K148" s="88" t="s">
        <v>398</v>
      </c>
      <c r="L148" s="159" t="s">
        <v>153</v>
      </c>
      <c r="M148" s="162" t="s">
        <v>420</v>
      </c>
      <c r="N148" s="23" t="s">
        <v>197</v>
      </c>
      <c r="O148" s="151" t="s">
        <v>945</v>
      </c>
      <c r="P148" s="159" t="s">
        <v>348</v>
      </c>
      <c r="Q148" s="53">
        <v>80111600</v>
      </c>
      <c r="R148" s="162" t="s">
        <v>208</v>
      </c>
      <c r="S148" s="162" t="str">
        <f>MID(PAA[[#This Row],[Meta Proyecto de Inversión]],1,4)</f>
        <v>8126</v>
      </c>
      <c r="T148" s="162" t="str">
        <f>MID(PAA[[#This Row],[Meta Proyecto de Inversión]],6,1)</f>
        <v>9</v>
      </c>
      <c r="U148" s="163" t="str">
        <f>IFERROR(VLOOKUP(N148,TD!$B$50:$F$54,2,0)," ")</f>
        <v>O230117</v>
      </c>
      <c r="V148" s="163" t="str">
        <f>IFERROR(VLOOKUP(N148,TD!$B$50:$F$54,3,0)," ")</f>
        <v>4599</v>
      </c>
      <c r="W148" s="163">
        <f>IFERROR(VLOOKUP(N148,TD!$B$50:$F$54,4,0)," ")</f>
        <v>20240207</v>
      </c>
      <c r="X148" s="162" t="s">
        <v>174</v>
      </c>
      <c r="Y148" s="163" t="str">
        <f>IFERROR(VLOOKUP(X148,TD!$J$51:$K$64,2,0)," ")</f>
        <v>Infraestructura física, mantenimiento y dotación (Sedes construidas, mantenidas reforzadas)</v>
      </c>
      <c r="Z148" s="164" t="str">
        <f>CONCATENATE(X148,"-",Y148)</f>
        <v>08-Infraestructura física, mantenimiento y dotación (Sedes construidas, mantenidas reforzadas)</v>
      </c>
      <c r="AA148" s="162" t="s">
        <v>227</v>
      </c>
      <c r="AB148" s="163" t="str">
        <f>IFERROR(VLOOKUP(AA148,TD!$N$51:$O$66,2,0)," ")</f>
        <v>Sedes mantenidas</v>
      </c>
      <c r="AC148" s="164" t="str">
        <f>CONCATENATE(AA148,"_",AB148)</f>
        <v>016_Sedes mantenidas</v>
      </c>
      <c r="AD148" s="164" t="str">
        <f>CONCATENATE(Z148," ",AC148)</f>
        <v>08-Infraestructura física, mantenimiento y dotación (Sedes construidas, mantenidas reforzadas) 016_Sedes mantenidas</v>
      </c>
      <c r="AE148" s="163" t="str">
        <f>CONCATENATE(U148,V148,W148,X148,AA148)</f>
        <v>O23011745992024020708016</v>
      </c>
      <c r="AF148" s="163" t="str">
        <f>IFERROR(VLOOKUP(AD148,TD!$J$66:$K$89,2,0)," ")</f>
        <v>PM/0131/0108/45990160207</v>
      </c>
      <c r="AG148" s="118" t="s">
        <v>385</v>
      </c>
      <c r="AH148" s="162" t="s">
        <v>193</v>
      </c>
      <c r="AI148" s="165" t="str">
        <f>CONCATENATE(PAA[[#This Row],[Id Interno]],"-",PAA[[#This Row],[tipo de Contrato (TH talento humano - B/S bienes y/o servicios)]],"-",S148,"-",T148,"-",PAA[[#This Row],[Objeto de la contratación]])</f>
        <v>20260121-TH-8126-9-Prestar los servicios de apoyo para las gestiones documentales y administrativas requerida por la Oficina  Jurídica.</v>
      </c>
    </row>
    <row r="149" spans="2:35" ht="84" x14ac:dyDescent="0.35">
      <c r="B149" s="23">
        <v>20260122</v>
      </c>
      <c r="C149" s="99" t="s">
        <v>415</v>
      </c>
      <c r="D149" s="23" t="s">
        <v>105</v>
      </c>
      <c r="E149" s="23" t="s">
        <v>363</v>
      </c>
      <c r="F149" s="159" t="s">
        <v>144</v>
      </c>
      <c r="G149" s="160" t="s">
        <v>374</v>
      </c>
      <c r="H149" s="161">
        <v>8</v>
      </c>
      <c r="I149" s="161">
        <v>0</v>
      </c>
      <c r="J149" s="127">
        <v>64000000</v>
      </c>
      <c r="K149" s="88" t="s">
        <v>398</v>
      </c>
      <c r="L149" s="159" t="s">
        <v>153</v>
      </c>
      <c r="M149" s="162" t="s">
        <v>420</v>
      </c>
      <c r="N149" s="23" t="s">
        <v>197</v>
      </c>
      <c r="O149" s="151" t="s">
        <v>945</v>
      </c>
      <c r="P149" s="159" t="s">
        <v>348</v>
      </c>
      <c r="Q149" s="53">
        <v>80111600</v>
      </c>
      <c r="R149" s="162" t="s">
        <v>208</v>
      </c>
      <c r="S149" s="162" t="str">
        <f>MID(PAA[[#This Row],[Meta Proyecto de Inversión]],1,4)</f>
        <v>8126</v>
      </c>
      <c r="T149" s="162" t="str">
        <f>MID(PAA[[#This Row],[Meta Proyecto de Inversión]],6,1)</f>
        <v>9</v>
      </c>
      <c r="U149" s="163" t="str">
        <f>IFERROR(VLOOKUP(N149,TD!$B$50:$F$54,2,0)," ")</f>
        <v>O230117</v>
      </c>
      <c r="V149" s="163" t="str">
        <f>IFERROR(VLOOKUP(N149,TD!$B$50:$F$54,3,0)," ")</f>
        <v>4599</v>
      </c>
      <c r="W149" s="163">
        <f>IFERROR(VLOOKUP(N149,TD!$B$50:$F$54,4,0)," ")</f>
        <v>20240207</v>
      </c>
      <c r="X149" s="162" t="s">
        <v>174</v>
      </c>
      <c r="Y149" s="163" t="str">
        <f>IFERROR(VLOOKUP(X149,TD!$J$51:$K$64,2,0)," ")</f>
        <v>Infraestructura física, mantenimiento y dotación (Sedes construidas, mantenidas reforzadas)</v>
      </c>
      <c r="Z149" s="164" t="str">
        <f>CONCATENATE(X149,"-",Y149)</f>
        <v>08-Infraestructura física, mantenimiento y dotación (Sedes construidas, mantenidas reforzadas)</v>
      </c>
      <c r="AA149" s="162" t="s">
        <v>227</v>
      </c>
      <c r="AB149" s="163" t="str">
        <f>IFERROR(VLOOKUP(AA149,TD!$N$51:$O$66,2,0)," ")</f>
        <v>Sedes mantenidas</v>
      </c>
      <c r="AC149" s="164" t="str">
        <f>CONCATENATE(AA149,"_",AB149)</f>
        <v>016_Sedes mantenidas</v>
      </c>
      <c r="AD149" s="164" t="str">
        <f>CONCATENATE(Z149," ",AC149)</f>
        <v>08-Infraestructura física, mantenimiento y dotación (Sedes construidas, mantenidas reforzadas) 016_Sedes mantenidas</v>
      </c>
      <c r="AE149" s="163" t="str">
        <f>CONCATENATE(U149,V149,W149,X149,AA149)</f>
        <v>O23011745992024020708016</v>
      </c>
      <c r="AF149" s="163" t="str">
        <f>IFERROR(VLOOKUP(AD149,TD!$J$66:$K$89,2,0)," ")</f>
        <v>PM/0131/0108/45990160207</v>
      </c>
      <c r="AG149" s="118" t="s">
        <v>385</v>
      </c>
      <c r="AH149" s="162" t="s">
        <v>193</v>
      </c>
      <c r="AI149" s="165" t="str">
        <f>CONCATENATE(PAA[[#This Row],[Id Interno]],"-",PAA[[#This Row],[tipo de Contrato (TH talento humano - B/S bienes y/o servicios)]],"-",S149,"-",T149,"-",PAA[[#This Row],[Objeto de la contratación]])</f>
        <v>20260122-TH-8126-9-Prestar los servicios profesionales para apoyar la gestión de la información y presupuestal y elaborar los informes reglamentarios que la Oficina Jurídica debe presentar a los entes de control, respuestas a la ciudadanía y otros informes que den cuanta de su gestión.</v>
      </c>
    </row>
    <row r="150" spans="2:35" ht="98" x14ac:dyDescent="0.35">
      <c r="B150" s="23">
        <v>20260123</v>
      </c>
      <c r="C150" s="99" t="s">
        <v>416</v>
      </c>
      <c r="D150" s="23" t="s">
        <v>105</v>
      </c>
      <c r="E150" s="23" t="s">
        <v>363</v>
      </c>
      <c r="F150" s="159" t="s">
        <v>144</v>
      </c>
      <c r="G150" s="160" t="s">
        <v>374</v>
      </c>
      <c r="H150" s="161">
        <v>8</v>
      </c>
      <c r="I150" s="161">
        <v>0</v>
      </c>
      <c r="J150" s="127">
        <v>46100000</v>
      </c>
      <c r="K150" s="88" t="s">
        <v>398</v>
      </c>
      <c r="L150" s="159" t="s">
        <v>153</v>
      </c>
      <c r="M150" s="162" t="s">
        <v>420</v>
      </c>
      <c r="N150" s="23" t="s">
        <v>197</v>
      </c>
      <c r="O150" s="151" t="s">
        <v>945</v>
      </c>
      <c r="P150" s="159" t="s">
        <v>348</v>
      </c>
      <c r="Q150" s="53">
        <v>80111600</v>
      </c>
      <c r="R150" s="162" t="s">
        <v>208</v>
      </c>
      <c r="S150" s="162" t="str">
        <f>MID(PAA[[#This Row],[Meta Proyecto de Inversión]],1,4)</f>
        <v>8126</v>
      </c>
      <c r="T150" s="162" t="str">
        <f>MID(PAA[[#This Row],[Meta Proyecto de Inversión]],6,1)</f>
        <v>9</v>
      </c>
      <c r="U150" s="163" t="str">
        <f>IFERROR(VLOOKUP(N150,TD!$B$50:$F$54,2,0)," ")</f>
        <v>O230117</v>
      </c>
      <c r="V150" s="163" t="str">
        <f>IFERROR(VLOOKUP(N150,TD!$B$50:$F$54,3,0)," ")</f>
        <v>4599</v>
      </c>
      <c r="W150" s="163">
        <f>IFERROR(VLOOKUP(N150,TD!$B$50:$F$54,4,0)," ")</f>
        <v>20240207</v>
      </c>
      <c r="X150" s="162" t="s">
        <v>174</v>
      </c>
      <c r="Y150" s="163" t="str">
        <f>IFERROR(VLOOKUP(X150,TD!$J$51:$K$64,2,0)," ")</f>
        <v>Infraestructura física, mantenimiento y dotación (Sedes construidas, mantenidas reforzadas)</v>
      </c>
      <c r="Z150" s="164" t="str">
        <f>CONCATENATE(X150,"-",Y150)</f>
        <v>08-Infraestructura física, mantenimiento y dotación (Sedes construidas, mantenidas reforzadas)</v>
      </c>
      <c r="AA150" s="162" t="s">
        <v>227</v>
      </c>
      <c r="AB150" s="163" t="str">
        <f>IFERROR(VLOOKUP(AA150,TD!$N$51:$O$66,2,0)," ")</f>
        <v>Sedes mantenidas</v>
      </c>
      <c r="AC150" s="164" t="str">
        <f>CONCATENATE(AA150,"_",AB150)</f>
        <v>016_Sedes mantenidas</v>
      </c>
      <c r="AD150" s="164" t="str">
        <f>CONCATENATE(Z150," ",AC150)</f>
        <v>08-Infraestructura física, mantenimiento y dotación (Sedes construidas, mantenidas reforzadas) 016_Sedes mantenidas</v>
      </c>
      <c r="AE150" s="163" t="str">
        <f>CONCATENATE(U150,V150,W150,X150,AA150)</f>
        <v>O23011745992024020708016</v>
      </c>
      <c r="AF150" s="163" t="str">
        <f>IFERROR(VLOOKUP(AD150,TD!$J$66:$K$89,2,0)," ")</f>
        <v>PM/0131/0108/45990160207</v>
      </c>
      <c r="AG150" s="118" t="s">
        <v>385</v>
      </c>
      <c r="AH150" s="162" t="s">
        <v>193</v>
      </c>
      <c r="AI150" s="165" t="str">
        <f>CONCATENATE(PAA[[#This Row],[Id Interno]],"-",PAA[[#This Row],[tipo de Contrato (TH talento humano - B/S bienes y/o servicios)]],"-",S150,"-",T150,"-",PAA[[#This Row],[Objeto de la contratación]])</f>
        <v>20260123-TH-8126-9-Prestar servicios profesionales para realizar la gestión de tramites y actividades que se requieran en los diferentes procesos disciplinarios propios de la etapa de juzgamiento de la Oficina Jurídica en la UAECOB</v>
      </c>
    </row>
    <row r="151" spans="2:35" ht="84" x14ac:dyDescent="0.35">
      <c r="B151" s="23">
        <v>20260124</v>
      </c>
      <c r="C151" s="99" t="s">
        <v>417</v>
      </c>
      <c r="D151" s="23" t="s">
        <v>105</v>
      </c>
      <c r="E151" s="23" t="s">
        <v>363</v>
      </c>
      <c r="F151" s="159" t="s">
        <v>144</v>
      </c>
      <c r="G151" s="160" t="s">
        <v>374</v>
      </c>
      <c r="H151" s="161">
        <v>8</v>
      </c>
      <c r="I151" s="161">
        <v>0</v>
      </c>
      <c r="J151" s="127">
        <v>60000000</v>
      </c>
      <c r="K151" s="88" t="s">
        <v>398</v>
      </c>
      <c r="L151" s="159" t="s">
        <v>153</v>
      </c>
      <c r="M151" s="162" t="s">
        <v>420</v>
      </c>
      <c r="N151" s="23" t="s">
        <v>197</v>
      </c>
      <c r="O151" s="151" t="s">
        <v>945</v>
      </c>
      <c r="P151" s="159" t="s">
        <v>348</v>
      </c>
      <c r="Q151" s="53">
        <v>80111600</v>
      </c>
      <c r="R151" s="162" t="s">
        <v>208</v>
      </c>
      <c r="S151" s="162" t="str">
        <f>MID(PAA[[#This Row],[Meta Proyecto de Inversión]],1,4)</f>
        <v>8126</v>
      </c>
      <c r="T151" s="162" t="str">
        <f>MID(PAA[[#This Row],[Meta Proyecto de Inversión]],6,1)</f>
        <v>9</v>
      </c>
      <c r="U151" s="163" t="str">
        <f>IFERROR(VLOOKUP(N151,TD!$B$50:$F$54,2,0)," ")</f>
        <v>O230117</v>
      </c>
      <c r="V151" s="163" t="str">
        <f>IFERROR(VLOOKUP(N151,TD!$B$50:$F$54,3,0)," ")</f>
        <v>4599</v>
      </c>
      <c r="W151" s="163">
        <f>IFERROR(VLOOKUP(N151,TD!$B$50:$F$54,4,0)," ")</f>
        <v>20240207</v>
      </c>
      <c r="X151" s="162" t="s">
        <v>174</v>
      </c>
      <c r="Y151" s="163" t="str">
        <f>IFERROR(VLOOKUP(X151,TD!$J$51:$K$64,2,0)," ")</f>
        <v>Infraestructura física, mantenimiento y dotación (Sedes construidas, mantenidas reforzadas)</v>
      </c>
      <c r="Z151" s="164" t="str">
        <f>CONCATENATE(X151,"-",Y151)</f>
        <v>08-Infraestructura física, mantenimiento y dotación (Sedes construidas, mantenidas reforzadas)</v>
      </c>
      <c r="AA151" s="162" t="s">
        <v>227</v>
      </c>
      <c r="AB151" s="163" t="str">
        <f>IFERROR(VLOOKUP(AA151,TD!$N$51:$O$66,2,0)," ")</f>
        <v>Sedes mantenidas</v>
      </c>
      <c r="AC151" s="164" t="str">
        <f>CONCATENATE(AA151,"_",AB151)</f>
        <v>016_Sedes mantenidas</v>
      </c>
      <c r="AD151" s="164" t="str">
        <f>CONCATENATE(Z151," ",AC151)</f>
        <v>08-Infraestructura física, mantenimiento y dotación (Sedes construidas, mantenidas reforzadas) 016_Sedes mantenidas</v>
      </c>
      <c r="AE151" s="163" t="str">
        <f>CONCATENATE(U151,V151,W151,X151,AA151)</f>
        <v>O23011745992024020708016</v>
      </c>
      <c r="AF151" s="163" t="str">
        <f>IFERROR(VLOOKUP(AD151,TD!$J$66:$K$89,2,0)," ")</f>
        <v>PM/0131/0108/45990160207</v>
      </c>
      <c r="AG151" s="118" t="s">
        <v>385</v>
      </c>
      <c r="AH151" s="162" t="s">
        <v>193</v>
      </c>
      <c r="AI151" s="165" t="str">
        <f>CONCATENATE(PAA[[#This Row],[Id Interno]],"-",PAA[[#This Row],[tipo de Contrato (TH talento humano - B/S bienes y/o servicios)]],"-",S151,"-",T151,"-",PAA[[#This Row],[Objeto de la contratación]])</f>
        <v>20260124-TH-8126-9-Prestar los servicios profesionales para apoyar la depuración de la cartera de cobro coactivo, así como actividades propias de la defensa judicial de la Entidad y demas actiuaciones relacionadas que requiera la Oficina Jurídica</v>
      </c>
    </row>
    <row r="152" spans="2:35" ht="70" x14ac:dyDescent="0.35">
      <c r="B152" s="23">
        <v>20260125</v>
      </c>
      <c r="C152" s="99" t="s">
        <v>418</v>
      </c>
      <c r="D152" s="23" t="s">
        <v>105</v>
      </c>
      <c r="E152" s="23" t="s">
        <v>363</v>
      </c>
      <c r="F152" s="159" t="s">
        <v>144</v>
      </c>
      <c r="G152" s="160" t="s">
        <v>374</v>
      </c>
      <c r="H152" s="161">
        <v>8</v>
      </c>
      <c r="I152" s="161">
        <v>0</v>
      </c>
      <c r="J152" s="127">
        <v>64000000</v>
      </c>
      <c r="K152" s="88" t="s">
        <v>398</v>
      </c>
      <c r="L152" s="159" t="s">
        <v>153</v>
      </c>
      <c r="M152" s="162" t="s">
        <v>420</v>
      </c>
      <c r="N152" s="23" t="s">
        <v>197</v>
      </c>
      <c r="O152" s="151" t="s">
        <v>945</v>
      </c>
      <c r="P152" s="159" t="s">
        <v>348</v>
      </c>
      <c r="Q152" s="53">
        <v>80111600</v>
      </c>
      <c r="R152" s="162" t="s">
        <v>208</v>
      </c>
      <c r="S152" s="162" t="str">
        <f>MID(PAA[[#This Row],[Meta Proyecto de Inversión]],1,4)</f>
        <v>8126</v>
      </c>
      <c r="T152" s="162" t="str">
        <f>MID(PAA[[#This Row],[Meta Proyecto de Inversión]],6,1)</f>
        <v>9</v>
      </c>
      <c r="U152" s="163" t="str">
        <f>IFERROR(VLOOKUP(N152,TD!$B$50:$F$54,2,0)," ")</f>
        <v>O230117</v>
      </c>
      <c r="V152" s="163" t="str">
        <f>IFERROR(VLOOKUP(N152,TD!$B$50:$F$54,3,0)," ")</f>
        <v>4599</v>
      </c>
      <c r="W152" s="163">
        <f>IFERROR(VLOOKUP(N152,TD!$B$50:$F$54,4,0)," ")</f>
        <v>20240207</v>
      </c>
      <c r="X152" s="162" t="s">
        <v>174</v>
      </c>
      <c r="Y152" s="163" t="str">
        <f>IFERROR(VLOOKUP(X152,TD!$J$51:$K$64,2,0)," ")</f>
        <v>Infraestructura física, mantenimiento y dotación (Sedes construidas, mantenidas reforzadas)</v>
      </c>
      <c r="Z152" s="164" t="str">
        <f>CONCATENATE(X152,"-",Y152)</f>
        <v>08-Infraestructura física, mantenimiento y dotación (Sedes construidas, mantenidas reforzadas)</v>
      </c>
      <c r="AA152" s="162" t="s">
        <v>227</v>
      </c>
      <c r="AB152" s="163" t="str">
        <f>IFERROR(VLOOKUP(AA152,TD!$N$51:$O$66,2,0)," ")</f>
        <v>Sedes mantenidas</v>
      </c>
      <c r="AC152" s="164" t="str">
        <f>CONCATENATE(AA152,"_",AB152)</f>
        <v>016_Sedes mantenidas</v>
      </c>
      <c r="AD152" s="164" t="str">
        <f>CONCATENATE(Z152," ",AC152)</f>
        <v>08-Infraestructura física, mantenimiento y dotación (Sedes construidas, mantenidas reforzadas) 016_Sedes mantenidas</v>
      </c>
      <c r="AE152" s="163" t="str">
        <f>CONCATENATE(U152,V152,W152,X152,AA152)</f>
        <v>O23011745992024020708016</v>
      </c>
      <c r="AF152" s="163" t="str">
        <f>IFERROR(VLOOKUP(AD152,TD!$J$66:$K$89,2,0)," ")</f>
        <v>PM/0131/0108/45990160207</v>
      </c>
      <c r="AG152" s="118" t="s">
        <v>385</v>
      </c>
      <c r="AH152" s="162" t="s">
        <v>193</v>
      </c>
      <c r="AI152" s="165" t="str">
        <f>CONCATENATE(PAA[[#This Row],[Id Interno]],"-",PAA[[#This Row],[tipo de Contrato (TH talento humano - B/S bienes y/o servicios)]],"-",S152,"-",T152,"-",PAA[[#This Row],[Objeto de la contratación]])</f>
        <v>20260125-TH-8126-9-Prestación de servicios profesionales jurídicos para orientar y apoyar el trámite y la gestión de los procesos disciplinarios que se adelanten en la Oficina Jurídica de la Unidad Administrativa Especial Cuerpo Oficial de Bomberos Bogotá</v>
      </c>
    </row>
    <row r="153" spans="2:35" ht="84" x14ac:dyDescent="0.35">
      <c r="B153" s="23">
        <v>20260126</v>
      </c>
      <c r="C153" s="99" t="s">
        <v>929</v>
      </c>
      <c r="D153" s="23" t="s">
        <v>105</v>
      </c>
      <c r="E153" s="23" t="s">
        <v>363</v>
      </c>
      <c r="F153" s="159" t="s">
        <v>144</v>
      </c>
      <c r="G153" s="160" t="s">
        <v>374</v>
      </c>
      <c r="H153" s="161">
        <v>8</v>
      </c>
      <c r="I153" s="161">
        <v>0</v>
      </c>
      <c r="J153" s="127">
        <v>64000000</v>
      </c>
      <c r="K153" s="88" t="s">
        <v>398</v>
      </c>
      <c r="L153" s="159" t="s">
        <v>153</v>
      </c>
      <c r="M153" s="162" t="s">
        <v>420</v>
      </c>
      <c r="N153" s="23" t="s">
        <v>197</v>
      </c>
      <c r="O153" s="151" t="s">
        <v>945</v>
      </c>
      <c r="P153" s="159" t="s">
        <v>348</v>
      </c>
      <c r="Q153" s="53">
        <v>80111600</v>
      </c>
      <c r="R153" s="162" t="s">
        <v>208</v>
      </c>
      <c r="S153" s="162" t="str">
        <f>MID(PAA[[#This Row],[Meta Proyecto de Inversión]],1,4)</f>
        <v>8126</v>
      </c>
      <c r="T153" s="162" t="str">
        <f>MID(PAA[[#This Row],[Meta Proyecto de Inversión]],6,1)</f>
        <v>9</v>
      </c>
      <c r="U153" s="163" t="str">
        <f>IFERROR(VLOOKUP(N153,TD!$B$50:$F$54,2,0)," ")</f>
        <v>O230117</v>
      </c>
      <c r="V153" s="163" t="str">
        <f>IFERROR(VLOOKUP(N153,TD!$B$50:$F$54,3,0)," ")</f>
        <v>4599</v>
      </c>
      <c r="W153" s="163">
        <f>IFERROR(VLOOKUP(N153,TD!$B$50:$F$54,4,0)," ")</f>
        <v>20240207</v>
      </c>
      <c r="X153" s="162" t="s">
        <v>174</v>
      </c>
      <c r="Y153" s="163" t="str">
        <f>IFERROR(VLOOKUP(X153,TD!$J$51:$K$64,2,0)," ")</f>
        <v>Infraestructura física, mantenimiento y dotación (Sedes construidas, mantenidas reforzadas)</v>
      </c>
      <c r="Z153" s="164" t="str">
        <f>CONCATENATE(X153,"-",Y153)</f>
        <v>08-Infraestructura física, mantenimiento y dotación (Sedes construidas, mantenidas reforzadas)</v>
      </c>
      <c r="AA153" s="162" t="s">
        <v>227</v>
      </c>
      <c r="AB153" s="163" t="str">
        <f>IFERROR(VLOOKUP(AA153,TD!$N$51:$O$66,2,0)," ")</f>
        <v>Sedes mantenidas</v>
      </c>
      <c r="AC153" s="164" t="str">
        <f>CONCATENATE(AA153,"_",AB153)</f>
        <v>016_Sedes mantenidas</v>
      </c>
      <c r="AD153" s="164" t="str">
        <f>CONCATENATE(Z153," ",AC153)</f>
        <v>08-Infraestructura física, mantenimiento y dotación (Sedes construidas, mantenidas reforzadas) 016_Sedes mantenidas</v>
      </c>
      <c r="AE153" s="163" t="str">
        <f>CONCATENATE(U153,V153,W153,X153,AA153)</f>
        <v>O23011745992024020708016</v>
      </c>
      <c r="AF153" s="163" t="str">
        <f>IFERROR(VLOOKUP(AD153,TD!$J$66:$K$89,2,0)," ")</f>
        <v>PM/0131/0108/45990160207</v>
      </c>
      <c r="AG153" s="118" t="s">
        <v>385</v>
      </c>
      <c r="AH153" s="162" t="s">
        <v>193</v>
      </c>
      <c r="AI153" s="165" t="str">
        <f>CONCATENATE(PAA[[#This Row],[Id Interno]],"-",PAA[[#This Row],[tipo de Contrato (TH talento humano - B/S bienes y/o servicios)]],"-",S153,"-",T153,"-",PAA[[#This Row],[Objeto de la contratación]])</f>
        <v>20260126-TH-8126-9-Prestar servicios profesionales de carácter jurídico para apoyar y fortalecer de manera integral las actividades propias de la Oficina Jurídica</v>
      </c>
    </row>
    <row r="154" spans="2:35" ht="98" x14ac:dyDescent="0.35">
      <c r="B154" s="23">
        <v>20260127</v>
      </c>
      <c r="C154" s="99" t="s">
        <v>419</v>
      </c>
      <c r="D154" s="23" t="s">
        <v>105</v>
      </c>
      <c r="E154" s="23" t="s">
        <v>363</v>
      </c>
      <c r="F154" s="159" t="s">
        <v>144</v>
      </c>
      <c r="G154" s="160" t="s">
        <v>374</v>
      </c>
      <c r="H154" s="161">
        <v>8</v>
      </c>
      <c r="I154" s="161">
        <v>0</v>
      </c>
      <c r="J154" s="127">
        <v>52000000</v>
      </c>
      <c r="K154" s="88" t="s">
        <v>398</v>
      </c>
      <c r="L154" s="159" t="s">
        <v>153</v>
      </c>
      <c r="M154" s="162" t="s">
        <v>420</v>
      </c>
      <c r="N154" s="23" t="s">
        <v>197</v>
      </c>
      <c r="O154" s="151" t="s">
        <v>945</v>
      </c>
      <c r="P154" s="159" t="s">
        <v>348</v>
      </c>
      <c r="Q154" s="53">
        <v>80111600</v>
      </c>
      <c r="R154" s="162" t="s">
        <v>208</v>
      </c>
      <c r="S154" s="162" t="str">
        <f>MID(PAA[[#This Row],[Meta Proyecto de Inversión]],1,4)</f>
        <v>8126</v>
      </c>
      <c r="T154" s="162" t="str">
        <f>MID(PAA[[#This Row],[Meta Proyecto de Inversión]],6,1)</f>
        <v>9</v>
      </c>
      <c r="U154" s="163" t="str">
        <f>IFERROR(VLOOKUP(N154,TD!$B$50:$F$54,2,0)," ")</f>
        <v>O230117</v>
      </c>
      <c r="V154" s="163" t="str">
        <f>IFERROR(VLOOKUP(N154,TD!$B$50:$F$54,3,0)," ")</f>
        <v>4599</v>
      </c>
      <c r="W154" s="163">
        <f>IFERROR(VLOOKUP(N154,TD!$B$50:$F$54,4,0)," ")</f>
        <v>20240207</v>
      </c>
      <c r="X154" s="162" t="s">
        <v>174</v>
      </c>
      <c r="Y154" s="163" t="str">
        <f>IFERROR(VLOOKUP(X154,TD!$J$51:$K$64,2,0)," ")</f>
        <v>Infraestructura física, mantenimiento y dotación (Sedes construidas, mantenidas reforzadas)</v>
      </c>
      <c r="Z154" s="164" t="str">
        <f>CONCATENATE(X154,"-",Y154)</f>
        <v>08-Infraestructura física, mantenimiento y dotación (Sedes construidas, mantenidas reforzadas)</v>
      </c>
      <c r="AA154" s="162" t="s">
        <v>227</v>
      </c>
      <c r="AB154" s="163" t="str">
        <f>IFERROR(VLOOKUP(AA154,TD!$N$51:$O$66,2,0)," ")</f>
        <v>Sedes mantenidas</v>
      </c>
      <c r="AC154" s="164" t="str">
        <f>CONCATENATE(AA154,"_",AB154)</f>
        <v>016_Sedes mantenidas</v>
      </c>
      <c r="AD154" s="164" t="str">
        <f>CONCATENATE(Z154," ",AC154)</f>
        <v>08-Infraestructura física, mantenimiento y dotación (Sedes construidas, mantenidas reforzadas) 016_Sedes mantenidas</v>
      </c>
      <c r="AE154" s="163" t="str">
        <f>CONCATENATE(U154,V154,W154,X154,AA154)</f>
        <v>O23011745992024020708016</v>
      </c>
      <c r="AF154" s="163" t="str">
        <f>IFERROR(VLOOKUP(AD154,TD!$J$66:$K$89,2,0)," ")</f>
        <v>PM/0131/0108/45990160207</v>
      </c>
      <c r="AG154" s="118" t="s">
        <v>385</v>
      </c>
      <c r="AH154" s="162" t="s">
        <v>193</v>
      </c>
      <c r="AI154" s="165" t="str">
        <f>CONCATENATE(PAA[[#This Row],[Id Interno]],"-",PAA[[#This Row],[tipo de Contrato (TH talento humano - B/S bienes y/o servicios)]],"-",S154,"-",T154,"-",PAA[[#This Row],[Objeto de la contratación]])</f>
        <v>20260127-TH-8126-9-Prestar los servicios profesionales jurídicos para apoyar las actuaciones procesales y procedimentales de la Oficina Jurídica</v>
      </c>
    </row>
    <row r="155" spans="2:35" ht="98" x14ac:dyDescent="0.35">
      <c r="B155" s="23">
        <v>20260128</v>
      </c>
      <c r="C155" s="99" t="s">
        <v>618</v>
      </c>
      <c r="D155" s="23" t="s">
        <v>105</v>
      </c>
      <c r="E155" s="23" t="s">
        <v>363</v>
      </c>
      <c r="F155" s="159" t="s">
        <v>144</v>
      </c>
      <c r="G155" s="160" t="s">
        <v>373</v>
      </c>
      <c r="H155" s="161">
        <v>8</v>
      </c>
      <c r="I155" s="161">
        <v>0</v>
      </c>
      <c r="J155" s="127">
        <v>64000000</v>
      </c>
      <c r="K155" s="88" t="s">
        <v>398</v>
      </c>
      <c r="L155" s="159" t="s">
        <v>154</v>
      </c>
      <c r="M155" s="162" t="s">
        <v>451</v>
      </c>
      <c r="N155" s="23" t="s">
        <v>198</v>
      </c>
      <c r="O155" s="151" t="s">
        <v>946</v>
      </c>
      <c r="P155" s="159" t="s">
        <v>348</v>
      </c>
      <c r="Q155" s="53">
        <v>80111600</v>
      </c>
      <c r="R155" s="162" t="s">
        <v>218</v>
      </c>
      <c r="S155" s="162" t="str">
        <f>MID(PAA[[#This Row],[Meta Proyecto de Inversión]],1,4)</f>
        <v>8173</v>
      </c>
      <c r="T155" s="162" t="str">
        <f>MID(PAA[[#This Row],[Meta Proyecto de Inversión]],6,1)</f>
        <v>9</v>
      </c>
      <c r="U155" s="163" t="str">
        <f>IFERROR(VLOOKUP(N155,TD!$B$50:$F$54,2,0)," ")</f>
        <v>O230117</v>
      </c>
      <c r="V155" s="163" t="str">
        <f>IFERROR(VLOOKUP(N155,TD!$B$50:$F$54,3,0)," ")</f>
        <v>4503</v>
      </c>
      <c r="W155" s="163">
        <f>IFERROR(VLOOKUP(N155,TD!$B$50:$F$54,4,0)," ")</f>
        <v>20240255</v>
      </c>
      <c r="X155" s="162" t="s">
        <v>172</v>
      </c>
      <c r="Y155" s="163" t="str">
        <f>IFERROR(VLOOKUP(X155,TD!$J$51:$K$64,2,0)," ")</f>
        <v>Servicio de formación en gestión del riesgo de incendios para el personal UAECOB</v>
      </c>
      <c r="Z155" s="164" t="str">
        <f>CONCATENATE(X155,"-",Y155)</f>
        <v>07-Servicio de formación en gestión del riesgo de incendios para el personal UAECOB</v>
      </c>
      <c r="AA155" s="162" t="s">
        <v>222</v>
      </c>
      <c r="AB155" s="163" t="str">
        <f>IFERROR(VLOOKUP(AA155,TD!$N$51:$O$66,2,0)," ")</f>
        <v>Servicio de educación informal</v>
      </c>
      <c r="AC155" s="164" t="str">
        <f>CONCATENATE(AA155,"_",AB155)</f>
        <v>002_Servicio de educación informal</v>
      </c>
      <c r="AD155" s="164" t="str">
        <f>CONCATENATE(Z155," ",AC155)</f>
        <v>07-Servicio de formación en gestión del riesgo de incendios para el personal UAECOB 002_Servicio de educación informal</v>
      </c>
      <c r="AE155" s="163" t="str">
        <f>CONCATENATE(U155,V155,W155,X155,AA155)</f>
        <v>O23011745032024025507002</v>
      </c>
      <c r="AF155" s="163" t="str">
        <f>IFERROR(VLOOKUP(AD155,TD!$J$66:$K$89,2,0)," ")</f>
        <v>PM/0131/0107/45030020255</v>
      </c>
      <c r="AG155" s="118" t="s">
        <v>385</v>
      </c>
      <c r="AH155" s="162" t="s">
        <v>193</v>
      </c>
      <c r="AI155" s="165" t="str">
        <f>CONCATENATE(PAA[[#This Row],[Id Interno]],"-",PAA[[#This Row],[tipo de Contrato (TH talento humano - B/S bienes y/o servicios)]],"-",S155,"-",T155,"-",PAA[[#This Row],[Objeto de la contratación]])</f>
        <v>20260128-TH-8173-9-SGH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v>
      </c>
    </row>
    <row r="156" spans="2:35" ht="98" x14ac:dyDescent="0.35">
      <c r="B156" s="23">
        <v>20260129</v>
      </c>
      <c r="C156" s="99" t="s">
        <v>619</v>
      </c>
      <c r="D156" s="23" t="s">
        <v>105</v>
      </c>
      <c r="E156" s="23" t="s">
        <v>363</v>
      </c>
      <c r="F156" s="159" t="s">
        <v>145</v>
      </c>
      <c r="G156" s="160" t="s">
        <v>373</v>
      </c>
      <c r="H156" s="161">
        <v>7</v>
      </c>
      <c r="I156" s="161">
        <v>0</v>
      </c>
      <c r="J156" s="127">
        <v>26600000</v>
      </c>
      <c r="K156" s="88" t="s">
        <v>398</v>
      </c>
      <c r="L156" s="159" t="s">
        <v>154</v>
      </c>
      <c r="M156" s="162" t="s">
        <v>451</v>
      </c>
      <c r="N156" s="23" t="s">
        <v>197</v>
      </c>
      <c r="O156" s="151" t="s">
        <v>945</v>
      </c>
      <c r="P156" s="159" t="s">
        <v>348</v>
      </c>
      <c r="Q156" s="53">
        <v>80111600</v>
      </c>
      <c r="R156" s="162" t="s">
        <v>208</v>
      </c>
      <c r="S156" s="162" t="str">
        <f>MID(PAA[[#This Row],[Meta Proyecto de Inversión]],1,4)</f>
        <v>8126</v>
      </c>
      <c r="T156" s="162" t="str">
        <f>MID(PAA[[#This Row],[Meta Proyecto de Inversión]],6,1)</f>
        <v>9</v>
      </c>
      <c r="U156" s="163" t="str">
        <f>IFERROR(VLOOKUP(N156,TD!$B$50:$F$54,2,0)," ")</f>
        <v>O230117</v>
      </c>
      <c r="V156" s="163" t="str">
        <f>IFERROR(VLOOKUP(N156,TD!$B$50:$F$54,3,0)," ")</f>
        <v>4599</v>
      </c>
      <c r="W156" s="163">
        <f>IFERROR(VLOOKUP(N156,TD!$B$50:$F$54,4,0)," ")</f>
        <v>20240207</v>
      </c>
      <c r="X156" s="162" t="s">
        <v>174</v>
      </c>
      <c r="Y156" s="163" t="str">
        <f>IFERROR(VLOOKUP(X156,TD!$J$51:$K$64,2,0)," ")</f>
        <v>Infraestructura física, mantenimiento y dotación (Sedes construidas, mantenidas reforzadas)</v>
      </c>
      <c r="Z156" s="164" t="str">
        <f>CONCATENATE(X156,"-",Y156)</f>
        <v>08-Infraestructura física, mantenimiento y dotación (Sedes construidas, mantenidas reforzadas)</v>
      </c>
      <c r="AA156" s="162" t="s">
        <v>227</v>
      </c>
      <c r="AB156" s="163" t="str">
        <f>IFERROR(VLOOKUP(AA156,TD!$N$51:$O$66,2,0)," ")</f>
        <v>Sedes mantenidas</v>
      </c>
      <c r="AC156" s="164" t="str">
        <f>CONCATENATE(AA156,"_",AB156)</f>
        <v>016_Sedes mantenidas</v>
      </c>
      <c r="AD156" s="164" t="str">
        <f>CONCATENATE(Z156," ",AC156)</f>
        <v>08-Infraestructura física, mantenimiento y dotación (Sedes construidas, mantenidas reforzadas) 016_Sedes mantenidas</v>
      </c>
      <c r="AE156" s="163" t="str">
        <f>CONCATENATE(U156,V156,W156,X156,AA156)</f>
        <v>O23011745992024020708016</v>
      </c>
      <c r="AF156" s="163" t="str">
        <f>IFERROR(VLOOKUP(AD156,TD!$J$66:$K$89,2,0)," ")</f>
        <v>PM/0131/0108/45990160207</v>
      </c>
      <c r="AG156" s="118" t="s">
        <v>385</v>
      </c>
      <c r="AH156" s="162" t="s">
        <v>193</v>
      </c>
      <c r="AI156" s="165" t="str">
        <f>CONCATENATE(PAA[[#This Row],[Id Interno]],"-",PAA[[#This Row],[tipo de Contrato (TH talento humano - B/S bienes y/o servicios)]],"-",S156,"-",T156,"-",PAA[[#This Row],[Objeto de la contratación]])</f>
        <v>20260129-TH-8126-9-SGH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v>
      </c>
    </row>
    <row r="157" spans="2:35" ht="98" x14ac:dyDescent="0.35">
      <c r="B157" s="23">
        <v>20260130</v>
      </c>
      <c r="C157" s="99" t="s">
        <v>620</v>
      </c>
      <c r="D157" s="23" t="s">
        <v>105</v>
      </c>
      <c r="E157" s="23" t="s">
        <v>363</v>
      </c>
      <c r="F157" s="159" t="s">
        <v>145</v>
      </c>
      <c r="G157" s="160" t="s">
        <v>373</v>
      </c>
      <c r="H157" s="161">
        <v>11</v>
      </c>
      <c r="I157" s="161">
        <v>0</v>
      </c>
      <c r="J157" s="127">
        <v>46200000</v>
      </c>
      <c r="K157" s="88" t="s">
        <v>398</v>
      </c>
      <c r="L157" s="159" t="s">
        <v>154</v>
      </c>
      <c r="M157" s="162" t="s">
        <v>451</v>
      </c>
      <c r="N157" s="23" t="s">
        <v>197</v>
      </c>
      <c r="O157" s="151" t="s">
        <v>945</v>
      </c>
      <c r="P157" s="159" t="s">
        <v>348</v>
      </c>
      <c r="Q157" s="53">
        <v>80111600</v>
      </c>
      <c r="R157" s="162" t="s">
        <v>208</v>
      </c>
      <c r="S157" s="162" t="str">
        <f>MID(PAA[[#This Row],[Meta Proyecto de Inversión]],1,4)</f>
        <v>8126</v>
      </c>
      <c r="T157" s="162" t="str">
        <f>MID(PAA[[#This Row],[Meta Proyecto de Inversión]],6,1)</f>
        <v>9</v>
      </c>
      <c r="U157" s="163" t="str">
        <f>IFERROR(VLOOKUP(N157,TD!$B$50:$F$54,2,0)," ")</f>
        <v>O230117</v>
      </c>
      <c r="V157" s="163" t="str">
        <f>IFERROR(VLOOKUP(N157,TD!$B$50:$F$54,3,0)," ")</f>
        <v>4599</v>
      </c>
      <c r="W157" s="163">
        <f>IFERROR(VLOOKUP(N157,TD!$B$50:$F$54,4,0)," ")</f>
        <v>20240207</v>
      </c>
      <c r="X157" s="162" t="s">
        <v>174</v>
      </c>
      <c r="Y157" s="163" t="str">
        <f>IFERROR(VLOOKUP(X157,TD!$J$51:$K$64,2,0)," ")</f>
        <v>Infraestructura física, mantenimiento y dotación (Sedes construidas, mantenidas reforzadas)</v>
      </c>
      <c r="Z157" s="164" t="str">
        <f>CONCATENATE(X157,"-",Y157)</f>
        <v>08-Infraestructura física, mantenimiento y dotación (Sedes construidas, mantenidas reforzadas)</v>
      </c>
      <c r="AA157" s="162" t="s">
        <v>227</v>
      </c>
      <c r="AB157" s="163" t="str">
        <f>IFERROR(VLOOKUP(AA157,TD!$N$51:$O$66,2,0)," ")</f>
        <v>Sedes mantenidas</v>
      </c>
      <c r="AC157" s="164" t="str">
        <f>CONCATENATE(AA157,"_",AB157)</f>
        <v>016_Sedes mantenidas</v>
      </c>
      <c r="AD157" s="164" t="str">
        <f>CONCATENATE(Z157," ",AC157)</f>
        <v>08-Infraestructura física, mantenimiento y dotación (Sedes construidas, mantenidas reforzadas) 016_Sedes mantenidas</v>
      </c>
      <c r="AE157" s="163" t="str">
        <f>CONCATENATE(U157,V157,W157,X157,AA157)</f>
        <v>O23011745992024020708016</v>
      </c>
      <c r="AF157" s="163" t="str">
        <f>IFERROR(VLOOKUP(AD157,TD!$J$66:$K$89,2,0)," ")</f>
        <v>PM/0131/0108/45990160207</v>
      </c>
      <c r="AG157" s="118" t="s">
        <v>385</v>
      </c>
      <c r="AH157" s="162" t="s">
        <v>193</v>
      </c>
      <c r="AI157" s="165" t="str">
        <f>CONCATENATE(PAA[[#This Row],[Id Interno]],"-",PAA[[#This Row],[tipo de Contrato (TH talento humano - B/S bienes y/o servicios)]],"-",S157,"-",T157,"-",PAA[[#This Row],[Objeto de la contratación]])</f>
        <v>20260130-TH-8126-9-SGH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v>
      </c>
    </row>
    <row r="158" spans="2:35" ht="98" x14ac:dyDescent="0.35">
      <c r="B158" s="23">
        <v>20260131</v>
      </c>
      <c r="C158" s="99" t="s">
        <v>619</v>
      </c>
      <c r="D158" s="23" t="s">
        <v>105</v>
      </c>
      <c r="E158" s="23" t="s">
        <v>363</v>
      </c>
      <c r="F158" s="159" t="s">
        <v>145</v>
      </c>
      <c r="G158" s="160" t="s">
        <v>373</v>
      </c>
      <c r="H158" s="161">
        <v>7</v>
      </c>
      <c r="I158" s="161">
        <v>0</v>
      </c>
      <c r="J158" s="127">
        <v>26600000</v>
      </c>
      <c r="K158" s="88" t="s">
        <v>398</v>
      </c>
      <c r="L158" s="159" t="s">
        <v>154</v>
      </c>
      <c r="M158" s="162" t="s">
        <v>451</v>
      </c>
      <c r="N158" s="23" t="s">
        <v>197</v>
      </c>
      <c r="O158" s="151" t="s">
        <v>945</v>
      </c>
      <c r="P158" s="159" t="s">
        <v>348</v>
      </c>
      <c r="Q158" s="53">
        <v>80111600</v>
      </c>
      <c r="R158" s="162" t="s">
        <v>208</v>
      </c>
      <c r="S158" s="162" t="str">
        <f>MID(PAA[[#This Row],[Meta Proyecto de Inversión]],1,4)</f>
        <v>8126</v>
      </c>
      <c r="T158" s="162" t="str">
        <f>MID(PAA[[#This Row],[Meta Proyecto de Inversión]],6,1)</f>
        <v>9</v>
      </c>
      <c r="U158" s="163" t="str">
        <f>IFERROR(VLOOKUP(N158,TD!$B$50:$F$54,2,0)," ")</f>
        <v>O230117</v>
      </c>
      <c r="V158" s="163" t="str">
        <f>IFERROR(VLOOKUP(N158,TD!$B$50:$F$54,3,0)," ")</f>
        <v>4599</v>
      </c>
      <c r="W158" s="163">
        <f>IFERROR(VLOOKUP(N158,TD!$B$50:$F$54,4,0)," ")</f>
        <v>20240207</v>
      </c>
      <c r="X158" s="162" t="s">
        <v>174</v>
      </c>
      <c r="Y158" s="163" t="str">
        <f>IFERROR(VLOOKUP(X158,TD!$J$51:$K$64,2,0)," ")</f>
        <v>Infraestructura física, mantenimiento y dotación (Sedes construidas, mantenidas reforzadas)</v>
      </c>
      <c r="Z158" s="164" t="str">
        <f>CONCATENATE(X158,"-",Y158)</f>
        <v>08-Infraestructura física, mantenimiento y dotación (Sedes construidas, mantenidas reforzadas)</v>
      </c>
      <c r="AA158" s="162" t="s">
        <v>227</v>
      </c>
      <c r="AB158" s="163" t="str">
        <f>IFERROR(VLOOKUP(AA158,TD!$N$51:$O$66,2,0)," ")</f>
        <v>Sedes mantenidas</v>
      </c>
      <c r="AC158" s="164" t="str">
        <f>CONCATENATE(AA158,"_",AB158)</f>
        <v>016_Sedes mantenidas</v>
      </c>
      <c r="AD158" s="164" t="str">
        <f>CONCATENATE(Z158," ",AC158)</f>
        <v>08-Infraestructura física, mantenimiento y dotación (Sedes construidas, mantenidas reforzadas) 016_Sedes mantenidas</v>
      </c>
      <c r="AE158" s="163" t="str">
        <f>CONCATENATE(U158,V158,W158,X158,AA158)</f>
        <v>O23011745992024020708016</v>
      </c>
      <c r="AF158" s="163" t="str">
        <f>IFERROR(VLOOKUP(AD158,TD!$J$66:$K$89,2,0)," ")</f>
        <v>PM/0131/0108/45990160207</v>
      </c>
      <c r="AG158" s="118" t="s">
        <v>385</v>
      </c>
      <c r="AH158" s="162" t="s">
        <v>193</v>
      </c>
      <c r="AI158" s="165" t="str">
        <f>CONCATENATE(PAA[[#This Row],[Id Interno]],"-",PAA[[#This Row],[tipo de Contrato (TH talento humano - B/S bienes y/o servicios)]],"-",S158,"-",T158,"-",PAA[[#This Row],[Objeto de la contratación]])</f>
        <v>20260131-TH-8126-9-SGH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v>
      </c>
    </row>
    <row r="159" spans="2:35" ht="112" x14ac:dyDescent="0.35">
      <c r="B159" s="23">
        <v>20260132</v>
      </c>
      <c r="C159" s="99" t="s">
        <v>619</v>
      </c>
      <c r="D159" s="23" t="s">
        <v>105</v>
      </c>
      <c r="E159" s="23" t="s">
        <v>363</v>
      </c>
      <c r="F159" s="159" t="s">
        <v>145</v>
      </c>
      <c r="G159" s="160" t="s">
        <v>373</v>
      </c>
      <c r="H159" s="161">
        <v>11</v>
      </c>
      <c r="I159" s="161">
        <v>0</v>
      </c>
      <c r="J159" s="127">
        <v>41800000</v>
      </c>
      <c r="K159" s="88" t="s">
        <v>398</v>
      </c>
      <c r="L159" s="159" t="s">
        <v>154</v>
      </c>
      <c r="M159" s="162" t="s">
        <v>451</v>
      </c>
      <c r="N159" s="23" t="s">
        <v>197</v>
      </c>
      <c r="O159" s="151" t="s">
        <v>945</v>
      </c>
      <c r="P159" s="159" t="s">
        <v>348</v>
      </c>
      <c r="Q159" s="53">
        <v>80111600</v>
      </c>
      <c r="R159" s="162" t="s">
        <v>208</v>
      </c>
      <c r="S159" s="162" t="str">
        <f>MID(PAA[[#This Row],[Meta Proyecto de Inversión]],1,4)</f>
        <v>8126</v>
      </c>
      <c r="T159" s="162" t="str">
        <f>MID(PAA[[#This Row],[Meta Proyecto de Inversión]],6,1)</f>
        <v>9</v>
      </c>
      <c r="U159" s="163" t="str">
        <f>IFERROR(VLOOKUP(N159,TD!$B$50:$F$54,2,0)," ")</f>
        <v>O230117</v>
      </c>
      <c r="V159" s="163" t="str">
        <f>IFERROR(VLOOKUP(N159,TD!$B$50:$F$54,3,0)," ")</f>
        <v>4599</v>
      </c>
      <c r="W159" s="163">
        <f>IFERROR(VLOOKUP(N159,TD!$B$50:$F$54,4,0)," ")</f>
        <v>20240207</v>
      </c>
      <c r="X159" s="162" t="s">
        <v>174</v>
      </c>
      <c r="Y159" s="163" t="str">
        <f>IFERROR(VLOOKUP(X159,TD!$J$51:$K$64,2,0)," ")</f>
        <v>Infraestructura física, mantenimiento y dotación (Sedes construidas, mantenidas reforzadas)</v>
      </c>
      <c r="Z159" s="164" t="str">
        <f>CONCATENATE(X159,"-",Y159)</f>
        <v>08-Infraestructura física, mantenimiento y dotación (Sedes construidas, mantenidas reforzadas)</v>
      </c>
      <c r="AA159" s="162" t="s">
        <v>227</v>
      </c>
      <c r="AB159" s="163" t="str">
        <f>IFERROR(VLOOKUP(AA159,TD!$N$51:$O$66,2,0)," ")</f>
        <v>Sedes mantenidas</v>
      </c>
      <c r="AC159" s="164" t="str">
        <f>CONCATENATE(AA159,"_",AB159)</f>
        <v>016_Sedes mantenidas</v>
      </c>
      <c r="AD159" s="164" t="str">
        <f>CONCATENATE(Z159," ",AC159)</f>
        <v>08-Infraestructura física, mantenimiento y dotación (Sedes construidas, mantenidas reforzadas) 016_Sedes mantenidas</v>
      </c>
      <c r="AE159" s="163" t="str">
        <f>CONCATENATE(U159,V159,W159,X159,AA159)</f>
        <v>O23011745992024020708016</v>
      </c>
      <c r="AF159" s="163" t="str">
        <f>IFERROR(VLOOKUP(AD159,TD!$J$66:$K$89,2,0)," ")</f>
        <v>PM/0131/0108/45990160207</v>
      </c>
      <c r="AG159" s="118" t="s">
        <v>385</v>
      </c>
      <c r="AH159" s="162" t="s">
        <v>193</v>
      </c>
      <c r="AI159" s="165" t="str">
        <f>CONCATENATE(PAA[[#This Row],[Id Interno]],"-",PAA[[#This Row],[tipo de Contrato (TH talento humano - B/S bienes y/o servicios)]],"-",S159,"-",T159,"-",PAA[[#This Row],[Objeto de la contratación]])</f>
        <v>20260132-TH-8126-9-SGH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v>
      </c>
    </row>
    <row r="160" spans="2:35" ht="98" x14ac:dyDescent="0.35">
      <c r="B160" s="23">
        <v>20260133</v>
      </c>
      <c r="C160" s="99" t="s">
        <v>621</v>
      </c>
      <c r="D160" s="23" t="s">
        <v>105</v>
      </c>
      <c r="E160" s="23" t="s">
        <v>363</v>
      </c>
      <c r="F160" s="159" t="s">
        <v>145</v>
      </c>
      <c r="G160" s="160" t="s">
        <v>373</v>
      </c>
      <c r="H160" s="161">
        <v>7</v>
      </c>
      <c r="I160" s="161">
        <v>0</v>
      </c>
      <c r="J160" s="127">
        <v>28700000</v>
      </c>
      <c r="K160" s="88" t="s">
        <v>398</v>
      </c>
      <c r="L160" s="159" t="s">
        <v>154</v>
      </c>
      <c r="M160" s="162" t="s">
        <v>451</v>
      </c>
      <c r="N160" s="23" t="s">
        <v>197</v>
      </c>
      <c r="O160" s="151" t="s">
        <v>945</v>
      </c>
      <c r="P160" s="159" t="s">
        <v>348</v>
      </c>
      <c r="Q160" s="53">
        <v>80111600</v>
      </c>
      <c r="R160" s="162" t="s">
        <v>208</v>
      </c>
      <c r="S160" s="162" t="str">
        <f>MID(PAA[[#This Row],[Meta Proyecto de Inversión]],1,4)</f>
        <v>8126</v>
      </c>
      <c r="T160" s="162" t="str">
        <f>MID(PAA[[#This Row],[Meta Proyecto de Inversión]],6,1)</f>
        <v>9</v>
      </c>
      <c r="U160" s="163" t="str">
        <f>IFERROR(VLOOKUP(N160,TD!$B$50:$F$54,2,0)," ")</f>
        <v>O230117</v>
      </c>
      <c r="V160" s="163" t="str">
        <f>IFERROR(VLOOKUP(N160,TD!$B$50:$F$54,3,0)," ")</f>
        <v>4599</v>
      </c>
      <c r="W160" s="163">
        <f>IFERROR(VLOOKUP(N160,TD!$B$50:$F$54,4,0)," ")</f>
        <v>20240207</v>
      </c>
      <c r="X160" s="162" t="s">
        <v>174</v>
      </c>
      <c r="Y160" s="163" t="str">
        <f>IFERROR(VLOOKUP(X160,TD!$J$51:$K$64,2,0)," ")</f>
        <v>Infraestructura física, mantenimiento y dotación (Sedes construidas, mantenidas reforzadas)</v>
      </c>
      <c r="Z160" s="164" t="str">
        <f>CONCATENATE(X160,"-",Y160)</f>
        <v>08-Infraestructura física, mantenimiento y dotación (Sedes construidas, mantenidas reforzadas)</v>
      </c>
      <c r="AA160" s="162" t="s">
        <v>227</v>
      </c>
      <c r="AB160" s="163" t="str">
        <f>IFERROR(VLOOKUP(AA160,TD!$N$51:$O$66,2,0)," ")</f>
        <v>Sedes mantenidas</v>
      </c>
      <c r="AC160" s="164" t="str">
        <f>CONCATENATE(AA160,"_",AB160)</f>
        <v>016_Sedes mantenidas</v>
      </c>
      <c r="AD160" s="164" t="str">
        <f>CONCATENATE(Z160," ",AC160)</f>
        <v>08-Infraestructura física, mantenimiento y dotación (Sedes construidas, mantenidas reforzadas) 016_Sedes mantenidas</v>
      </c>
      <c r="AE160" s="163" t="str">
        <f>CONCATENATE(U160,V160,W160,X160,AA160)</f>
        <v>O23011745992024020708016</v>
      </c>
      <c r="AF160" s="163" t="str">
        <f>IFERROR(VLOOKUP(AD160,TD!$J$66:$K$89,2,0)," ")</f>
        <v>PM/0131/0108/45990160207</v>
      </c>
      <c r="AG160" s="118" t="s">
        <v>385</v>
      </c>
      <c r="AH160" s="162" t="s">
        <v>193</v>
      </c>
      <c r="AI160" s="165" t="str">
        <f>CONCATENATE(PAA[[#This Row],[Id Interno]],"-",PAA[[#This Row],[tipo de Contrato (TH talento humano - B/S bienes y/o servicios)]],"-",S160,"-",T160,"-",PAA[[#This Row],[Objeto de la contratación]])</f>
        <v>20260133-TH-8126-9-SGH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v>
      </c>
    </row>
    <row r="161" spans="2:35" ht="112" x14ac:dyDescent="0.35">
      <c r="B161" s="23">
        <v>20260134</v>
      </c>
      <c r="C161" s="99" t="s">
        <v>622</v>
      </c>
      <c r="D161" s="23" t="s">
        <v>105</v>
      </c>
      <c r="E161" s="23" t="s">
        <v>363</v>
      </c>
      <c r="F161" s="159" t="s">
        <v>144</v>
      </c>
      <c r="G161" s="160" t="s">
        <v>373</v>
      </c>
      <c r="H161" s="161">
        <v>3</v>
      </c>
      <c r="I161" s="161">
        <v>15</v>
      </c>
      <c r="J161" s="127">
        <v>29400000</v>
      </c>
      <c r="K161" s="88" t="s">
        <v>398</v>
      </c>
      <c r="L161" s="159" t="s">
        <v>154</v>
      </c>
      <c r="M161" s="162" t="s">
        <v>451</v>
      </c>
      <c r="N161" s="23" t="s">
        <v>197</v>
      </c>
      <c r="O161" s="152" t="s">
        <v>945</v>
      </c>
      <c r="P161" s="159" t="s">
        <v>348</v>
      </c>
      <c r="Q161" s="53">
        <v>80111600</v>
      </c>
      <c r="R161" s="162" t="s">
        <v>208</v>
      </c>
      <c r="S161" s="162" t="str">
        <f>MID(PAA[[#This Row],[Meta Proyecto de Inversión]],1,4)</f>
        <v>8126</v>
      </c>
      <c r="T161" s="162" t="str">
        <f>MID(PAA[[#This Row],[Meta Proyecto de Inversión]],6,1)</f>
        <v>9</v>
      </c>
      <c r="U161" s="163" t="str">
        <f>IFERROR(VLOOKUP(N161,TD!$B$50:$F$54,2,0)," ")</f>
        <v>O230117</v>
      </c>
      <c r="V161" s="163" t="str">
        <f>IFERROR(VLOOKUP(N161,TD!$B$50:$F$54,3,0)," ")</f>
        <v>4599</v>
      </c>
      <c r="W161" s="163">
        <f>IFERROR(VLOOKUP(N161,TD!$B$50:$F$54,4,0)," ")</f>
        <v>20240207</v>
      </c>
      <c r="X161" s="162" t="s">
        <v>174</v>
      </c>
      <c r="Y161" s="163" t="str">
        <f>IFERROR(VLOOKUP(X161,TD!$J$51:$K$64,2,0)," ")</f>
        <v>Infraestructura física, mantenimiento y dotación (Sedes construidas, mantenidas reforzadas)</v>
      </c>
      <c r="Z161" s="164" t="str">
        <f>CONCATENATE(X161,"-",Y161)</f>
        <v>08-Infraestructura física, mantenimiento y dotación (Sedes construidas, mantenidas reforzadas)</v>
      </c>
      <c r="AA161" s="162" t="s">
        <v>227</v>
      </c>
      <c r="AB161" s="163" t="str">
        <f>IFERROR(VLOOKUP(AA161,TD!$N$51:$O$66,2,0)," ")</f>
        <v>Sedes mantenidas</v>
      </c>
      <c r="AC161" s="164" t="str">
        <f>CONCATENATE(AA161,"_",AB161)</f>
        <v>016_Sedes mantenidas</v>
      </c>
      <c r="AD161" s="164" t="str">
        <f>CONCATENATE(Z161," ",AC161)</f>
        <v>08-Infraestructura física, mantenimiento y dotación (Sedes construidas, mantenidas reforzadas) 016_Sedes mantenidas</v>
      </c>
      <c r="AE161" s="163" t="str">
        <f>CONCATENATE(U161,V161,W161,X161,AA161)</f>
        <v>O23011745992024020708016</v>
      </c>
      <c r="AF161" s="163" t="str">
        <f>IFERROR(VLOOKUP(AD161,TD!$J$66:$K$89,2,0)," ")</f>
        <v>PM/0131/0108/45990160207</v>
      </c>
      <c r="AG161" s="118" t="s">
        <v>385</v>
      </c>
      <c r="AH161" s="162" t="s">
        <v>193</v>
      </c>
      <c r="AI161" s="165" t="str">
        <f>CONCATENATE(PAA[[#This Row],[Id Interno]],"-",PAA[[#This Row],[tipo de Contrato (TH talento humano - B/S bienes y/o servicios)]],"-",S161,"-",T161,"-",PAA[[#This Row],[Objeto de la contratación]])</f>
        <v>20260134-TH-8126-9-SGH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v>
      </c>
    </row>
    <row r="162" spans="2:35" ht="98" x14ac:dyDescent="0.35">
      <c r="B162" s="23">
        <v>20260135</v>
      </c>
      <c r="C162" s="99" t="s">
        <v>623</v>
      </c>
      <c r="D162" s="23" t="s">
        <v>105</v>
      </c>
      <c r="E162" s="23" t="s">
        <v>363</v>
      </c>
      <c r="F162" s="159" t="s">
        <v>144</v>
      </c>
      <c r="G162" s="160" t="s">
        <v>373</v>
      </c>
      <c r="H162" s="161">
        <v>5</v>
      </c>
      <c r="I162" s="161">
        <v>0</v>
      </c>
      <c r="J162" s="127">
        <v>29500000</v>
      </c>
      <c r="K162" s="88" t="s">
        <v>398</v>
      </c>
      <c r="L162" s="159" t="s">
        <v>154</v>
      </c>
      <c r="M162" s="162" t="s">
        <v>451</v>
      </c>
      <c r="N162" s="23" t="s">
        <v>197</v>
      </c>
      <c r="O162" s="151" t="s">
        <v>945</v>
      </c>
      <c r="P162" s="159" t="s">
        <v>348</v>
      </c>
      <c r="Q162" s="53">
        <v>80111600</v>
      </c>
      <c r="R162" s="162" t="s">
        <v>208</v>
      </c>
      <c r="S162" s="162" t="str">
        <f>MID(PAA[[#This Row],[Meta Proyecto de Inversión]],1,4)</f>
        <v>8126</v>
      </c>
      <c r="T162" s="162" t="str">
        <f>MID(PAA[[#This Row],[Meta Proyecto de Inversión]],6,1)</f>
        <v>9</v>
      </c>
      <c r="U162" s="163" t="str">
        <f>IFERROR(VLOOKUP(N162,TD!$B$50:$F$54,2,0)," ")</f>
        <v>O230117</v>
      </c>
      <c r="V162" s="163" t="str">
        <f>IFERROR(VLOOKUP(N162,TD!$B$50:$F$54,3,0)," ")</f>
        <v>4599</v>
      </c>
      <c r="W162" s="163">
        <f>IFERROR(VLOOKUP(N162,TD!$B$50:$F$54,4,0)," ")</f>
        <v>20240207</v>
      </c>
      <c r="X162" s="162" t="s">
        <v>174</v>
      </c>
      <c r="Y162" s="163" t="str">
        <f>IFERROR(VLOOKUP(X162,TD!$J$51:$K$64,2,0)," ")</f>
        <v>Infraestructura física, mantenimiento y dotación (Sedes construidas, mantenidas reforzadas)</v>
      </c>
      <c r="Z162" s="164" t="str">
        <f>CONCATENATE(X162,"-",Y162)</f>
        <v>08-Infraestructura física, mantenimiento y dotación (Sedes construidas, mantenidas reforzadas)</v>
      </c>
      <c r="AA162" s="162" t="s">
        <v>227</v>
      </c>
      <c r="AB162" s="163" t="str">
        <f>IFERROR(VLOOKUP(AA162,TD!$N$51:$O$66,2,0)," ")</f>
        <v>Sedes mantenidas</v>
      </c>
      <c r="AC162" s="164" t="str">
        <f>CONCATENATE(AA162,"_",AB162)</f>
        <v>016_Sedes mantenidas</v>
      </c>
      <c r="AD162" s="164" t="str">
        <f>CONCATENATE(Z162," ",AC162)</f>
        <v>08-Infraestructura física, mantenimiento y dotación (Sedes construidas, mantenidas reforzadas) 016_Sedes mantenidas</v>
      </c>
      <c r="AE162" s="163" t="str">
        <f>CONCATENATE(U162,V162,W162,X162,AA162)</f>
        <v>O23011745992024020708016</v>
      </c>
      <c r="AF162" s="163" t="str">
        <f>IFERROR(VLOOKUP(AD162,TD!$J$66:$K$89,2,0)," ")</f>
        <v>PM/0131/0108/45990160207</v>
      </c>
      <c r="AG162" s="118" t="s">
        <v>385</v>
      </c>
      <c r="AH162" s="162" t="s">
        <v>193</v>
      </c>
      <c r="AI162" s="165" t="str">
        <f>CONCATENATE(PAA[[#This Row],[Id Interno]],"-",PAA[[#This Row],[tipo de Contrato (TH talento humano - B/S bienes y/o servicios)]],"-",S162,"-",T162,"-",PAA[[#This Row],[Objeto de la contratación]])</f>
        <v>20260135-TH-8126-9-SGH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v>
      </c>
    </row>
    <row r="163" spans="2:35" ht="112" x14ac:dyDescent="0.35">
      <c r="B163" s="23">
        <v>20260136</v>
      </c>
      <c r="C163" s="99" t="s">
        <v>452</v>
      </c>
      <c r="D163" s="23" t="s">
        <v>105</v>
      </c>
      <c r="E163" s="23" t="s">
        <v>363</v>
      </c>
      <c r="F163" s="159" t="s">
        <v>144</v>
      </c>
      <c r="G163" s="160" t="s">
        <v>373</v>
      </c>
      <c r="H163" s="161">
        <v>10</v>
      </c>
      <c r="I163" s="161">
        <v>0</v>
      </c>
      <c r="J163" s="127">
        <v>67000000</v>
      </c>
      <c r="K163" s="88" t="s">
        <v>398</v>
      </c>
      <c r="L163" s="159" t="s">
        <v>154</v>
      </c>
      <c r="M163" s="162" t="s">
        <v>451</v>
      </c>
      <c r="N163" s="23" t="s">
        <v>197</v>
      </c>
      <c r="O163" s="151" t="s">
        <v>945</v>
      </c>
      <c r="P163" s="159" t="s">
        <v>348</v>
      </c>
      <c r="Q163" s="53">
        <v>80111600</v>
      </c>
      <c r="R163" s="162" t="s">
        <v>208</v>
      </c>
      <c r="S163" s="162" t="str">
        <f>MID(PAA[[#This Row],[Meta Proyecto de Inversión]],1,4)</f>
        <v>8126</v>
      </c>
      <c r="T163" s="162" t="str">
        <f>MID(PAA[[#This Row],[Meta Proyecto de Inversión]],6,1)</f>
        <v>9</v>
      </c>
      <c r="U163" s="163" t="str">
        <f>IFERROR(VLOOKUP(N163,TD!$B$50:$F$54,2,0)," ")</f>
        <v>O230117</v>
      </c>
      <c r="V163" s="163" t="str">
        <f>IFERROR(VLOOKUP(N163,TD!$B$50:$F$54,3,0)," ")</f>
        <v>4599</v>
      </c>
      <c r="W163" s="163">
        <f>IFERROR(VLOOKUP(N163,TD!$B$50:$F$54,4,0)," ")</f>
        <v>20240207</v>
      </c>
      <c r="X163" s="162" t="s">
        <v>174</v>
      </c>
      <c r="Y163" s="163" t="str">
        <f>IFERROR(VLOOKUP(X163,TD!$J$51:$K$64,2,0)," ")</f>
        <v>Infraestructura física, mantenimiento y dotación (Sedes construidas, mantenidas reforzadas)</v>
      </c>
      <c r="Z163" s="164" t="str">
        <f>CONCATENATE(X163,"-",Y163)</f>
        <v>08-Infraestructura física, mantenimiento y dotación (Sedes construidas, mantenidas reforzadas)</v>
      </c>
      <c r="AA163" s="162" t="s">
        <v>227</v>
      </c>
      <c r="AB163" s="163" t="str">
        <f>IFERROR(VLOOKUP(AA163,TD!$N$51:$O$66,2,0)," ")</f>
        <v>Sedes mantenidas</v>
      </c>
      <c r="AC163" s="164" t="str">
        <f>CONCATENATE(AA163,"_",AB163)</f>
        <v>016_Sedes mantenidas</v>
      </c>
      <c r="AD163" s="164" t="str">
        <f>CONCATENATE(Z163," ",AC163)</f>
        <v>08-Infraestructura física, mantenimiento y dotación (Sedes construidas, mantenidas reforzadas) 016_Sedes mantenidas</v>
      </c>
      <c r="AE163" s="163" t="str">
        <f>CONCATENATE(U163,V163,W163,X163,AA163)</f>
        <v>O23011745992024020708016</v>
      </c>
      <c r="AF163" s="163" t="str">
        <f>IFERROR(VLOOKUP(AD163,TD!$J$66:$K$89,2,0)," ")</f>
        <v>PM/0131/0108/45990160207</v>
      </c>
      <c r="AG163" s="118" t="s">
        <v>385</v>
      </c>
      <c r="AH163" s="162" t="s">
        <v>193</v>
      </c>
      <c r="AI163" s="165" t="str">
        <f>CONCATENATE(PAA[[#This Row],[Id Interno]],"-",PAA[[#This Row],[tipo de Contrato (TH talento humano - B/S bienes y/o servicios)]],"-",S163,"-",T163,"-",PAA[[#This Row],[Objeto de la contratación]])</f>
        <v>20260136-TH-8126-9-SGH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v>
      </c>
    </row>
    <row r="164" spans="2:35" ht="98" x14ac:dyDescent="0.35">
      <c r="B164" s="23">
        <v>20260137</v>
      </c>
      <c r="C164" s="99" t="s">
        <v>453</v>
      </c>
      <c r="D164" s="23" t="s">
        <v>105</v>
      </c>
      <c r="E164" s="23" t="s">
        <v>363</v>
      </c>
      <c r="F164" s="159" t="s">
        <v>145</v>
      </c>
      <c r="G164" s="160" t="s">
        <v>373</v>
      </c>
      <c r="H164" s="161">
        <v>10</v>
      </c>
      <c r="I164" s="161">
        <v>0</v>
      </c>
      <c r="J164" s="127">
        <v>36000000</v>
      </c>
      <c r="K164" s="88" t="s">
        <v>398</v>
      </c>
      <c r="L164" s="159" t="s">
        <v>154</v>
      </c>
      <c r="M164" s="162" t="s">
        <v>451</v>
      </c>
      <c r="N164" s="23" t="s">
        <v>197</v>
      </c>
      <c r="O164" s="151" t="s">
        <v>945</v>
      </c>
      <c r="P164" s="159" t="s">
        <v>348</v>
      </c>
      <c r="Q164" s="53">
        <v>80111600</v>
      </c>
      <c r="R164" s="162" t="s">
        <v>208</v>
      </c>
      <c r="S164" s="162" t="str">
        <f>MID(PAA[[#This Row],[Meta Proyecto de Inversión]],1,4)</f>
        <v>8126</v>
      </c>
      <c r="T164" s="162" t="str">
        <f>MID(PAA[[#This Row],[Meta Proyecto de Inversión]],6,1)</f>
        <v>9</v>
      </c>
      <c r="U164" s="163" t="str">
        <f>IFERROR(VLOOKUP(N164,TD!$B$50:$F$54,2,0)," ")</f>
        <v>O230117</v>
      </c>
      <c r="V164" s="163" t="str">
        <f>IFERROR(VLOOKUP(N164,TD!$B$50:$F$54,3,0)," ")</f>
        <v>4599</v>
      </c>
      <c r="W164" s="163">
        <f>IFERROR(VLOOKUP(N164,TD!$B$50:$F$54,4,0)," ")</f>
        <v>20240207</v>
      </c>
      <c r="X164" s="162" t="s">
        <v>174</v>
      </c>
      <c r="Y164" s="163" t="str">
        <f>IFERROR(VLOOKUP(X164,TD!$J$51:$K$64,2,0)," ")</f>
        <v>Infraestructura física, mantenimiento y dotación (Sedes construidas, mantenidas reforzadas)</v>
      </c>
      <c r="Z164" s="164" t="str">
        <f>CONCATENATE(X164,"-",Y164)</f>
        <v>08-Infraestructura física, mantenimiento y dotación (Sedes construidas, mantenidas reforzadas)</v>
      </c>
      <c r="AA164" s="162" t="s">
        <v>227</v>
      </c>
      <c r="AB164" s="163" t="str">
        <f>IFERROR(VLOOKUP(AA164,TD!$N$51:$O$66,2,0)," ")</f>
        <v>Sedes mantenidas</v>
      </c>
      <c r="AC164" s="164" t="str">
        <f>CONCATENATE(AA164,"_",AB164)</f>
        <v>016_Sedes mantenidas</v>
      </c>
      <c r="AD164" s="164" t="str">
        <f>CONCATENATE(Z164," ",AC164)</f>
        <v>08-Infraestructura física, mantenimiento y dotación (Sedes construidas, mantenidas reforzadas) 016_Sedes mantenidas</v>
      </c>
      <c r="AE164" s="163" t="str">
        <f>CONCATENATE(U164,V164,W164,X164,AA164)</f>
        <v>O23011745992024020708016</v>
      </c>
      <c r="AF164" s="163" t="str">
        <f>IFERROR(VLOOKUP(AD164,TD!$J$66:$K$89,2,0)," ")</f>
        <v>PM/0131/0108/45990160207</v>
      </c>
      <c r="AG164" s="118" t="s">
        <v>385</v>
      </c>
      <c r="AH164" s="162" t="s">
        <v>193</v>
      </c>
      <c r="AI164" s="165" t="str">
        <f>CONCATENATE(PAA[[#This Row],[Id Interno]],"-",PAA[[#This Row],[tipo de Contrato (TH talento humano - B/S bienes y/o servicios)]],"-",S164,"-",T164,"-",PAA[[#This Row],[Objeto de la contratación]])</f>
        <v>20260137-TH-8126-9-SGH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v>
      </c>
    </row>
    <row r="165" spans="2:35" ht="98" x14ac:dyDescent="0.35">
      <c r="B165" s="23">
        <v>20260138</v>
      </c>
      <c r="C165" s="99" t="s">
        <v>454</v>
      </c>
      <c r="D165" s="23" t="s">
        <v>105</v>
      </c>
      <c r="E165" s="23" t="s">
        <v>363</v>
      </c>
      <c r="F165" s="159" t="s">
        <v>144</v>
      </c>
      <c r="G165" s="160" t="s">
        <v>373</v>
      </c>
      <c r="H165" s="161">
        <v>7</v>
      </c>
      <c r="I165" s="161">
        <v>0</v>
      </c>
      <c r="J165" s="127">
        <v>50400000</v>
      </c>
      <c r="K165" s="88" t="s">
        <v>398</v>
      </c>
      <c r="L165" s="159" t="s">
        <v>154</v>
      </c>
      <c r="M165" s="162" t="s">
        <v>451</v>
      </c>
      <c r="N165" s="23" t="s">
        <v>197</v>
      </c>
      <c r="O165" s="151" t="s">
        <v>945</v>
      </c>
      <c r="P165" s="159" t="s">
        <v>348</v>
      </c>
      <c r="Q165" s="53">
        <v>80111600</v>
      </c>
      <c r="R165" s="162" t="s">
        <v>208</v>
      </c>
      <c r="S165" s="162" t="str">
        <f>MID(PAA[[#This Row],[Meta Proyecto de Inversión]],1,4)</f>
        <v>8126</v>
      </c>
      <c r="T165" s="162" t="str">
        <f>MID(PAA[[#This Row],[Meta Proyecto de Inversión]],6,1)</f>
        <v>9</v>
      </c>
      <c r="U165" s="163" t="str">
        <f>IFERROR(VLOOKUP(N165,TD!$B$50:$F$54,2,0)," ")</f>
        <v>O230117</v>
      </c>
      <c r="V165" s="163" t="str">
        <f>IFERROR(VLOOKUP(N165,TD!$B$50:$F$54,3,0)," ")</f>
        <v>4599</v>
      </c>
      <c r="W165" s="163">
        <f>IFERROR(VLOOKUP(N165,TD!$B$50:$F$54,4,0)," ")</f>
        <v>20240207</v>
      </c>
      <c r="X165" s="162" t="s">
        <v>174</v>
      </c>
      <c r="Y165" s="163" t="str">
        <f>IFERROR(VLOOKUP(X165,TD!$J$51:$K$64,2,0)," ")</f>
        <v>Infraestructura física, mantenimiento y dotación (Sedes construidas, mantenidas reforzadas)</v>
      </c>
      <c r="Z165" s="164" t="str">
        <f>CONCATENATE(X165,"-",Y165)</f>
        <v>08-Infraestructura física, mantenimiento y dotación (Sedes construidas, mantenidas reforzadas)</v>
      </c>
      <c r="AA165" s="162" t="s">
        <v>227</v>
      </c>
      <c r="AB165" s="163" t="str">
        <f>IFERROR(VLOOKUP(AA165,TD!$N$51:$O$66,2,0)," ")</f>
        <v>Sedes mantenidas</v>
      </c>
      <c r="AC165" s="164" t="str">
        <f>CONCATENATE(AA165,"_",AB165)</f>
        <v>016_Sedes mantenidas</v>
      </c>
      <c r="AD165" s="164" t="str">
        <f>CONCATENATE(Z165," ",AC165)</f>
        <v>08-Infraestructura física, mantenimiento y dotación (Sedes construidas, mantenidas reforzadas) 016_Sedes mantenidas</v>
      </c>
      <c r="AE165" s="163" t="str">
        <f>CONCATENATE(U165,V165,W165,X165,AA165)</f>
        <v>O23011745992024020708016</v>
      </c>
      <c r="AF165" s="163" t="str">
        <f>IFERROR(VLOOKUP(AD165,TD!$J$66:$K$89,2,0)," ")</f>
        <v>PM/0131/0108/45990160207</v>
      </c>
      <c r="AG165" s="118" t="s">
        <v>385</v>
      </c>
      <c r="AH165" s="162" t="s">
        <v>193</v>
      </c>
      <c r="AI165" s="165" t="str">
        <f>CONCATENATE(PAA[[#This Row],[Id Interno]],"-",PAA[[#This Row],[tipo de Contrato (TH talento humano - B/S bienes y/o servicios)]],"-",S165,"-",T165,"-",PAA[[#This Row],[Objeto de la contratación]])</f>
        <v>20260138-TH-8126-9-SGH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v>
      </c>
    </row>
    <row r="166" spans="2:35" ht="98" x14ac:dyDescent="0.35">
      <c r="B166" s="23">
        <v>20260139</v>
      </c>
      <c r="C166" s="99" t="s">
        <v>997</v>
      </c>
      <c r="D166" s="23" t="s">
        <v>105</v>
      </c>
      <c r="E166" s="23" t="s">
        <v>363</v>
      </c>
      <c r="F166" s="159" t="s">
        <v>144</v>
      </c>
      <c r="G166" s="160" t="s">
        <v>373</v>
      </c>
      <c r="H166" s="161">
        <v>7</v>
      </c>
      <c r="I166" s="161">
        <v>0</v>
      </c>
      <c r="J166" s="127">
        <v>50400000</v>
      </c>
      <c r="K166" s="88" t="s">
        <v>398</v>
      </c>
      <c r="L166" s="159" t="s">
        <v>154</v>
      </c>
      <c r="M166" s="162" t="s">
        <v>451</v>
      </c>
      <c r="N166" s="23" t="s">
        <v>197</v>
      </c>
      <c r="O166" s="151" t="s">
        <v>945</v>
      </c>
      <c r="P166" s="159" t="s">
        <v>348</v>
      </c>
      <c r="Q166" s="53">
        <v>80111600</v>
      </c>
      <c r="R166" s="162" t="s">
        <v>208</v>
      </c>
      <c r="S166" s="162" t="str">
        <f>MID(PAA[[#This Row],[Meta Proyecto de Inversión]],1,4)</f>
        <v>8126</v>
      </c>
      <c r="T166" s="162" t="str">
        <f>MID(PAA[[#This Row],[Meta Proyecto de Inversión]],6,1)</f>
        <v>9</v>
      </c>
      <c r="U166" s="163" t="str">
        <f>IFERROR(VLOOKUP(N166,TD!$B$50:$F$54,2,0)," ")</f>
        <v>O230117</v>
      </c>
      <c r="V166" s="163" t="str">
        <f>IFERROR(VLOOKUP(N166,TD!$B$50:$F$54,3,0)," ")</f>
        <v>4599</v>
      </c>
      <c r="W166" s="163">
        <f>IFERROR(VLOOKUP(N166,TD!$B$50:$F$54,4,0)," ")</f>
        <v>20240207</v>
      </c>
      <c r="X166" s="162" t="s">
        <v>174</v>
      </c>
      <c r="Y166" s="163" t="str">
        <f>IFERROR(VLOOKUP(X166,TD!$J$51:$K$64,2,0)," ")</f>
        <v>Infraestructura física, mantenimiento y dotación (Sedes construidas, mantenidas reforzadas)</v>
      </c>
      <c r="Z166" s="164" t="str">
        <f>CONCATENATE(X166,"-",Y166)</f>
        <v>08-Infraestructura física, mantenimiento y dotación (Sedes construidas, mantenidas reforzadas)</v>
      </c>
      <c r="AA166" s="162" t="s">
        <v>227</v>
      </c>
      <c r="AB166" s="163" t="str">
        <f>IFERROR(VLOOKUP(AA166,TD!$N$51:$O$66,2,0)," ")</f>
        <v>Sedes mantenidas</v>
      </c>
      <c r="AC166" s="164" t="str">
        <f>CONCATENATE(AA166,"_",AB166)</f>
        <v>016_Sedes mantenidas</v>
      </c>
      <c r="AD166" s="164" t="str">
        <f>CONCATENATE(Z166," ",AC166)</f>
        <v>08-Infraestructura física, mantenimiento y dotación (Sedes construidas, mantenidas reforzadas) 016_Sedes mantenidas</v>
      </c>
      <c r="AE166" s="163" t="str">
        <f>CONCATENATE(U166,V166,W166,X166,AA166)</f>
        <v>O23011745992024020708016</v>
      </c>
      <c r="AF166" s="163" t="str">
        <f>IFERROR(VLOOKUP(AD166,TD!$J$66:$K$89,2,0)," ")</f>
        <v>PM/0131/0108/45990160207</v>
      </c>
      <c r="AG166" s="118" t="s">
        <v>385</v>
      </c>
      <c r="AH166" s="162" t="s">
        <v>193</v>
      </c>
      <c r="AI166" s="165" t="str">
        <f>CONCATENATE(PAA[[#This Row],[Id Interno]],"-",PAA[[#This Row],[tipo de Contrato (TH talento humano - B/S bienes y/o servicios)]],"-",S166,"-",T166,"-",PAA[[#This Row],[Objeto de la contratación]])</f>
        <v>20260139-TH-8126-9-SGH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v>
      </c>
    </row>
    <row r="167" spans="2:35" ht="84" x14ac:dyDescent="0.35">
      <c r="B167" s="23">
        <v>20260140</v>
      </c>
      <c r="C167" s="99" t="s">
        <v>624</v>
      </c>
      <c r="D167" s="23" t="s">
        <v>105</v>
      </c>
      <c r="E167" s="23" t="s">
        <v>363</v>
      </c>
      <c r="F167" s="159" t="s">
        <v>144</v>
      </c>
      <c r="G167" s="160" t="s">
        <v>373</v>
      </c>
      <c r="H167" s="161">
        <v>7</v>
      </c>
      <c r="I167" s="161">
        <v>0</v>
      </c>
      <c r="J167" s="127">
        <v>38500000</v>
      </c>
      <c r="K167" s="88" t="s">
        <v>398</v>
      </c>
      <c r="L167" s="159" t="s">
        <v>154</v>
      </c>
      <c r="M167" s="162" t="s">
        <v>451</v>
      </c>
      <c r="N167" s="23" t="s">
        <v>197</v>
      </c>
      <c r="O167" s="151" t="s">
        <v>945</v>
      </c>
      <c r="P167" s="159" t="s">
        <v>348</v>
      </c>
      <c r="Q167" s="53">
        <v>80111600</v>
      </c>
      <c r="R167" s="162" t="s">
        <v>208</v>
      </c>
      <c r="S167" s="162" t="str">
        <f>MID(PAA[[#This Row],[Meta Proyecto de Inversión]],1,4)</f>
        <v>8126</v>
      </c>
      <c r="T167" s="162" t="str">
        <f>MID(PAA[[#This Row],[Meta Proyecto de Inversión]],6,1)</f>
        <v>9</v>
      </c>
      <c r="U167" s="163" t="str">
        <f>IFERROR(VLOOKUP(N167,TD!$B$50:$F$54,2,0)," ")</f>
        <v>O230117</v>
      </c>
      <c r="V167" s="163" t="str">
        <f>IFERROR(VLOOKUP(N167,TD!$B$50:$F$54,3,0)," ")</f>
        <v>4599</v>
      </c>
      <c r="W167" s="163">
        <f>IFERROR(VLOOKUP(N167,TD!$B$50:$F$54,4,0)," ")</f>
        <v>20240207</v>
      </c>
      <c r="X167" s="162" t="s">
        <v>174</v>
      </c>
      <c r="Y167" s="163" t="str">
        <f>IFERROR(VLOOKUP(X167,TD!$J$51:$K$64,2,0)," ")</f>
        <v>Infraestructura física, mantenimiento y dotación (Sedes construidas, mantenidas reforzadas)</v>
      </c>
      <c r="Z167" s="164" t="str">
        <f>CONCATENATE(X167,"-",Y167)</f>
        <v>08-Infraestructura física, mantenimiento y dotación (Sedes construidas, mantenidas reforzadas)</v>
      </c>
      <c r="AA167" s="162" t="s">
        <v>227</v>
      </c>
      <c r="AB167" s="163" t="str">
        <f>IFERROR(VLOOKUP(AA167,TD!$N$51:$O$66,2,0)," ")</f>
        <v>Sedes mantenidas</v>
      </c>
      <c r="AC167" s="164" t="str">
        <f>CONCATENATE(AA167,"_",AB167)</f>
        <v>016_Sedes mantenidas</v>
      </c>
      <c r="AD167" s="164" t="str">
        <f>CONCATENATE(Z167," ",AC167)</f>
        <v>08-Infraestructura física, mantenimiento y dotación (Sedes construidas, mantenidas reforzadas) 016_Sedes mantenidas</v>
      </c>
      <c r="AE167" s="163" t="str">
        <f>CONCATENATE(U167,V167,W167,X167,AA167)</f>
        <v>O23011745992024020708016</v>
      </c>
      <c r="AF167" s="163" t="str">
        <f>IFERROR(VLOOKUP(AD167,TD!$J$66:$K$89,2,0)," ")</f>
        <v>PM/0131/0108/45990160207</v>
      </c>
      <c r="AG167" s="118" t="s">
        <v>385</v>
      </c>
      <c r="AH167" s="162" t="s">
        <v>193</v>
      </c>
      <c r="AI167" s="165" t="str">
        <f>CONCATENATE(PAA[[#This Row],[Id Interno]],"-",PAA[[#This Row],[tipo de Contrato (TH talento humano - B/S bienes y/o servicios)]],"-",S167,"-",T167,"-",PAA[[#This Row],[Objeto de la contratación]])</f>
        <v>20260140-TH-8126-9-SGH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v>
      </c>
    </row>
    <row r="168" spans="2:35" ht="112" x14ac:dyDescent="0.35">
      <c r="B168" s="23">
        <v>20260141</v>
      </c>
      <c r="C168" s="99" t="s">
        <v>455</v>
      </c>
      <c r="D168" s="23" t="s">
        <v>105</v>
      </c>
      <c r="E168" s="23" t="s">
        <v>363</v>
      </c>
      <c r="F168" s="159" t="s">
        <v>144</v>
      </c>
      <c r="G168" s="160" t="s">
        <v>373</v>
      </c>
      <c r="H168" s="161">
        <v>10</v>
      </c>
      <c r="I168" s="161">
        <v>0</v>
      </c>
      <c r="J168" s="127">
        <v>69000000</v>
      </c>
      <c r="K168" s="88" t="s">
        <v>398</v>
      </c>
      <c r="L168" s="159" t="s">
        <v>154</v>
      </c>
      <c r="M168" s="162" t="s">
        <v>451</v>
      </c>
      <c r="N168" s="23" t="s">
        <v>197</v>
      </c>
      <c r="O168" s="151" t="s">
        <v>945</v>
      </c>
      <c r="P168" s="159" t="s">
        <v>348</v>
      </c>
      <c r="Q168" s="53">
        <v>80111600</v>
      </c>
      <c r="R168" s="162" t="s">
        <v>208</v>
      </c>
      <c r="S168" s="162" t="str">
        <f>MID(PAA[[#This Row],[Meta Proyecto de Inversión]],1,4)</f>
        <v>8126</v>
      </c>
      <c r="T168" s="162" t="str">
        <f>MID(PAA[[#This Row],[Meta Proyecto de Inversión]],6,1)</f>
        <v>9</v>
      </c>
      <c r="U168" s="163" t="str">
        <f>IFERROR(VLOOKUP(N168,TD!$B$50:$F$54,2,0)," ")</f>
        <v>O230117</v>
      </c>
      <c r="V168" s="163" t="str">
        <f>IFERROR(VLOOKUP(N168,TD!$B$50:$F$54,3,0)," ")</f>
        <v>4599</v>
      </c>
      <c r="W168" s="163">
        <f>IFERROR(VLOOKUP(N168,TD!$B$50:$F$54,4,0)," ")</f>
        <v>20240207</v>
      </c>
      <c r="X168" s="162" t="s">
        <v>174</v>
      </c>
      <c r="Y168" s="163" t="str">
        <f>IFERROR(VLOOKUP(X168,TD!$J$51:$K$64,2,0)," ")</f>
        <v>Infraestructura física, mantenimiento y dotación (Sedes construidas, mantenidas reforzadas)</v>
      </c>
      <c r="Z168" s="164" t="str">
        <f>CONCATENATE(X168,"-",Y168)</f>
        <v>08-Infraestructura física, mantenimiento y dotación (Sedes construidas, mantenidas reforzadas)</v>
      </c>
      <c r="AA168" s="162" t="s">
        <v>227</v>
      </c>
      <c r="AB168" s="163" t="str">
        <f>IFERROR(VLOOKUP(AA168,TD!$N$51:$O$66,2,0)," ")</f>
        <v>Sedes mantenidas</v>
      </c>
      <c r="AC168" s="164" t="str">
        <f>CONCATENATE(AA168,"_",AB168)</f>
        <v>016_Sedes mantenidas</v>
      </c>
      <c r="AD168" s="164" t="str">
        <f>CONCATENATE(Z168," ",AC168)</f>
        <v>08-Infraestructura física, mantenimiento y dotación (Sedes construidas, mantenidas reforzadas) 016_Sedes mantenidas</v>
      </c>
      <c r="AE168" s="163" t="str">
        <f>CONCATENATE(U168,V168,W168,X168,AA168)</f>
        <v>O23011745992024020708016</v>
      </c>
      <c r="AF168" s="163" t="str">
        <f>IFERROR(VLOOKUP(AD168,TD!$J$66:$K$89,2,0)," ")</f>
        <v>PM/0131/0108/45990160207</v>
      </c>
      <c r="AG168" s="118" t="s">
        <v>385</v>
      </c>
      <c r="AH168" s="162" t="s">
        <v>193</v>
      </c>
      <c r="AI168" s="165" t="str">
        <f>CONCATENATE(PAA[[#This Row],[Id Interno]],"-",PAA[[#This Row],[tipo de Contrato (TH talento humano - B/S bienes y/o servicios)]],"-",S168,"-",T168,"-",PAA[[#This Row],[Objeto de la contratación]])</f>
        <v>20260141-TH-8126-9-SGH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v>
      </c>
    </row>
    <row r="169" spans="2:35" ht="126" x14ac:dyDescent="0.35">
      <c r="B169" s="23">
        <v>20260142</v>
      </c>
      <c r="C169" s="99" t="s">
        <v>456</v>
      </c>
      <c r="D169" s="23" t="s">
        <v>105</v>
      </c>
      <c r="E169" s="23" t="s">
        <v>363</v>
      </c>
      <c r="F169" s="159" t="s">
        <v>145</v>
      </c>
      <c r="G169" s="160" t="s">
        <v>373</v>
      </c>
      <c r="H169" s="161">
        <v>7</v>
      </c>
      <c r="I169" s="161">
        <v>0</v>
      </c>
      <c r="J169" s="127">
        <v>28700000</v>
      </c>
      <c r="K169" s="88" t="s">
        <v>398</v>
      </c>
      <c r="L169" s="159" t="s">
        <v>154</v>
      </c>
      <c r="M169" s="162" t="s">
        <v>451</v>
      </c>
      <c r="N169" s="23" t="s">
        <v>197</v>
      </c>
      <c r="O169" s="151" t="s">
        <v>945</v>
      </c>
      <c r="P169" s="159" t="s">
        <v>348</v>
      </c>
      <c r="Q169" s="53">
        <v>80111600</v>
      </c>
      <c r="R169" s="162" t="s">
        <v>208</v>
      </c>
      <c r="S169" s="162" t="str">
        <f>MID(PAA[[#This Row],[Meta Proyecto de Inversión]],1,4)</f>
        <v>8126</v>
      </c>
      <c r="T169" s="162" t="str">
        <f>MID(PAA[[#This Row],[Meta Proyecto de Inversión]],6,1)</f>
        <v>9</v>
      </c>
      <c r="U169" s="163" t="str">
        <f>IFERROR(VLOOKUP(N169,TD!$B$50:$F$54,2,0)," ")</f>
        <v>O230117</v>
      </c>
      <c r="V169" s="163" t="str">
        <f>IFERROR(VLOOKUP(N169,TD!$B$50:$F$54,3,0)," ")</f>
        <v>4599</v>
      </c>
      <c r="W169" s="163">
        <f>IFERROR(VLOOKUP(N169,TD!$B$50:$F$54,4,0)," ")</f>
        <v>20240207</v>
      </c>
      <c r="X169" s="162" t="s">
        <v>174</v>
      </c>
      <c r="Y169" s="163" t="str">
        <f>IFERROR(VLOOKUP(X169,TD!$J$51:$K$64,2,0)," ")</f>
        <v>Infraestructura física, mantenimiento y dotación (Sedes construidas, mantenidas reforzadas)</v>
      </c>
      <c r="Z169" s="164" t="str">
        <f>CONCATENATE(X169,"-",Y169)</f>
        <v>08-Infraestructura física, mantenimiento y dotación (Sedes construidas, mantenidas reforzadas)</v>
      </c>
      <c r="AA169" s="162" t="s">
        <v>227</v>
      </c>
      <c r="AB169" s="163" t="str">
        <f>IFERROR(VLOOKUP(AA169,TD!$N$51:$O$66,2,0)," ")</f>
        <v>Sedes mantenidas</v>
      </c>
      <c r="AC169" s="164" t="str">
        <f>CONCATENATE(AA169,"_",AB169)</f>
        <v>016_Sedes mantenidas</v>
      </c>
      <c r="AD169" s="164" t="str">
        <f>CONCATENATE(Z169," ",AC169)</f>
        <v>08-Infraestructura física, mantenimiento y dotación (Sedes construidas, mantenidas reforzadas) 016_Sedes mantenidas</v>
      </c>
      <c r="AE169" s="163" t="str">
        <f>CONCATENATE(U169,V169,W169,X169,AA169)</f>
        <v>O23011745992024020708016</v>
      </c>
      <c r="AF169" s="163" t="str">
        <f>IFERROR(VLOOKUP(AD169,TD!$J$66:$K$89,2,0)," ")</f>
        <v>PM/0131/0108/45990160207</v>
      </c>
      <c r="AG169" s="118" t="s">
        <v>385</v>
      </c>
      <c r="AH169" s="162" t="s">
        <v>193</v>
      </c>
      <c r="AI169" s="165" t="str">
        <f>CONCATENATE(PAA[[#This Row],[Id Interno]],"-",PAA[[#This Row],[tipo de Contrato (TH talento humano - B/S bienes y/o servicios)]],"-",S169,"-",T169,"-",PAA[[#This Row],[Objeto de la contratación]])</f>
        <v>20260142-TH-8126-9-SGH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v>
      </c>
    </row>
    <row r="170" spans="2:35" ht="98" x14ac:dyDescent="0.35">
      <c r="B170" s="23">
        <v>20260143</v>
      </c>
      <c r="C170" s="99" t="s">
        <v>457</v>
      </c>
      <c r="D170" s="23" t="s">
        <v>105</v>
      </c>
      <c r="E170" s="23" t="s">
        <v>363</v>
      </c>
      <c r="F170" s="159" t="s">
        <v>144</v>
      </c>
      <c r="G170" s="160" t="s">
        <v>373</v>
      </c>
      <c r="H170" s="161">
        <v>7</v>
      </c>
      <c r="I170" s="161">
        <v>0</v>
      </c>
      <c r="J170" s="127">
        <v>45080000</v>
      </c>
      <c r="K170" s="88" t="s">
        <v>398</v>
      </c>
      <c r="L170" s="159" t="s">
        <v>154</v>
      </c>
      <c r="M170" s="162" t="s">
        <v>451</v>
      </c>
      <c r="N170" s="23" t="s">
        <v>197</v>
      </c>
      <c r="O170" s="151" t="s">
        <v>945</v>
      </c>
      <c r="P170" s="159" t="s">
        <v>348</v>
      </c>
      <c r="Q170" s="53">
        <v>80111600</v>
      </c>
      <c r="R170" s="162" t="s">
        <v>208</v>
      </c>
      <c r="S170" s="162" t="str">
        <f>MID(PAA[[#This Row],[Meta Proyecto de Inversión]],1,4)</f>
        <v>8126</v>
      </c>
      <c r="T170" s="162" t="str">
        <f>MID(PAA[[#This Row],[Meta Proyecto de Inversión]],6,1)</f>
        <v>9</v>
      </c>
      <c r="U170" s="163" t="str">
        <f>IFERROR(VLOOKUP(N170,TD!$B$50:$F$54,2,0)," ")</f>
        <v>O230117</v>
      </c>
      <c r="V170" s="163" t="str">
        <f>IFERROR(VLOOKUP(N170,TD!$B$50:$F$54,3,0)," ")</f>
        <v>4599</v>
      </c>
      <c r="W170" s="163">
        <f>IFERROR(VLOOKUP(N170,TD!$B$50:$F$54,4,0)," ")</f>
        <v>20240207</v>
      </c>
      <c r="X170" s="162" t="s">
        <v>174</v>
      </c>
      <c r="Y170" s="163" t="str">
        <f>IFERROR(VLOOKUP(X170,TD!$J$51:$K$64,2,0)," ")</f>
        <v>Infraestructura física, mantenimiento y dotación (Sedes construidas, mantenidas reforzadas)</v>
      </c>
      <c r="Z170" s="164" t="str">
        <f>CONCATENATE(X170,"-",Y170)</f>
        <v>08-Infraestructura física, mantenimiento y dotación (Sedes construidas, mantenidas reforzadas)</v>
      </c>
      <c r="AA170" s="162" t="s">
        <v>227</v>
      </c>
      <c r="AB170" s="163" t="str">
        <f>IFERROR(VLOOKUP(AA170,TD!$N$51:$O$66,2,0)," ")</f>
        <v>Sedes mantenidas</v>
      </c>
      <c r="AC170" s="164" t="str">
        <f>CONCATENATE(AA170,"_",AB170)</f>
        <v>016_Sedes mantenidas</v>
      </c>
      <c r="AD170" s="164" t="str">
        <f>CONCATENATE(Z170," ",AC170)</f>
        <v>08-Infraestructura física, mantenimiento y dotación (Sedes construidas, mantenidas reforzadas) 016_Sedes mantenidas</v>
      </c>
      <c r="AE170" s="163" t="str">
        <f>CONCATENATE(U170,V170,W170,X170,AA170)</f>
        <v>O23011745992024020708016</v>
      </c>
      <c r="AF170" s="163" t="str">
        <f>IFERROR(VLOOKUP(AD170,TD!$J$66:$K$89,2,0)," ")</f>
        <v>PM/0131/0108/45990160207</v>
      </c>
      <c r="AG170" s="118" t="s">
        <v>385</v>
      </c>
      <c r="AH170" s="162" t="s">
        <v>193</v>
      </c>
      <c r="AI170" s="165" t="str">
        <f>CONCATENATE(PAA[[#This Row],[Id Interno]],"-",PAA[[#This Row],[tipo de Contrato (TH talento humano - B/S bienes y/o servicios)]],"-",S170,"-",T170,"-",PAA[[#This Row],[Objeto de la contratación]])</f>
        <v>20260143-TH-8126-9-SGH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v>
      </c>
    </row>
    <row r="171" spans="2:35" ht="98" x14ac:dyDescent="0.35">
      <c r="B171" s="23">
        <v>20260144</v>
      </c>
      <c r="C171" s="99" t="s">
        <v>458</v>
      </c>
      <c r="D171" s="23" t="s">
        <v>105</v>
      </c>
      <c r="E171" s="23" t="s">
        <v>363</v>
      </c>
      <c r="F171" s="159" t="s">
        <v>144</v>
      </c>
      <c r="G171" s="160" t="s">
        <v>373</v>
      </c>
      <c r="H171" s="161">
        <v>11</v>
      </c>
      <c r="I171" s="161">
        <v>0</v>
      </c>
      <c r="J171" s="127">
        <v>53900000</v>
      </c>
      <c r="K171" s="88" t="s">
        <v>398</v>
      </c>
      <c r="L171" s="159" t="s">
        <v>154</v>
      </c>
      <c r="M171" s="162" t="s">
        <v>451</v>
      </c>
      <c r="N171" s="23" t="s">
        <v>197</v>
      </c>
      <c r="O171" s="151" t="s">
        <v>945</v>
      </c>
      <c r="P171" s="159" t="s">
        <v>348</v>
      </c>
      <c r="Q171" s="53">
        <v>80111600</v>
      </c>
      <c r="R171" s="162" t="s">
        <v>208</v>
      </c>
      <c r="S171" s="162" t="str">
        <f>MID(PAA[[#This Row],[Meta Proyecto de Inversión]],1,4)</f>
        <v>8126</v>
      </c>
      <c r="T171" s="162" t="str">
        <f>MID(PAA[[#This Row],[Meta Proyecto de Inversión]],6,1)</f>
        <v>9</v>
      </c>
      <c r="U171" s="163" t="str">
        <f>IFERROR(VLOOKUP(N171,TD!$B$50:$F$54,2,0)," ")</f>
        <v>O230117</v>
      </c>
      <c r="V171" s="163" t="str">
        <f>IFERROR(VLOOKUP(N171,TD!$B$50:$F$54,3,0)," ")</f>
        <v>4599</v>
      </c>
      <c r="W171" s="163">
        <f>IFERROR(VLOOKUP(N171,TD!$B$50:$F$54,4,0)," ")</f>
        <v>20240207</v>
      </c>
      <c r="X171" s="162" t="s">
        <v>174</v>
      </c>
      <c r="Y171" s="163" t="str">
        <f>IFERROR(VLOOKUP(X171,TD!$J$51:$K$64,2,0)," ")</f>
        <v>Infraestructura física, mantenimiento y dotación (Sedes construidas, mantenidas reforzadas)</v>
      </c>
      <c r="Z171" s="164" t="str">
        <f>CONCATENATE(X171,"-",Y171)</f>
        <v>08-Infraestructura física, mantenimiento y dotación (Sedes construidas, mantenidas reforzadas)</v>
      </c>
      <c r="AA171" s="162" t="s">
        <v>227</v>
      </c>
      <c r="AB171" s="163" t="str">
        <f>IFERROR(VLOOKUP(AA171,TD!$N$51:$O$66,2,0)," ")</f>
        <v>Sedes mantenidas</v>
      </c>
      <c r="AC171" s="164" t="str">
        <f>CONCATENATE(AA171,"_",AB171)</f>
        <v>016_Sedes mantenidas</v>
      </c>
      <c r="AD171" s="164" t="str">
        <f>CONCATENATE(Z171," ",AC171)</f>
        <v>08-Infraestructura física, mantenimiento y dotación (Sedes construidas, mantenidas reforzadas) 016_Sedes mantenidas</v>
      </c>
      <c r="AE171" s="163" t="str">
        <f>CONCATENATE(U171,V171,W171,X171,AA171)</f>
        <v>O23011745992024020708016</v>
      </c>
      <c r="AF171" s="163" t="str">
        <f>IFERROR(VLOOKUP(AD171,TD!$J$66:$K$89,2,0)," ")</f>
        <v>PM/0131/0108/45990160207</v>
      </c>
      <c r="AG171" s="118" t="s">
        <v>385</v>
      </c>
      <c r="AH171" s="162" t="s">
        <v>193</v>
      </c>
      <c r="AI171" s="165" t="str">
        <f>CONCATENATE(PAA[[#This Row],[Id Interno]],"-",PAA[[#This Row],[tipo de Contrato (TH talento humano - B/S bienes y/o servicios)]],"-",S171,"-",T171,"-",PAA[[#This Row],[Objeto de la contratación]])</f>
        <v>20260144-TH-8126-9-SGH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v>
      </c>
    </row>
    <row r="172" spans="2:35" ht="84" x14ac:dyDescent="0.35">
      <c r="B172" s="23">
        <v>20260145</v>
      </c>
      <c r="C172" s="99" t="s">
        <v>899</v>
      </c>
      <c r="D172" s="23" t="s">
        <v>105</v>
      </c>
      <c r="E172" s="23" t="s">
        <v>363</v>
      </c>
      <c r="F172" s="159" t="s">
        <v>145</v>
      </c>
      <c r="G172" s="160" t="s">
        <v>373</v>
      </c>
      <c r="H172" s="161">
        <v>8</v>
      </c>
      <c r="I172" s="161">
        <v>0</v>
      </c>
      <c r="J172" s="127">
        <v>32000000</v>
      </c>
      <c r="K172" s="88" t="s">
        <v>398</v>
      </c>
      <c r="L172" s="159" t="s">
        <v>154</v>
      </c>
      <c r="M172" s="162" t="s">
        <v>451</v>
      </c>
      <c r="N172" s="23" t="s">
        <v>197</v>
      </c>
      <c r="O172" s="151" t="s">
        <v>945</v>
      </c>
      <c r="P172" s="159" t="s">
        <v>348</v>
      </c>
      <c r="Q172" s="53">
        <v>80111600</v>
      </c>
      <c r="R172" s="162" t="s">
        <v>208</v>
      </c>
      <c r="S172" s="162" t="str">
        <f>MID(PAA[[#This Row],[Meta Proyecto de Inversión]],1,4)</f>
        <v>8126</v>
      </c>
      <c r="T172" s="162" t="str">
        <f>MID(PAA[[#This Row],[Meta Proyecto de Inversión]],6,1)</f>
        <v>9</v>
      </c>
      <c r="U172" s="163" t="str">
        <f>IFERROR(VLOOKUP(N172,TD!$B$50:$F$54,2,0)," ")</f>
        <v>O230117</v>
      </c>
      <c r="V172" s="163" t="str">
        <f>IFERROR(VLOOKUP(N172,TD!$B$50:$F$54,3,0)," ")</f>
        <v>4599</v>
      </c>
      <c r="W172" s="163">
        <f>IFERROR(VLOOKUP(N172,TD!$B$50:$F$54,4,0)," ")</f>
        <v>20240207</v>
      </c>
      <c r="X172" s="162" t="s">
        <v>174</v>
      </c>
      <c r="Y172" s="163" t="str">
        <f>IFERROR(VLOOKUP(X172,TD!$J$51:$K$64,2,0)," ")</f>
        <v>Infraestructura física, mantenimiento y dotación (Sedes construidas, mantenidas reforzadas)</v>
      </c>
      <c r="Z172" s="164" t="str">
        <f>CONCATENATE(X172,"-",Y172)</f>
        <v>08-Infraestructura física, mantenimiento y dotación (Sedes construidas, mantenidas reforzadas)</v>
      </c>
      <c r="AA172" s="162" t="s">
        <v>227</v>
      </c>
      <c r="AB172" s="163" t="str">
        <f>IFERROR(VLOOKUP(AA172,TD!$N$51:$O$66,2,0)," ")</f>
        <v>Sedes mantenidas</v>
      </c>
      <c r="AC172" s="164" t="str">
        <f>CONCATENATE(AA172,"_",AB172)</f>
        <v>016_Sedes mantenidas</v>
      </c>
      <c r="AD172" s="164" t="str">
        <f>CONCATENATE(Z172," ",AC172)</f>
        <v>08-Infraestructura física, mantenimiento y dotación (Sedes construidas, mantenidas reforzadas) 016_Sedes mantenidas</v>
      </c>
      <c r="AE172" s="163" t="str">
        <f>CONCATENATE(U172,V172,W172,X172,AA172)</f>
        <v>O23011745992024020708016</v>
      </c>
      <c r="AF172" s="163" t="str">
        <f>IFERROR(VLOOKUP(AD172,TD!$J$66:$K$89,2,0)," ")</f>
        <v>PM/0131/0108/45990160207</v>
      </c>
      <c r="AG172" s="118" t="s">
        <v>385</v>
      </c>
      <c r="AH172" s="162" t="s">
        <v>193</v>
      </c>
      <c r="AI172" s="165" t="str">
        <f>CONCATENATE(PAA[[#This Row],[Id Interno]],"-",PAA[[#This Row],[tipo de Contrato (TH talento humano - B/S bienes y/o servicios)]],"-",S172,"-",T172,"-",PAA[[#This Row],[Objeto de la contratación]])</f>
        <v>20260145-TH-8126-9-SGH-Prestar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v>
      </c>
    </row>
    <row r="173" spans="2:35" ht="168" x14ac:dyDescent="0.35">
      <c r="B173" s="23">
        <v>20260146</v>
      </c>
      <c r="C173" s="99" t="s">
        <v>459</v>
      </c>
      <c r="D173" s="23" t="s">
        <v>105</v>
      </c>
      <c r="E173" s="23" t="s">
        <v>363</v>
      </c>
      <c r="F173" s="159" t="s">
        <v>144</v>
      </c>
      <c r="G173" s="160" t="s">
        <v>373</v>
      </c>
      <c r="H173" s="161">
        <v>7</v>
      </c>
      <c r="I173" s="161">
        <v>0</v>
      </c>
      <c r="J173" s="127">
        <v>40600000</v>
      </c>
      <c r="K173" s="88" t="s">
        <v>398</v>
      </c>
      <c r="L173" s="159" t="s">
        <v>154</v>
      </c>
      <c r="M173" s="162" t="s">
        <v>451</v>
      </c>
      <c r="N173" s="23" t="s">
        <v>197</v>
      </c>
      <c r="O173" s="151" t="s">
        <v>945</v>
      </c>
      <c r="P173" s="159" t="s">
        <v>348</v>
      </c>
      <c r="Q173" s="53">
        <v>80111600</v>
      </c>
      <c r="R173" s="162" t="s">
        <v>208</v>
      </c>
      <c r="S173" s="162" t="str">
        <f>MID(PAA[[#This Row],[Meta Proyecto de Inversión]],1,4)</f>
        <v>8126</v>
      </c>
      <c r="T173" s="162" t="str">
        <f>MID(PAA[[#This Row],[Meta Proyecto de Inversión]],6,1)</f>
        <v>9</v>
      </c>
      <c r="U173" s="163" t="str">
        <f>IFERROR(VLOOKUP(N173,TD!$B$50:$F$54,2,0)," ")</f>
        <v>O230117</v>
      </c>
      <c r="V173" s="163" t="str">
        <f>IFERROR(VLOOKUP(N173,TD!$B$50:$F$54,3,0)," ")</f>
        <v>4599</v>
      </c>
      <c r="W173" s="163">
        <f>IFERROR(VLOOKUP(N173,TD!$B$50:$F$54,4,0)," ")</f>
        <v>20240207</v>
      </c>
      <c r="X173" s="162" t="s">
        <v>174</v>
      </c>
      <c r="Y173" s="163" t="str">
        <f>IFERROR(VLOOKUP(X173,TD!$J$51:$K$64,2,0)," ")</f>
        <v>Infraestructura física, mantenimiento y dotación (Sedes construidas, mantenidas reforzadas)</v>
      </c>
      <c r="Z173" s="164" t="str">
        <f>CONCATENATE(X173,"-",Y173)</f>
        <v>08-Infraestructura física, mantenimiento y dotación (Sedes construidas, mantenidas reforzadas)</v>
      </c>
      <c r="AA173" s="162" t="s">
        <v>227</v>
      </c>
      <c r="AB173" s="163" t="str">
        <f>IFERROR(VLOOKUP(AA173,TD!$N$51:$O$66,2,0)," ")</f>
        <v>Sedes mantenidas</v>
      </c>
      <c r="AC173" s="164" t="str">
        <f>CONCATENATE(AA173,"_",AB173)</f>
        <v>016_Sedes mantenidas</v>
      </c>
      <c r="AD173" s="164" t="str">
        <f>CONCATENATE(Z173," ",AC173)</f>
        <v>08-Infraestructura física, mantenimiento y dotación (Sedes construidas, mantenidas reforzadas) 016_Sedes mantenidas</v>
      </c>
      <c r="AE173" s="163" t="str">
        <f>CONCATENATE(U173,V173,W173,X173,AA173)</f>
        <v>O23011745992024020708016</v>
      </c>
      <c r="AF173" s="163" t="str">
        <f>IFERROR(VLOOKUP(AD173,TD!$J$66:$K$89,2,0)," ")</f>
        <v>PM/0131/0108/45990160207</v>
      </c>
      <c r="AG173" s="118" t="s">
        <v>385</v>
      </c>
      <c r="AH173" s="162" t="s">
        <v>193</v>
      </c>
      <c r="AI173" s="165" t="str">
        <f>CONCATENATE(PAA[[#This Row],[Id Interno]],"-",PAA[[#This Row],[tipo de Contrato (TH talento humano - B/S bienes y/o servicios)]],"-",S173,"-",T173,"-",PAA[[#This Row],[Objeto de la contratación]])</f>
        <v>20260146-TH-8126-9-SGH - Prestar servicios profesionales en la Subdirección de Gestión Humana de la UAE Cuerpo Oficial de Bomberos de Bogotá, para apoyar las actividades relacionadas con la administración de personal, en el marco de la normatividad y lineamientos institucionales vigentes.</v>
      </c>
    </row>
    <row r="174" spans="2:35" ht="84" x14ac:dyDescent="0.35">
      <c r="B174" s="23">
        <v>20260147</v>
      </c>
      <c r="C174" s="99" t="s">
        <v>460</v>
      </c>
      <c r="D174" s="23" t="s">
        <v>105</v>
      </c>
      <c r="E174" s="23" t="s">
        <v>363</v>
      </c>
      <c r="F174" s="159" t="s">
        <v>144</v>
      </c>
      <c r="G174" s="160" t="s">
        <v>373</v>
      </c>
      <c r="H174" s="161">
        <v>11</v>
      </c>
      <c r="I174" s="161">
        <v>0</v>
      </c>
      <c r="J174" s="127">
        <v>67100000</v>
      </c>
      <c r="K174" s="88" t="s">
        <v>398</v>
      </c>
      <c r="L174" s="159" t="s">
        <v>154</v>
      </c>
      <c r="M174" s="162" t="s">
        <v>451</v>
      </c>
      <c r="N174" s="23" t="s">
        <v>197</v>
      </c>
      <c r="O174" s="151" t="s">
        <v>945</v>
      </c>
      <c r="P174" s="159" t="s">
        <v>348</v>
      </c>
      <c r="Q174" s="53">
        <v>80111600</v>
      </c>
      <c r="R174" s="162" t="s">
        <v>208</v>
      </c>
      <c r="S174" s="162" t="str">
        <f>MID(PAA[[#This Row],[Meta Proyecto de Inversión]],1,4)</f>
        <v>8126</v>
      </c>
      <c r="T174" s="162" t="str">
        <f>MID(PAA[[#This Row],[Meta Proyecto de Inversión]],6,1)</f>
        <v>9</v>
      </c>
      <c r="U174" s="163" t="str">
        <f>IFERROR(VLOOKUP(N174,TD!$B$50:$F$54,2,0)," ")</f>
        <v>O230117</v>
      </c>
      <c r="V174" s="163" t="str">
        <f>IFERROR(VLOOKUP(N174,TD!$B$50:$F$54,3,0)," ")</f>
        <v>4599</v>
      </c>
      <c r="W174" s="163">
        <f>IFERROR(VLOOKUP(N174,TD!$B$50:$F$54,4,0)," ")</f>
        <v>20240207</v>
      </c>
      <c r="X174" s="162" t="s">
        <v>174</v>
      </c>
      <c r="Y174" s="163" t="str">
        <f>IFERROR(VLOOKUP(X174,TD!$J$51:$K$64,2,0)," ")</f>
        <v>Infraestructura física, mantenimiento y dotación (Sedes construidas, mantenidas reforzadas)</v>
      </c>
      <c r="Z174" s="164" t="str">
        <f>CONCATENATE(X174,"-",Y174)</f>
        <v>08-Infraestructura física, mantenimiento y dotación (Sedes construidas, mantenidas reforzadas)</v>
      </c>
      <c r="AA174" s="162" t="s">
        <v>227</v>
      </c>
      <c r="AB174" s="163" t="str">
        <f>IFERROR(VLOOKUP(AA174,TD!$N$51:$O$66,2,0)," ")</f>
        <v>Sedes mantenidas</v>
      </c>
      <c r="AC174" s="164" t="str">
        <f>CONCATENATE(AA174,"_",AB174)</f>
        <v>016_Sedes mantenidas</v>
      </c>
      <c r="AD174" s="164" t="str">
        <f>CONCATENATE(Z174," ",AC174)</f>
        <v>08-Infraestructura física, mantenimiento y dotación (Sedes construidas, mantenidas reforzadas) 016_Sedes mantenidas</v>
      </c>
      <c r="AE174" s="163" t="str">
        <f>CONCATENATE(U174,V174,W174,X174,AA174)</f>
        <v>O23011745992024020708016</v>
      </c>
      <c r="AF174" s="163" t="str">
        <f>IFERROR(VLOOKUP(AD174,TD!$J$66:$K$89,2,0)," ")</f>
        <v>PM/0131/0108/45990160207</v>
      </c>
      <c r="AG174" s="118" t="s">
        <v>385</v>
      </c>
      <c r="AH174" s="162" t="s">
        <v>193</v>
      </c>
      <c r="AI174" s="165" t="str">
        <f>CONCATENATE(PAA[[#This Row],[Id Interno]],"-",PAA[[#This Row],[tipo de Contrato (TH talento humano - B/S bienes y/o servicios)]],"-",S174,"-",T174,"-",PAA[[#This Row],[Objeto de la contratación]])</f>
        <v>20260147-TH-8126-9-SGH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v>
      </c>
    </row>
    <row r="175" spans="2:35" ht="70" x14ac:dyDescent="0.35">
      <c r="B175" s="23">
        <v>20260148</v>
      </c>
      <c r="C175" s="99" t="s">
        <v>625</v>
      </c>
      <c r="D175" s="23" t="s">
        <v>105</v>
      </c>
      <c r="E175" s="23" t="s">
        <v>363</v>
      </c>
      <c r="F175" s="159" t="s">
        <v>145</v>
      </c>
      <c r="G175" s="160" t="s">
        <v>373</v>
      </c>
      <c r="H175" s="161">
        <v>7</v>
      </c>
      <c r="I175" s="161">
        <v>0</v>
      </c>
      <c r="J175" s="127">
        <v>28000000</v>
      </c>
      <c r="K175" s="88" t="s">
        <v>398</v>
      </c>
      <c r="L175" s="159" t="s">
        <v>154</v>
      </c>
      <c r="M175" s="162" t="s">
        <v>451</v>
      </c>
      <c r="N175" s="23" t="s">
        <v>197</v>
      </c>
      <c r="O175" s="151" t="s">
        <v>945</v>
      </c>
      <c r="P175" s="159" t="s">
        <v>348</v>
      </c>
      <c r="Q175" s="53">
        <v>80111600</v>
      </c>
      <c r="R175" s="162" t="s">
        <v>208</v>
      </c>
      <c r="S175" s="162" t="str">
        <f>MID(PAA[[#This Row],[Meta Proyecto de Inversión]],1,4)</f>
        <v>8126</v>
      </c>
      <c r="T175" s="162" t="str">
        <f>MID(PAA[[#This Row],[Meta Proyecto de Inversión]],6,1)</f>
        <v>9</v>
      </c>
      <c r="U175" s="163" t="str">
        <f>IFERROR(VLOOKUP(N175,TD!$B$50:$F$54,2,0)," ")</f>
        <v>O230117</v>
      </c>
      <c r="V175" s="163" t="str">
        <f>IFERROR(VLOOKUP(N175,TD!$B$50:$F$54,3,0)," ")</f>
        <v>4599</v>
      </c>
      <c r="W175" s="163">
        <f>IFERROR(VLOOKUP(N175,TD!$B$50:$F$54,4,0)," ")</f>
        <v>20240207</v>
      </c>
      <c r="X175" s="162" t="s">
        <v>174</v>
      </c>
      <c r="Y175" s="163" t="str">
        <f>IFERROR(VLOOKUP(X175,TD!$J$51:$K$64,2,0)," ")</f>
        <v>Infraestructura física, mantenimiento y dotación (Sedes construidas, mantenidas reforzadas)</v>
      </c>
      <c r="Z175" s="164" t="str">
        <f>CONCATENATE(X175,"-",Y175)</f>
        <v>08-Infraestructura física, mantenimiento y dotación (Sedes construidas, mantenidas reforzadas)</v>
      </c>
      <c r="AA175" s="162" t="s">
        <v>227</v>
      </c>
      <c r="AB175" s="163" t="str">
        <f>IFERROR(VLOOKUP(AA175,TD!$N$51:$O$66,2,0)," ")</f>
        <v>Sedes mantenidas</v>
      </c>
      <c r="AC175" s="164" t="str">
        <f>CONCATENATE(AA175,"_",AB175)</f>
        <v>016_Sedes mantenidas</v>
      </c>
      <c r="AD175" s="164" t="str">
        <f>CONCATENATE(Z175," ",AC175)</f>
        <v>08-Infraestructura física, mantenimiento y dotación (Sedes construidas, mantenidas reforzadas) 016_Sedes mantenidas</v>
      </c>
      <c r="AE175" s="163" t="str">
        <f>CONCATENATE(U175,V175,W175,X175,AA175)</f>
        <v>O23011745992024020708016</v>
      </c>
      <c r="AF175" s="163" t="str">
        <f>IFERROR(VLOOKUP(AD175,TD!$J$66:$K$89,2,0)," ")</f>
        <v>PM/0131/0108/45990160207</v>
      </c>
      <c r="AG175" s="118" t="s">
        <v>385</v>
      </c>
      <c r="AH175" s="162" t="s">
        <v>193</v>
      </c>
      <c r="AI175" s="165" t="str">
        <f>CONCATENATE(PAA[[#This Row],[Id Interno]],"-",PAA[[#This Row],[tipo de Contrato (TH talento humano - B/S bienes y/o servicios)]],"-",S175,"-",T175,"-",PAA[[#This Row],[Objeto de la contratación]])</f>
        <v>20260148-TH-8126-9-SGH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v>
      </c>
    </row>
    <row r="176" spans="2:35" ht="84" x14ac:dyDescent="0.35">
      <c r="B176" s="23">
        <v>20260149</v>
      </c>
      <c r="C176" s="99" t="s">
        <v>461</v>
      </c>
      <c r="D176" s="23" t="s">
        <v>105</v>
      </c>
      <c r="E176" s="23" t="s">
        <v>363</v>
      </c>
      <c r="F176" s="159" t="s">
        <v>144</v>
      </c>
      <c r="G176" s="160" t="s">
        <v>373</v>
      </c>
      <c r="H176" s="161">
        <v>7</v>
      </c>
      <c r="I176" s="161">
        <v>0</v>
      </c>
      <c r="J176" s="127">
        <v>42700000</v>
      </c>
      <c r="K176" s="88" t="s">
        <v>398</v>
      </c>
      <c r="L176" s="159" t="s">
        <v>154</v>
      </c>
      <c r="M176" s="162" t="s">
        <v>451</v>
      </c>
      <c r="N176" s="23" t="s">
        <v>197</v>
      </c>
      <c r="O176" s="151" t="s">
        <v>945</v>
      </c>
      <c r="P176" s="159" t="s">
        <v>348</v>
      </c>
      <c r="Q176" s="53">
        <v>80111600</v>
      </c>
      <c r="R176" s="162" t="s">
        <v>208</v>
      </c>
      <c r="S176" s="162" t="str">
        <f>MID(PAA[[#This Row],[Meta Proyecto de Inversión]],1,4)</f>
        <v>8126</v>
      </c>
      <c r="T176" s="162" t="str">
        <f>MID(PAA[[#This Row],[Meta Proyecto de Inversión]],6,1)</f>
        <v>9</v>
      </c>
      <c r="U176" s="163" t="str">
        <f>IFERROR(VLOOKUP(N176,TD!$B$50:$F$54,2,0)," ")</f>
        <v>O230117</v>
      </c>
      <c r="V176" s="163" t="str">
        <f>IFERROR(VLOOKUP(N176,TD!$B$50:$F$54,3,0)," ")</f>
        <v>4599</v>
      </c>
      <c r="W176" s="163">
        <f>IFERROR(VLOOKUP(N176,TD!$B$50:$F$54,4,0)," ")</f>
        <v>20240207</v>
      </c>
      <c r="X176" s="162" t="s">
        <v>174</v>
      </c>
      <c r="Y176" s="163" t="str">
        <f>IFERROR(VLOOKUP(X176,TD!$J$51:$K$64,2,0)," ")</f>
        <v>Infraestructura física, mantenimiento y dotación (Sedes construidas, mantenidas reforzadas)</v>
      </c>
      <c r="Z176" s="164" t="str">
        <f>CONCATENATE(X176,"-",Y176)</f>
        <v>08-Infraestructura física, mantenimiento y dotación (Sedes construidas, mantenidas reforzadas)</v>
      </c>
      <c r="AA176" s="162" t="s">
        <v>227</v>
      </c>
      <c r="AB176" s="163" t="str">
        <f>IFERROR(VLOOKUP(AA176,TD!$N$51:$O$66,2,0)," ")</f>
        <v>Sedes mantenidas</v>
      </c>
      <c r="AC176" s="164" t="str">
        <f>CONCATENATE(AA176,"_",AB176)</f>
        <v>016_Sedes mantenidas</v>
      </c>
      <c r="AD176" s="164" t="str">
        <f>CONCATENATE(Z176," ",AC176)</f>
        <v>08-Infraestructura física, mantenimiento y dotación (Sedes construidas, mantenidas reforzadas) 016_Sedes mantenidas</v>
      </c>
      <c r="AE176" s="163" t="str">
        <f>CONCATENATE(U176,V176,W176,X176,AA176)</f>
        <v>O23011745992024020708016</v>
      </c>
      <c r="AF176" s="163" t="str">
        <f>IFERROR(VLOOKUP(AD176,TD!$J$66:$K$89,2,0)," ")</f>
        <v>PM/0131/0108/45990160207</v>
      </c>
      <c r="AG176" s="118" t="s">
        <v>385</v>
      </c>
      <c r="AH176" s="162" t="s">
        <v>193</v>
      </c>
      <c r="AI176" s="165" t="str">
        <f>CONCATENATE(PAA[[#This Row],[Id Interno]],"-",PAA[[#This Row],[tipo de Contrato (TH talento humano - B/S bienes y/o servicios)]],"-",S176,"-",T176,"-",PAA[[#This Row],[Objeto de la contratación]])</f>
        <v>20260149-TH-8126-9-SGH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v>
      </c>
    </row>
    <row r="177" spans="2:35" ht="98" x14ac:dyDescent="0.35">
      <c r="B177" s="23">
        <v>20260150</v>
      </c>
      <c r="C177" s="99" t="s">
        <v>461</v>
      </c>
      <c r="D177" s="23" t="s">
        <v>105</v>
      </c>
      <c r="E177" s="23" t="s">
        <v>363</v>
      </c>
      <c r="F177" s="159" t="s">
        <v>144</v>
      </c>
      <c r="G177" s="160" t="s">
        <v>373</v>
      </c>
      <c r="H177" s="161">
        <v>7</v>
      </c>
      <c r="I177" s="161">
        <v>0</v>
      </c>
      <c r="J177" s="127">
        <v>42700000</v>
      </c>
      <c r="K177" s="88" t="s">
        <v>398</v>
      </c>
      <c r="L177" s="159" t="s">
        <v>154</v>
      </c>
      <c r="M177" s="162" t="s">
        <v>451</v>
      </c>
      <c r="N177" s="23" t="s">
        <v>197</v>
      </c>
      <c r="O177" s="151" t="s">
        <v>945</v>
      </c>
      <c r="P177" s="159" t="s">
        <v>348</v>
      </c>
      <c r="Q177" s="53">
        <v>80111600</v>
      </c>
      <c r="R177" s="162" t="s">
        <v>208</v>
      </c>
      <c r="S177" s="162" t="str">
        <f>MID(PAA[[#This Row],[Meta Proyecto de Inversión]],1,4)</f>
        <v>8126</v>
      </c>
      <c r="T177" s="162" t="str">
        <f>MID(PAA[[#This Row],[Meta Proyecto de Inversión]],6,1)</f>
        <v>9</v>
      </c>
      <c r="U177" s="163" t="str">
        <f>IFERROR(VLOOKUP(N177,TD!$B$50:$F$54,2,0)," ")</f>
        <v>O230117</v>
      </c>
      <c r="V177" s="163" t="str">
        <f>IFERROR(VLOOKUP(N177,TD!$B$50:$F$54,3,0)," ")</f>
        <v>4599</v>
      </c>
      <c r="W177" s="163">
        <f>IFERROR(VLOOKUP(N177,TD!$B$50:$F$54,4,0)," ")</f>
        <v>20240207</v>
      </c>
      <c r="X177" s="162" t="s">
        <v>174</v>
      </c>
      <c r="Y177" s="163" t="str">
        <f>IFERROR(VLOOKUP(X177,TD!$J$51:$K$64,2,0)," ")</f>
        <v>Infraestructura física, mantenimiento y dotación (Sedes construidas, mantenidas reforzadas)</v>
      </c>
      <c r="Z177" s="164" t="str">
        <f>CONCATENATE(X177,"-",Y177)</f>
        <v>08-Infraestructura física, mantenimiento y dotación (Sedes construidas, mantenidas reforzadas)</v>
      </c>
      <c r="AA177" s="162" t="s">
        <v>227</v>
      </c>
      <c r="AB177" s="163" t="str">
        <f>IFERROR(VLOOKUP(AA177,TD!$N$51:$O$66,2,0)," ")</f>
        <v>Sedes mantenidas</v>
      </c>
      <c r="AC177" s="164" t="str">
        <f>CONCATENATE(AA177,"_",AB177)</f>
        <v>016_Sedes mantenidas</v>
      </c>
      <c r="AD177" s="164" t="str">
        <f>CONCATENATE(Z177," ",AC177)</f>
        <v>08-Infraestructura física, mantenimiento y dotación (Sedes construidas, mantenidas reforzadas) 016_Sedes mantenidas</v>
      </c>
      <c r="AE177" s="163" t="str">
        <f>CONCATENATE(U177,V177,W177,X177,AA177)</f>
        <v>O23011745992024020708016</v>
      </c>
      <c r="AF177" s="163" t="str">
        <f>IFERROR(VLOOKUP(AD177,TD!$J$66:$K$89,2,0)," ")</f>
        <v>PM/0131/0108/45990160207</v>
      </c>
      <c r="AG177" s="118" t="s">
        <v>385</v>
      </c>
      <c r="AH177" s="162" t="s">
        <v>193</v>
      </c>
      <c r="AI177" s="165" t="str">
        <f>CONCATENATE(PAA[[#This Row],[Id Interno]],"-",PAA[[#This Row],[tipo de Contrato (TH talento humano - B/S bienes y/o servicios)]],"-",S177,"-",T177,"-",PAA[[#This Row],[Objeto de la contratación]])</f>
        <v>20260150-TH-8126-9-SGH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v>
      </c>
    </row>
    <row r="178" spans="2:35" ht="98" x14ac:dyDescent="0.35">
      <c r="B178" s="23">
        <v>20260151</v>
      </c>
      <c r="C178" s="99" t="s">
        <v>461</v>
      </c>
      <c r="D178" s="23" t="s">
        <v>105</v>
      </c>
      <c r="E178" s="23" t="s">
        <v>363</v>
      </c>
      <c r="F178" s="159" t="s">
        <v>144</v>
      </c>
      <c r="G178" s="160" t="s">
        <v>373</v>
      </c>
      <c r="H178" s="161">
        <v>7</v>
      </c>
      <c r="I178" s="161">
        <v>0</v>
      </c>
      <c r="J178" s="127">
        <v>42700000</v>
      </c>
      <c r="K178" s="88" t="s">
        <v>398</v>
      </c>
      <c r="L178" s="159" t="s">
        <v>154</v>
      </c>
      <c r="M178" s="162" t="s">
        <v>451</v>
      </c>
      <c r="N178" s="23" t="s">
        <v>197</v>
      </c>
      <c r="O178" s="151" t="s">
        <v>945</v>
      </c>
      <c r="P178" s="159" t="s">
        <v>348</v>
      </c>
      <c r="Q178" s="53">
        <v>80111600</v>
      </c>
      <c r="R178" s="162" t="s">
        <v>208</v>
      </c>
      <c r="S178" s="162" t="str">
        <f>MID(PAA[[#This Row],[Meta Proyecto de Inversión]],1,4)</f>
        <v>8126</v>
      </c>
      <c r="T178" s="162" t="str">
        <f>MID(PAA[[#This Row],[Meta Proyecto de Inversión]],6,1)</f>
        <v>9</v>
      </c>
      <c r="U178" s="163" t="str">
        <f>IFERROR(VLOOKUP(N178,TD!$B$50:$F$54,2,0)," ")</f>
        <v>O230117</v>
      </c>
      <c r="V178" s="163" t="str">
        <f>IFERROR(VLOOKUP(N178,TD!$B$50:$F$54,3,0)," ")</f>
        <v>4599</v>
      </c>
      <c r="W178" s="163">
        <f>IFERROR(VLOOKUP(N178,TD!$B$50:$F$54,4,0)," ")</f>
        <v>20240207</v>
      </c>
      <c r="X178" s="162" t="s">
        <v>174</v>
      </c>
      <c r="Y178" s="163" t="str">
        <f>IFERROR(VLOOKUP(X178,TD!$J$51:$K$64,2,0)," ")</f>
        <v>Infraestructura física, mantenimiento y dotación (Sedes construidas, mantenidas reforzadas)</v>
      </c>
      <c r="Z178" s="164" t="str">
        <f>CONCATENATE(X178,"-",Y178)</f>
        <v>08-Infraestructura física, mantenimiento y dotación (Sedes construidas, mantenidas reforzadas)</v>
      </c>
      <c r="AA178" s="162" t="s">
        <v>227</v>
      </c>
      <c r="AB178" s="163" t="str">
        <f>IFERROR(VLOOKUP(AA178,TD!$N$51:$O$66,2,0)," ")</f>
        <v>Sedes mantenidas</v>
      </c>
      <c r="AC178" s="164" t="str">
        <f>CONCATENATE(AA178,"_",AB178)</f>
        <v>016_Sedes mantenidas</v>
      </c>
      <c r="AD178" s="164" t="str">
        <f>CONCATENATE(Z178," ",AC178)</f>
        <v>08-Infraestructura física, mantenimiento y dotación (Sedes construidas, mantenidas reforzadas) 016_Sedes mantenidas</v>
      </c>
      <c r="AE178" s="163" t="str">
        <f>CONCATENATE(U178,V178,W178,X178,AA178)</f>
        <v>O23011745992024020708016</v>
      </c>
      <c r="AF178" s="163" t="str">
        <f>IFERROR(VLOOKUP(AD178,TD!$J$66:$K$89,2,0)," ")</f>
        <v>PM/0131/0108/45990160207</v>
      </c>
      <c r="AG178" s="118" t="s">
        <v>385</v>
      </c>
      <c r="AH178" s="162" t="s">
        <v>193</v>
      </c>
      <c r="AI178" s="165" t="str">
        <f>CONCATENATE(PAA[[#This Row],[Id Interno]],"-",PAA[[#This Row],[tipo de Contrato (TH talento humano - B/S bienes y/o servicios)]],"-",S178,"-",T178,"-",PAA[[#This Row],[Objeto de la contratación]])</f>
        <v>20260151-TH-8126-9-SGH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v>
      </c>
    </row>
    <row r="179" spans="2:35" ht="84" x14ac:dyDescent="0.35">
      <c r="B179" s="23">
        <v>20260152</v>
      </c>
      <c r="C179" s="99" t="s">
        <v>462</v>
      </c>
      <c r="D179" s="23" t="s">
        <v>105</v>
      </c>
      <c r="E179" s="23" t="s">
        <v>363</v>
      </c>
      <c r="F179" s="159" t="s">
        <v>144</v>
      </c>
      <c r="G179" s="160" t="s">
        <v>373</v>
      </c>
      <c r="H179" s="161">
        <v>7</v>
      </c>
      <c r="I179" s="161">
        <v>0</v>
      </c>
      <c r="J179" s="127">
        <v>34300000</v>
      </c>
      <c r="K179" s="88" t="s">
        <v>398</v>
      </c>
      <c r="L179" s="159" t="s">
        <v>154</v>
      </c>
      <c r="M179" s="162" t="s">
        <v>451</v>
      </c>
      <c r="N179" s="23" t="s">
        <v>197</v>
      </c>
      <c r="O179" s="151" t="s">
        <v>945</v>
      </c>
      <c r="P179" s="159" t="s">
        <v>348</v>
      </c>
      <c r="Q179" s="53">
        <v>80111600</v>
      </c>
      <c r="R179" s="162" t="s">
        <v>208</v>
      </c>
      <c r="S179" s="162" t="str">
        <f>MID(PAA[[#This Row],[Meta Proyecto de Inversión]],1,4)</f>
        <v>8126</v>
      </c>
      <c r="T179" s="162" t="str">
        <f>MID(PAA[[#This Row],[Meta Proyecto de Inversión]],6,1)</f>
        <v>9</v>
      </c>
      <c r="U179" s="163" t="str">
        <f>IFERROR(VLOOKUP(N179,TD!$B$50:$F$54,2,0)," ")</f>
        <v>O230117</v>
      </c>
      <c r="V179" s="163" t="str">
        <f>IFERROR(VLOOKUP(N179,TD!$B$50:$F$54,3,0)," ")</f>
        <v>4599</v>
      </c>
      <c r="W179" s="163">
        <f>IFERROR(VLOOKUP(N179,TD!$B$50:$F$54,4,0)," ")</f>
        <v>20240207</v>
      </c>
      <c r="X179" s="162" t="s">
        <v>174</v>
      </c>
      <c r="Y179" s="163" t="str">
        <f>IFERROR(VLOOKUP(X179,TD!$J$51:$K$64,2,0)," ")</f>
        <v>Infraestructura física, mantenimiento y dotación (Sedes construidas, mantenidas reforzadas)</v>
      </c>
      <c r="Z179" s="164" t="str">
        <f>CONCATENATE(X179,"-",Y179)</f>
        <v>08-Infraestructura física, mantenimiento y dotación (Sedes construidas, mantenidas reforzadas)</v>
      </c>
      <c r="AA179" s="162" t="s">
        <v>227</v>
      </c>
      <c r="AB179" s="163" t="str">
        <f>IFERROR(VLOOKUP(AA179,TD!$N$51:$O$66,2,0)," ")</f>
        <v>Sedes mantenidas</v>
      </c>
      <c r="AC179" s="164" t="str">
        <f>CONCATENATE(AA179,"_",AB179)</f>
        <v>016_Sedes mantenidas</v>
      </c>
      <c r="AD179" s="164" t="str">
        <f>CONCATENATE(Z179," ",AC179)</f>
        <v>08-Infraestructura física, mantenimiento y dotación (Sedes construidas, mantenidas reforzadas) 016_Sedes mantenidas</v>
      </c>
      <c r="AE179" s="163" t="str">
        <f>CONCATENATE(U179,V179,W179,X179,AA179)</f>
        <v>O23011745992024020708016</v>
      </c>
      <c r="AF179" s="163" t="str">
        <f>IFERROR(VLOOKUP(AD179,TD!$J$66:$K$89,2,0)," ")</f>
        <v>PM/0131/0108/45990160207</v>
      </c>
      <c r="AG179" s="118" t="s">
        <v>385</v>
      </c>
      <c r="AH179" s="162" t="s">
        <v>193</v>
      </c>
      <c r="AI179" s="165" t="str">
        <f>CONCATENATE(PAA[[#This Row],[Id Interno]],"-",PAA[[#This Row],[tipo de Contrato (TH talento humano - B/S bienes y/o servicios)]],"-",S179,"-",T179,"-",PAA[[#This Row],[Objeto de la contratación]])</f>
        <v>20260152-TH-8126-9-SGH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v>
      </c>
    </row>
    <row r="180" spans="2:35" ht="84" x14ac:dyDescent="0.35">
      <c r="B180" s="23">
        <v>20260153</v>
      </c>
      <c r="C180" s="99" t="s">
        <v>463</v>
      </c>
      <c r="D180" s="23" t="s">
        <v>105</v>
      </c>
      <c r="E180" s="23" t="s">
        <v>363</v>
      </c>
      <c r="F180" s="159" t="s">
        <v>144</v>
      </c>
      <c r="G180" s="160" t="s">
        <v>373</v>
      </c>
      <c r="H180" s="161">
        <v>7</v>
      </c>
      <c r="I180" s="161">
        <v>0</v>
      </c>
      <c r="J180" s="127">
        <v>36400000</v>
      </c>
      <c r="K180" s="88" t="s">
        <v>398</v>
      </c>
      <c r="L180" s="159" t="s">
        <v>154</v>
      </c>
      <c r="M180" s="162" t="s">
        <v>451</v>
      </c>
      <c r="N180" s="23" t="s">
        <v>197</v>
      </c>
      <c r="O180" s="151" t="s">
        <v>945</v>
      </c>
      <c r="P180" s="159" t="s">
        <v>348</v>
      </c>
      <c r="Q180" s="53">
        <v>80111600</v>
      </c>
      <c r="R180" s="162" t="s">
        <v>208</v>
      </c>
      <c r="S180" s="162" t="str">
        <f>MID(PAA[[#This Row],[Meta Proyecto de Inversión]],1,4)</f>
        <v>8126</v>
      </c>
      <c r="T180" s="162" t="str">
        <f>MID(PAA[[#This Row],[Meta Proyecto de Inversión]],6,1)</f>
        <v>9</v>
      </c>
      <c r="U180" s="163" t="str">
        <f>IFERROR(VLOOKUP(N180,TD!$B$50:$F$54,2,0)," ")</f>
        <v>O230117</v>
      </c>
      <c r="V180" s="163" t="str">
        <f>IFERROR(VLOOKUP(N180,TD!$B$50:$F$54,3,0)," ")</f>
        <v>4599</v>
      </c>
      <c r="W180" s="163">
        <f>IFERROR(VLOOKUP(N180,TD!$B$50:$F$54,4,0)," ")</f>
        <v>20240207</v>
      </c>
      <c r="X180" s="162" t="s">
        <v>174</v>
      </c>
      <c r="Y180" s="163" t="str">
        <f>IFERROR(VLOOKUP(X180,TD!$J$51:$K$64,2,0)," ")</f>
        <v>Infraestructura física, mantenimiento y dotación (Sedes construidas, mantenidas reforzadas)</v>
      </c>
      <c r="Z180" s="164" t="str">
        <f>CONCATENATE(X180,"-",Y180)</f>
        <v>08-Infraestructura física, mantenimiento y dotación (Sedes construidas, mantenidas reforzadas)</v>
      </c>
      <c r="AA180" s="166" t="s">
        <v>227</v>
      </c>
      <c r="AB180" s="163" t="str">
        <f>IFERROR(VLOOKUP(AA180,TD!$N$51:$O$66,2,0)," ")</f>
        <v>Sedes mantenidas</v>
      </c>
      <c r="AC180" s="164" t="str">
        <f>CONCATENATE(AA180,"_",AB180)</f>
        <v>016_Sedes mantenidas</v>
      </c>
      <c r="AD180" s="164" t="str">
        <f>CONCATENATE(Z180," ",AC180)</f>
        <v>08-Infraestructura física, mantenimiento y dotación (Sedes construidas, mantenidas reforzadas) 016_Sedes mantenidas</v>
      </c>
      <c r="AE180" s="163" t="str">
        <f>CONCATENATE(U180,V180,W180,X180,AA180)</f>
        <v>O23011745992024020708016</v>
      </c>
      <c r="AF180" s="163" t="str">
        <f>IFERROR(VLOOKUP(AD180,TD!$J$66:$K$89,2,0)," ")</f>
        <v>PM/0131/0108/45990160207</v>
      </c>
      <c r="AG180" s="118" t="s">
        <v>385</v>
      </c>
      <c r="AH180" s="162" t="s">
        <v>193</v>
      </c>
      <c r="AI180" s="165" t="str">
        <f>CONCATENATE(PAA[[#This Row],[Id Interno]],"-",PAA[[#This Row],[tipo de Contrato (TH talento humano - B/S bienes y/o servicios)]],"-",S180,"-",T180,"-",PAA[[#This Row],[Objeto de la contratación]])</f>
        <v>20260153-TH-8126-9-SGH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v>
      </c>
    </row>
    <row r="181" spans="2:35" ht="98" x14ac:dyDescent="0.35">
      <c r="B181" s="23">
        <v>20260154</v>
      </c>
      <c r="C181" s="99" t="s">
        <v>464</v>
      </c>
      <c r="D181" s="23" t="s">
        <v>105</v>
      </c>
      <c r="E181" s="23" t="s">
        <v>363</v>
      </c>
      <c r="F181" s="159" t="s">
        <v>144</v>
      </c>
      <c r="G181" s="160" t="s">
        <v>373</v>
      </c>
      <c r="H181" s="161">
        <v>11</v>
      </c>
      <c r="I181" s="161">
        <v>0</v>
      </c>
      <c r="J181" s="127">
        <v>77000000</v>
      </c>
      <c r="K181" s="88" t="s">
        <v>398</v>
      </c>
      <c r="L181" s="159" t="s">
        <v>154</v>
      </c>
      <c r="M181" s="162" t="s">
        <v>451</v>
      </c>
      <c r="N181" s="23" t="s">
        <v>197</v>
      </c>
      <c r="O181" s="151" t="s">
        <v>945</v>
      </c>
      <c r="P181" s="159" t="s">
        <v>348</v>
      </c>
      <c r="Q181" s="53">
        <v>80111600</v>
      </c>
      <c r="R181" s="162" t="s">
        <v>208</v>
      </c>
      <c r="S181" s="162" t="str">
        <f>MID(PAA[[#This Row],[Meta Proyecto de Inversión]],1,4)</f>
        <v>8126</v>
      </c>
      <c r="T181" s="162" t="str">
        <f>MID(PAA[[#This Row],[Meta Proyecto de Inversión]],6,1)</f>
        <v>9</v>
      </c>
      <c r="U181" s="163" t="str">
        <f>IFERROR(VLOOKUP(N181,TD!$B$50:$F$54,2,0)," ")</f>
        <v>O230117</v>
      </c>
      <c r="V181" s="163" t="str">
        <f>IFERROR(VLOOKUP(N181,TD!$B$50:$F$54,3,0)," ")</f>
        <v>4599</v>
      </c>
      <c r="W181" s="163">
        <f>IFERROR(VLOOKUP(N181,TD!$B$50:$F$54,4,0)," ")</f>
        <v>20240207</v>
      </c>
      <c r="X181" s="162" t="s">
        <v>174</v>
      </c>
      <c r="Y181" s="163" t="str">
        <f>IFERROR(VLOOKUP(X181,TD!$J$51:$K$64,2,0)," ")</f>
        <v>Infraestructura física, mantenimiento y dotación (Sedes construidas, mantenidas reforzadas)</v>
      </c>
      <c r="Z181" s="164" t="str">
        <f>CONCATENATE(X181,"-",Y181)</f>
        <v>08-Infraestructura física, mantenimiento y dotación (Sedes construidas, mantenidas reforzadas)</v>
      </c>
      <c r="AA181" s="166" t="s">
        <v>227</v>
      </c>
      <c r="AB181" s="163" t="str">
        <f>IFERROR(VLOOKUP(AA181,TD!$N$51:$O$66,2,0)," ")</f>
        <v>Sedes mantenidas</v>
      </c>
      <c r="AC181" s="164" t="str">
        <f>CONCATENATE(AA181,"_",AB181)</f>
        <v>016_Sedes mantenidas</v>
      </c>
      <c r="AD181" s="164" t="str">
        <f>CONCATENATE(Z181," ",AC181)</f>
        <v>08-Infraestructura física, mantenimiento y dotación (Sedes construidas, mantenidas reforzadas) 016_Sedes mantenidas</v>
      </c>
      <c r="AE181" s="163" t="str">
        <f>CONCATENATE(U181,V181,W181,X181,AA181)</f>
        <v>O23011745992024020708016</v>
      </c>
      <c r="AF181" s="163" t="str">
        <f>IFERROR(VLOOKUP(AD181,TD!$J$66:$K$89,2,0)," ")</f>
        <v>PM/0131/0108/45990160207</v>
      </c>
      <c r="AG181" s="118" t="s">
        <v>385</v>
      </c>
      <c r="AH181" s="162" t="s">
        <v>193</v>
      </c>
      <c r="AI181" s="165" t="str">
        <f>CONCATENATE(PAA[[#This Row],[Id Interno]],"-",PAA[[#This Row],[tipo de Contrato (TH talento humano - B/S bienes y/o servicios)]],"-",S181,"-",T181,"-",PAA[[#This Row],[Objeto de la contratación]])</f>
        <v>20260154-TH-8126-9-SGH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v>
      </c>
    </row>
    <row r="182" spans="2:35" ht="70" x14ac:dyDescent="0.35">
      <c r="B182" s="23">
        <v>20260155</v>
      </c>
      <c r="C182" s="99" t="s">
        <v>465</v>
      </c>
      <c r="D182" s="23" t="s">
        <v>105</v>
      </c>
      <c r="E182" s="23" t="s">
        <v>363</v>
      </c>
      <c r="F182" s="159" t="s">
        <v>144</v>
      </c>
      <c r="G182" s="160" t="s">
        <v>373</v>
      </c>
      <c r="H182" s="161">
        <v>10</v>
      </c>
      <c r="I182" s="161">
        <v>0</v>
      </c>
      <c r="J182" s="127">
        <v>64000000</v>
      </c>
      <c r="K182" s="88" t="s">
        <v>398</v>
      </c>
      <c r="L182" s="159" t="s">
        <v>154</v>
      </c>
      <c r="M182" s="162" t="s">
        <v>451</v>
      </c>
      <c r="N182" s="23" t="s">
        <v>197</v>
      </c>
      <c r="O182" s="151" t="s">
        <v>945</v>
      </c>
      <c r="P182" s="159" t="s">
        <v>348</v>
      </c>
      <c r="Q182" s="53">
        <v>80111600</v>
      </c>
      <c r="R182" s="162" t="s">
        <v>208</v>
      </c>
      <c r="S182" s="162" t="str">
        <f>MID(PAA[[#This Row],[Meta Proyecto de Inversión]],1,4)</f>
        <v>8126</v>
      </c>
      <c r="T182" s="162" t="str">
        <f>MID(PAA[[#This Row],[Meta Proyecto de Inversión]],6,1)</f>
        <v>9</v>
      </c>
      <c r="U182" s="163" t="str">
        <f>IFERROR(VLOOKUP(N182,TD!$B$50:$F$54,2,0)," ")</f>
        <v>O230117</v>
      </c>
      <c r="V182" s="163" t="str">
        <f>IFERROR(VLOOKUP(N182,TD!$B$50:$F$54,3,0)," ")</f>
        <v>4599</v>
      </c>
      <c r="W182" s="163">
        <f>IFERROR(VLOOKUP(N182,TD!$B$50:$F$54,4,0)," ")</f>
        <v>20240207</v>
      </c>
      <c r="X182" s="162" t="s">
        <v>174</v>
      </c>
      <c r="Y182" s="163" t="str">
        <f>IFERROR(VLOOKUP(X182,TD!$J$51:$K$64,2,0)," ")</f>
        <v>Infraestructura física, mantenimiento y dotación (Sedes construidas, mantenidas reforzadas)</v>
      </c>
      <c r="Z182" s="164" t="str">
        <f>CONCATENATE(X182,"-",Y182)</f>
        <v>08-Infraestructura física, mantenimiento y dotación (Sedes construidas, mantenidas reforzadas)</v>
      </c>
      <c r="AA182" s="166" t="s">
        <v>227</v>
      </c>
      <c r="AB182" s="163" t="str">
        <f>IFERROR(VLOOKUP(AA182,TD!$N$51:$O$66,2,0)," ")</f>
        <v>Sedes mantenidas</v>
      </c>
      <c r="AC182" s="164" t="str">
        <f>CONCATENATE(AA182,"_",AB182)</f>
        <v>016_Sedes mantenidas</v>
      </c>
      <c r="AD182" s="164" t="str">
        <f>CONCATENATE(Z182," ",AC182)</f>
        <v>08-Infraestructura física, mantenimiento y dotación (Sedes construidas, mantenidas reforzadas) 016_Sedes mantenidas</v>
      </c>
      <c r="AE182" s="163" t="str">
        <f>CONCATENATE(U182,V182,W182,X182,AA182)</f>
        <v>O23011745992024020708016</v>
      </c>
      <c r="AF182" s="163" t="str">
        <f>IFERROR(VLOOKUP(AD182,TD!$J$66:$K$89,2,0)," ")</f>
        <v>PM/0131/0108/45990160207</v>
      </c>
      <c r="AG182" s="118" t="s">
        <v>385</v>
      </c>
      <c r="AH182" s="162" t="s">
        <v>193</v>
      </c>
      <c r="AI182" s="165" t="str">
        <f>CONCATENATE(PAA[[#This Row],[Id Interno]],"-",PAA[[#This Row],[tipo de Contrato (TH talento humano - B/S bienes y/o servicios)]],"-",S182,"-",T182,"-",PAA[[#This Row],[Objeto de la contratación]])</f>
        <v>20260155-TH-8126-9-SGH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v>
      </c>
    </row>
    <row r="183" spans="2:35" ht="98" x14ac:dyDescent="0.35">
      <c r="B183" s="23">
        <v>20260156</v>
      </c>
      <c r="C183" s="99" t="s">
        <v>466</v>
      </c>
      <c r="D183" s="23" t="s">
        <v>105</v>
      </c>
      <c r="E183" s="23" t="s">
        <v>363</v>
      </c>
      <c r="F183" s="159" t="s">
        <v>144</v>
      </c>
      <c r="G183" s="160" t="s">
        <v>373</v>
      </c>
      <c r="H183" s="161">
        <v>11</v>
      </c>
      <c r="I183" s="161">
        <v>0</v>
      </c>
      <c r="J183" s="127">
        <v>77000000</v>
      </c>
      <c r="K183" s="88" t="s">
        <v>398</v>
      </c>
      <c r="L183" s="159" t="s">
        <v>154</v>
      </c>
      <c r="M183" s="162" t="s">
        <v>451</v>
      </c>
      <c r="N183" s="23" t="s">
        <v>197</v>
      </c>
      <c r="O183" s="151" t="s">
        <v>945</v>
      </c>
      <c r="P183" s="159" t="s">
        <v>348</v>
      </c>
      <c r="Q183" s="53">
        <v>80111600</v>
      </c>
      <c r="R183" s="162" t="s">
        <v>208</v>
      </c>
      <c r="S183" s="162" t="str">
        <f>MID(PAA[[#This Row],[Meta Proyecto de Inversión]],1,4)</f>
        <v>8126</v>
      </c>
      <c r="T183" s="162" t="str">
        <f>MID(PAA[[#This Row],[Meta Proyecto de Inversión]],6,1)</f>
        <v>9</v>
      </c>
      <c r="U183" s="163" t="str">
        <f>IFERROR(VLOOKUP(N183,TD!$B$50:$F$54,2,0)," ")</f>
        <v>O230117</v>
      </c>
      <c r="V183" s="163" t="str">
        <f>IFERROR(VLOOKUP(N183,TD!$B$50:$F$54,3,0)," ")</f>
        <v>4599</v>
      </c>
      <c r="W183" s="163">
        <f>IFERROR(VLOOKUP(N183,TD!$B$50:$F$54,4,0)," ")</f>
        <v>20240207</v>
      </c>
      <c r="X183" s="162" t="s">
        <v>174</v>
      </c>
      <c r="Y183" s="163" t="str">
        <f>IFERROR(VLOOKUP(X183,TD!$J$51:$K$64,2,0)," ")</f>
        <v>Infraestructura física, mantenimiento y dotación (Sedes construidas, mantenidas reforzadas)</v>
      </c>
      <c r="Z183" s="164" t="str">
        <f>CONCATENATE(X183,"-",Y183)</f>
        <v>08-Infraestructura física, mantenimiento y dotación (Sedes construidas, mantenidas reforzadas)</v>
      </c>
      <c r="AA183" s="166" t="s">
        <v>227</v>
      </c>
      <c r="AB183" s="163" t="str">
        <f>IFERROR(VLOOKUP(AA183,TD!$N$51:$O$66,2,0)," ")</f>
        <v>Sedes mantenidas</v>
      </c>
      <c r="AC183" s="164" t="str">
        <f>CONCATENATE(AA183,"_",AB183)</f>
        <v>016_Sedes mantenidas</v>
      </c>
      <c r="AD183" s="164" t="str">
        <f>CONCATENATE(Z183," ",AC183)</f>
        <v>08-Infraestructura física, mantenimiento y dotación (Sedes construidas, mantenidas reforzadas) 016_Sedes mantenidas</v>
      </c>
      <c r="AE183" s="163" t="str">
        <f>CONCATENATE(U183,V183,W183,X183,AA183)</f>
        <v>O23011745992024020708016</v>
      </c>
      <c r="AF183" s="163" t="str">
        <f>IFERROR(VLOOKUP(AD183,TD!$J$66:$K$89,2,0)," ")</f>
        <v>PM/0131/0108/45990160207</v>
      </c>
      <c r="AG183" s="118" t="s">
        <v>385</v>
      </c>
      <c r="AH183" s="162" t="s">
        <v>193</v>
      </c>
      <c r="AI183" s="165" t="str">
        <f>CONCATENATE(PAA[[#This Row],[Id Interno]],"-",PAA[[#This Row],[tipo de Contrato (TH talento humano - B/S bienes y/o servicios)]],"-",S183,"-",T183,"-",PAA[[#This Row],[Objeto de la contratación]])</f>
        <v>20260156-TH-8126-9-SGH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v>
      </c>
    </row>
    <row r="184" spans="2:35" ht="126" x14ac:dyDescent="0.35">
      <c r="B184" s="23">
        <v>20260157</v>
      </c>
      <c r="C184" s="99" t="s">
        <v>626</v>
      </c>
      <c r="D184" s="23" t="s">
        <v>105</v>
      </c>
      <c r="E184" s="23" t="s">
        <v>363</v>
      </c>
      <c r="F184" s="159" t="s">
        <v>144</v>
      </c>
      <c r="G184" s="160" t="s">
        <v>373</v>
      </c>
      <c r="H184" s="161">
        <v>10</v>
      </c>
      <c r="I184" s="161">
        <v>0</v>
      </c>
      <c r="J184" s="127">
        <v>65000000</v>
      </c>
      <c r="K184" s="88" t="s">
        <v>398</v>
      </c>
      <c r="L184" s="159" t="s">
        <v>154</v>
      </c>
      <c r="M184" s="162" t="s">
        <v>451</v>
      </c>
      <c r="N184" s="23" t="s">
        <v>197</v>
      </c>
      <c r="O184" s="151" t="s">
        <v>945</v>
      </c>
      <c r="P184" s="159" t="s">
        <v>348</v>
      </c>
      <c r="Q184" s="53">
        <v>80111600</v>
      </c>
      <c r="R184" s="162" t="s">
        <v>208</v>
      </c>
      <c r="S184" s="162" t="str">
        <f>MID(PAA[[#This Row],[Meta Proyecto de Inversión]],1,4)</f>
        <v>8126</v>
      </c>
      <c r="T184" s="162" t="str">
        <f>MID(PAA[[#This Row],[Meta Proyecto de Inversión]],6,1)</f>
        <v>9</v>
      </c>
      <c r="U184" s="163" t="str">
        <f>IFERROR(VLOOKUP(N184,TD!$B$50:$F$54,2,0)," ")</f>
        <v>O230117</v>
      </c>
      <c r="V184" s="163" t="str">
        <f>IFERROR(VLOOKUP(N184,TD!$B$50:$F$54,3,0)," ")</f>
        <v>4599</v>
      </c>
      <c r="W184" s="163">
        <f>IFERROR(VLOOKUP(N184,TD!$B$50:$F$54,4,0)," ")</f>
        <v>20240207</v>
      </c>
      <c r="X184" s="162" t="s">
        <v>174</v>
      </c>
      <c r="Y184" s="163" t="str">
        <f>IFERROR(VLOOKUP(X184,TD!$J$51:$K$64,2,0)," ")</f>
        <v>Infraestructura física, mantenimiento y dotación (Sedes construidas, mantenidas reforzadas)</v>
      </c>
      <c r="Z184" s="164" t="str">
        <f>CONCATENATE(X184,"-",Y184)</f>
        <v>08-Infraestructura física, mantenimiento y dotación (Sedes construidas, mantenidas reforzadas)</v>
      </c>
      <c r="AA184" s="166" t="s">
        <v>227</v>
      </c>
      <c r="AB184" s="163" t="str">
        <f>IFERROR(VLOOKUP(AA184,TD!$N$51:$O$66,2,0)," ")</f>
        <v>Sedes mantenidas</v>
      </c>
      <c r="AC184" s="164" t="str">
        <f>CONCATENATE(AA184,"_",AB184)</f>
        <v>016_Sedes mantenidas</v>
      </c>
      <c r="AD184" s="164" t="str">
        <f>CONCATENATE(Z184," ",AC184)</f>
        <v>08-Infraestructura física, mantenimiento y dotación (Sedes construidas, mantenidas reforzadas) 016_Sedes mantenidas</v>
      </c>
      <c r="AE184" s="163" t="str">
        <f>CONCATENATE(U184,V184,W184,X184,AA184)</f>
        <v>O23011745992024020708016</v>
      </c>
      <c r="AF184" s="163" t="str">
        <f>IFERROR(VLOOKUP(AD184,TD!$J$66:$K$89,2,0)," ")</f>
        <v>PM/0131/0108/45990160207</v>
      </c>
      <c r="AG184" s="118" t="s">
        <v>385</v>
      </c>
      <c r="AH184" s="162" t="s">
        <v>193</v>
      </c>
      <c r="AI184" s="165" t="str">
        <f>CONCATENATE(PAA[[#This Row],[Id Interno]],"-",PAA[[#This Row],[tipo de Contrato (TH talento humano - B/S bienes y/o servicios)]],"-",S184,"-",T184,"-",PAA[[#This Row],[Objeto de la contratación]])</f>
        <v>20260157-TH-8126-9-SGH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v>
      </c>
    </row>
    <row r="185" spans="2:35" ht="84" x14ac:dyDescent="0.35">
      <c r="B185" s="23">
        <v>20260158</v>
      </c>
      <c r="C185" s="99" t="s">
        <v>467</v>
      </c>
      <c r="D185" s="23" t="s">
        <v>105</v>
      </c>
      <c r="E185" s="23" t="s">
        <v>363</v>
      </c>
      <c r="F185" s="159" t="s">
        <v>144</v>
      </c>
      <c r="G185" s="160" t="s">
        <v>373</v>
      </c>
      <c r="H185" s="161">
        <v>7</v>
      </c>
      <c r="I185" s="161">
        <v>0</v>
      </c>
      <c r="J185" s="127">
        <v>51800000</v>
      </c>
      <c r="K185" s="88" t="s">
        <v>398</v>
      </c>
      <c r="L185" s="159" t="s">
        <v>154</v>
      </c>
      <c r="M185" s="162" t="s">
        <v>451</v>
      </c>
      <c r="N185" s="23" t="s">
        <v>197</v>
      </c>
      <c r="O185" s="151" t="s">
        <v>945</v>
      </c>
      <c r="P185" s="159" t="s">
        <v>348</v>
      </c>
      <c r="Q185" s="53">
        <v>80111600</v>
      </c>
      <c r="R185" s="162" t="s">
        <v>208</v>
      </c>
      <c r="S185" s="162" t="str">
        <f>MID(PAA[[#This Row],[Meta Proyecto de Inversión]],1,4)</f>
        <v>8126</v>
      </c>
      <c r="T185" s="162" t="str">
        <f>MID(PAA[[#This Row],[Meta Proyecto de Inversión]],6,1)</f>
        <v>9</v>
      </c>
      <c r="U185" s="163" t="str">
        <f>IFERROR(VLOOKUP(N185,TD!$B$50:$F$54,2,0)," ")</f>
        <v>O230117</v>
      </c>
      <c r="V185" s="163" t="str">
        <f>IFERROR(VLOOKUP(N185,TD!$B$50:$F$54,3,0)," ")</f>
        <v>4599</v>
      </c>
      <c r="W185" s="163">
        <f>IFERROR(VLOOKUP(N185,TD!$B$50:$F$54,4,0)," ")</f>
        <v>20240207</v>
      </c>
      <c r="X185" s="162" t="s">
        <v>174</v>
      </c>
      <c r="Y185" s="163" t="str">
        <f>IFERROR(VLOOKUP(X185,TD!$J$51:$K$64,2,0)," ")</f>
        <v>Infraestructura física, mantenimiento y dotación (Sedes construidas, mantenidas reforzadas)</v>
      </c>
      <c r="Z185" s="164" t="str">
        <f>CONCATENATE(X185,"-",Y185)</f>
        <v>08-Infraestructura física, mantenimiento y dotación (Sedes construidas, mantenidas reforzadas)</v>
      </c>
      <c r="AA185" s="166" t="s">
        <v>227</v>
      </c>
      <c r="AB185" s="163" t="str">
        <f>IFERROR(VLOOKUP(AA185,TD!$N$51:$O$66,2,0)," ")</f>
        <v>Sedes mantenidas</v>
      </c>
      <c r="AC185" s="164" t="str">
        <f>CONCATENATE(AA185,"_",AB185)</f>
        <v>016_Sedes mantenidas</v>
      </c>
      <c r="AD185" s="164" t="str">
        <f>CONCATENATE(Z185," ",AC185)</f>
        <v>08-Infraestructura física, mantenimiento y dotación (Sedes construidas, mantenidas reforzadas) 016_Sedes mantenidas</v>
      </c>
      <c r="AE185" s="163" t="str">
        <f>CONCATENATE(U185,V185,W185,X185,AA185)</f>
        <v>O23011745992024020708016</v>
      </c>
      <c r="AF185" s="163" t="str">
        <f>IFERROR(VLOOKUP(AD185,TD!$J$66:$K$89,2,0)," ")</f>
        <v>PM/0131/0108/45990160207</v>
      </c>
      <c r="AG185" s="118" t="s">
        <v>385</v>
      </c>
      <c r="AH185" s="162" t="s">
        <v>193</v>
      </c>
      <c r="AI185" s="165" t="str">
        <f>CONCATENATE(PAA[[#This Row],[Id Interno]],"-",PAA[[#This Row],[tipo de Contrato (TH talento humano - B/S bienes y/o servicios)]],"-",S185,"-",T185,"-",PAA[[#This Row],[Objeto de la contratación]])</f>
        <v>20260158-TH-8126-9-SGH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v>
      </c>
    </row>
    <row r="186" spans="2:35" ht="98" x14ac:dyDescent="0.35">
      <c r="B186" s="23">
        <v>20260159</v>
      </c>
      <c r="C186" s="99" t="s">
        <v>627</v>
      </c>
      <c r="D186" s="23" t="s">
        <v>105</v>
      </c>
      <c r="E186" s="23" t="s">
        <v>363</v>
      </c>
      <c r="F186" s="159" t="s">
        <v>144</v>
      </c>
      <c r="G186" s="160" t="s">
        <v>373</v>
      </c>
      <c r="H186" s="161">
        <v>7</v>
      </c>
      <c r="I186" s="161">
        <v>0</v>
      </c>
      <c r="J186" s="127">
        <v>64400000</v>
      </c>
      <c r="K186" s="88" t="s">
        <v>398</v>
      </c>
      <c r="L186" s="159" t="s">
        <v>154</v>
      </c>
      <c r="M186" s="162" t="s">
        <v>451</v>
      </c>
      <c r="N186" s="23" t="s">
        <v>197</v>
      </c>
      <c r="O186" s="151" t="s">
        <v>945</v>
      </c>
      <c r="P186" s="159" t="s">
        <v>348</v>
      </c>
      <c r="Q186" s="53">
        <v>80111600</v>
      </c>
      <c r="R186" s="162" t="s">
        <v>208</v>
      </c>
      <c r="S186" s="162" t="str">
        <f>MID(PAA[[#This Row],[Meta Proyecto de Inversión]],1,4)</f>
        <v>8126</v>
      </c>
      <c r="T186" s="162" t="str">
        <f>MID(PAA[[#This Row],[Meta Proyecto de Inversión]],6,1)</f>
        <v>9</v>
      </c>
      <c r="U186" s="163" t="str">
        <f>IFERROR(VLOOKUP(N186,TD!$B$50:$F$54,2,0)," ")</f>
        <v>O230117</v>
      </c>
      <c r="V186" s="163" t="str">
        <f>IFERROR(VLOOKUP(N186,TD!$B$50:$F$54,3,0)," ")</f>
        <v>4599</v>
      </c>
      <c r="W186" s="163">
        <f>IFERROR(VLOOKUP(N186,TD!$B$50:$F$54,4,0)," ")</f>
        <v>20240207</v>
      </c>
      <c r="X186" s="162" t="s">
        <v>174</v>
      </c>
      <c r="Y186" s="163" t="str">
        <f>IFERROR(VLOOKUP(X186,TD!$J$51:$K$64,2,0)," ")</f>
        <v>Infraestructura física, mantenimiento y dotación (Sedes construidas, mantenidas reforzadas)</v>
      </c>
      <c r="Z186" s="164" t="str">
        <f>CONCATENATE(X186,"-",Y186)</f>
        <v>08-Infraestructura física, mantenimiento y dotación (Sedes construidas, mantenidas reforzadas)</v>
      </c>
      <c r="AA186" s="166" t="s">
        <v>227</v>
      </c>
      <c r="AB186" s="163" t="str">
        <f>IFERROR(VLOOKUP(AA186,TD!$N$51:$O$66,2,0)," ")</f>
        <v>Sedes mantenidas</v>
      </c>
      <c r="AC186" s="164" t="str">
        <f>CONCATENATE(AA186,"_",AB186)</f>
        <v>016_Sedes mantenidas</v>
      </c>
      <c r="AD186" s="164" t="str">
        <f>CONCATENATE(Z186," ",AC186)</f>
        <v>08-Infraestructura física, mantenimiento y dotación (Sedes construidas, mantenidas reforzadas) 016_Sedes mantenidas</v>
      </c>
      <c r="AE186" s="163" t="str">
        <f>CONCATENATE(U186,V186,W186,X186,AA186)</f>
        <v>O23011745992024020708016</v>
      </c>
      <c r="AF186" s="163" t="str">
        <f>IFERROR(VLOOKUP(AD186,TD!$J$66:$K$89,2,0)," ")</f>
        <v>PM/0131/0108/45990160207</v>
      </c>
      <c r="AG186" s="118" t="s">
        <v>385</v>
      </c>
      <c r="AH186" s="162" t="s">
        <v>193</v>
      </c>
      <c r="AI186" s="165" t="str">
        <f>CONCATENATE(PAA[[#This Row],[Id Interno]],"-",PAA[[#This Row],[tipo de Contrato (TH talento humano - B/S bienes y/o servicios)]],"-",S186,"-",T186,"-",PAA[[#This Row],[Objeto de la contratación]])</f>
        <v>20260159-TH-8126-9-SGH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v>
      </c>
    </row>
    <row r="187" spans="2:35" ht="126" x14ac:dyDescent="0.35">
      <c r="B187" s="23">
        <v>20260160</v>
      </c>
      <c r="C187" s="99" t="s">
        <v>628</v>
      </c>
      <c r="D187" s="23" t="s">
        <v>105</v>
      </c>
      <c r="E187" s="23" t="s">
        <v>363</v>
      </c>
      <c r="F187" s="159" t="s">
        <v>145</v>
      </c>
      <c r="G187" s="160" t="s">
        <v>373</v>
      </c>
      <c r="H187" s="161">
        <v>7</v>
      </c>
      <c r="I187" s="161">
        <v>0</v>
      </c>
      <c r="J187" s="127">
        <v>25200000</v>
      </c>
      <c r="K187" s="88" t="s">
        <v>398</v>
      </c>
      <c r="L187" s="159" t="s">
        <v>154</v>
      </c>
      <c r="M187" s="162" t="s">
        <v>451</v>
      </c>
      <c r="N187" s="23" t="s">
        <v>197</v>
      </c>
      <c r="O187" s="151" t="s">
        <v>945</v>
      </c>
      <c r="P187" s="159" t="s">
        <v>348</v>
      </c>
      <c r="Q187" s="53">
        <v>80111600</v>
      </c>
      <c r="R187" s="162" t="s">
        <v>208</v>
      </c>
      <c r="S187" s="162" t="str">
        <f>MID(PAA[[#This Row],[Meta Proyecto de Inversión]],1,4)</f>
        <v>8126</v>
      </c>
      <c r="T187" s="162" t="str">
        <f>MID(PAA[[#This Row],[Meta Proyecto de Inversión]],6,1)</f>
        <v>9</v>
      </c>
      <c r="U187" s="163" t="str">
        <f>IFERROR(VLOOKUP(N187,TD!$B$50:$F$54,2,0)," ")</f>
        <v>O230117</v>
      </c>
      <c r="V187" s="163" t="str">
        <f>IFERROR(VLOOKUP(N187,TD!$B$50:$F$54,3,0)," ")</f>
        <v>4599</v>
      </c>
      <c r="W187" s="163">
        <f>IFERROR(VLOOKUP(N187,TD!$B$50:$F$54,4,0)," ")</f>
        <v>20240207</v>
      </c>
      <c r="X187" s="162" t="s">
        <v>174</v>
      </c>
      <c r="Y187" s="163" t="str">
        <f>IFERROR(VLOOKUP(X187,TD!$J$51:$K$64,2,0)," ")</f>
        <v>Infraestructura física, mantenimiento y dotación (Sedes construidas, mantenidas reforzadas)</v>
      </c>
      <c r="Z187" s="164" t="str">
        <f>CONCATENATE(X187,"-",Y187)</f>
        <v>08-Infraestructura física, mantenimiento y dotación (Sedes construidas, mantenidas reforzadas)</v>
      </c>
      <c r="AA187" s="166" t="s">
        <v>227</v>
      </c>
      <c r="AB187" s="163" t="str">
        <f>IFERROR(VLOOKUP(AA187,TD!$N$51:$O$66,2,0)," ")</f>
        <v>Sedes mantenidas</v>
      </c>
      <c r="AC187" s="164" t="str">
        <f>CONCATENATE(AA187,"_",AB187)</f>
        <v>016_Sedes mantenidas</v>
      </c>
      <c r="AD187" s="164" t="str">
        <f>CONCATENATE(Z187," ",AC187)</f>
        <v>08-Infraestructura física, mantenimiento y dotación (Sedes construidas, mantenidas reforzadas) 016_Sedes mantenidas</v>
      </c>
      <c r="AE187" s="163" t="str">
        <f>CONCATENATE(U187,V187,W187,X187,AA187)</f>
        <v>O23011745992024020708016</v>
      </c>
      <c r="AF187" s="163" t="str">
        <f>IFERROR(VLOOKUP(AD187,TD!$J$66:$K$89,2,0)," ")</f>
        <v>PM/0131/0108/45990160207</v>
      </c>
      <c r="AG187" s="118" t="s">
        <v>385</v>
      </c>
      <c r="AH187" s="162" t="s">
        <v>193</v>
      </c>
      <c r="AI187" s="165" t="str">
        <f>CONCATENATE(PAA[[#This Row],[Id Interno]],"-",PAA[[#This Row],[tipo de Contrato (TH talento humano - B/S bienes y/o servicios)]],"-",S187,"-",T187,"-",PAA[[#This Row],[Objeto de la contratación]])</f>
        <v>20260160-TH-8126-9-SGH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v>
      </c>
    </row>
    <row r="188" spans="2:35" ht="126" x14ac:dyDescent="0.35">
      <c r="B188" s="23">
        <v>20260161</v>
      </c>
      <c r="C188" s="99" t="s">
        <v>468</v>
      </c>
      <c r="D188" s="23" t="s">
        <v>105</v>
      </c>
      <c r="E188" s="23" t="s">
        <v>363</v>
      </c>
      <c r="F188" s="159" t="s">
        <v>144</v>
      </c>
      <c r="G188" s="160" t="s">
        <v>373</v>
      </c>
      <c r="H188" s="161">
        <v>7</v>
      </c>
      <c r="I188" s="161">
        <v>0</v>
      </c>
      <c r="J188" s="127">
        <v>41300000</v>
      </c>
      <c r="K188" s="88" t="s">
        <v>398</v>
      </c>
      <c r="L188" s="159" t="s">
        <v>154</v>
      </c>
      <c r="M188" s="162" t="s">
        <v>451</v>
      </c>
      <c r="N188" s="23" t="s">
        <v>197</v>
      </c>
      <c r="O188" s="151" t="s">
        <v>945</v>
      </c>
      <c r="P188" s="159" t="s">
        <v>348</v>
      </c>
      <c r="Q188" s="53">
        <v>80111600</v>
      </c>
      <c r="R188" s="162" t="s">
        <v>208</v>
      </c>
      <c r="S188" s="162" t="str">
        <f>MID(PAA[[#This Row],[Meta Proyecto de Inversión]],1,4)</f>
        <v>8126</v>
      </c>
      <c r="T188" s="162" t="str">
        <f>MID(PAA[[#This Row],[Meta Proyecto de Inversión]],6,1)</f>
        <v>9</v>
      </c>
      <c r="U188" s="163" t="str">
        <f>IFERROR(VLOOKUP(N188,TD!$B$50:$F$54,2,0)," ")</f>
        <v>O230117</v>
      </c>
      <c r="V188" s="163" t="str">
        <f>IFERROR(VLOOKUP(N188,TD!$B$50:$F$54,3,0)," ")</f>
        <v>4599</v>
      </c>
      <c r="W188" s="163">
        <f>IFERROR(VLOOKUP(N188,TD!$B$50:$F$54,4,0)," ")</f>
        <v>20240207</v>
      </c>
      <c r="X188" s="162" t="s">
        <v>174</v>
      </c>
      <c r="Y188" s="163" t="str">
        <f>IFERROR(VLOOKUP(X188,TD!$J$51:$K$64,2,0)," ")</f>
        <v>Infraestructura física, mantenimiento y dotación (Sedes construidas, mantenidas reforzadas)</v>
      </c>
      <c r="Z188" s="164" t="str">
        <f>CONCATENATE(X188,"-",Y188)</f>
        <v>08-Infraestructura física, mantenimiento y dotación (Sedes construidas, mantenidas reforzadas)</v>
      </c>
      <c r="AA188" s="166" t="s">
        <v>227</v>
      </c>
      <c r="AB188" s="163" t="str">
        <f>IFERROR(VLOOKUP(AA188,TD!$N$51:$O$66,2,0)," ")</f>
        <v>Sedes mantenidas</v>
      </c>
      <c r="AC188" s="164" t="str">
        <f>CONCATENATE(AA188,"_",AB188)</f>
        <v>016_Sedes mantenidas</v>
      </c>
      <c r="AD188" s="164" t="str">
        <f>CONCATENATE(Z188," ",AC188)</f>
        <v>08-Infraestructura física, mantenimiento y dotación (Sedes construidas, mantenidas reforzadas) 016_Sedes mantenidas</v>
      </c>
      <c r="AE188" s="163" t="str">
        <f>CONCATENATE(U188,V188,W188,X188,AA188)</f>
        <v>O23011745992024020708016</v>
      </c>
      <c r="AF188" s="163" t="str">
        <f>IFERROR(VLOOKUP(AD188,TD!$J$66:$K$89,2,0)," ")</f>
        <v>PM/0131/0108/45990160207</v>
      </c>
      <c r="AG188" s="118" t="s">
        <v>385</v>
      </c>
      <c r="AH188" s="162" t="s">
        <v>193</v>
      </c>
      <c r="AI188" s="165" t="str">
        <f>CONCATENATE(PAA[[#This Row],[Id Interno]],"-",PAA[[#This Row],[tipo de Contrato (TH talento humano - B/S bienes y/o servicios)]],"-",S188,"-",T188,"-",PAA[[#This Row],[Objeto de la contratación]])</f>
        <v>20260161-TH-8126-9-SGH-Prestar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v>
      </c>
    </row>
    <row r="189" spans="2:35" ht="126" x14ac:dyDescent="0.35">
      <c r="B189" s="23">
        <v>20260162</v>
      </c>
      <c r="C189" s="99" t="s">
        <v>629</v>
      </c>
      <c r="D189" s="23" t="s">
        <v>105</v>
      </c>
      <c r="E189" s="23" t="s">
        <v>363</v>
      </c>
      <c r="F189" s="159" t="s">
        <v>144</v>
      </c>
      <c r="G189" s="160" t="s">
        <v>373</v>
      </c>
      <c r="H189" s="161">
        <v>8</v>
      </c>
      <c r="I189" s="161">
        <v>0</v>
      </c>
      <c r="J189" s="127">
        <v>57600000</v>
      </c>
      <c r="K189" s="88" t="s">
        <v>398</v>
      </c>
      <c r="L189" s="159" t="s">
        <v>154</v>
      </c>
      <c r="M189" s="162" t="s">
        <v>451</v>
      </c>
      <c r="N189" s="23" t="s">
        <v>197</v>
      </c>
      <c r="O189" s="151" t="s">
        <v>945</v>
      </c>
      <c r="P189" s="159" t="s">
        <v>348</v>
      </c>
      <c r="Q189" s="53">
        <v>80111600</v>
      </c>
      <c r="R189" s="162" t="s">
        <v>208</v>
      </c>
      <c r="S189" s="162" t="str">
        <f>MID(PAA[[#This Row],[Meta Proyecto de Inversión]],1,4)</f>
        <v>8126</v>
      </c>
      <c r="T189" s="162" t="str">
        <f>MID(PAA[[#This Row],[Meta Proyecto de Inversión]],6,1)</f>
        <v>9</v>
      </c>
      <c r="U189" s="163" t="str">
        <f>IFERROR(VLOOKUP(N189,TD!$B$50:$F$54,2,0)," ")</f>
        <v>O230117</v>
      </c>
      <c r="V189" s="163" t="str">
        <f>IFERROR(VLOOKUP(N189,TD!$B$50:$F$54,3,0)," ")</f>
        <v>4599</v>
      </c>
      <c r="W189" s="163">
        <f>IFERROR(VLOOKUP(N189,TD!$B$50:$F$54,4,0)," ")</f>
        <v>20240207</v>
      </c>
      <c r="X189" s="162" t="s">
        <v>174</v>
      </c>
      <c r="Y189" s="163" t="str">
        <f>IFERROR(VLOOKUP(X189,TD!$J$51:$K$64,2,0)," ")</f>
        <v>Infraestructura física, mantenimiento y dotación (Sedes construidas, mantenidas reforzadas)</v>
      </c>
      <c r="Z189" s="164" t="str">
        <f>CONCATENATE(X189,"-",Y189)</f>
        <v>08-Infraestructura física, mantenimiento y dotación (Sedes construidas, mantenidas reforzadas)</v>
      </c>
      <c r="AA189" s="166" t="s">
        <v>227</v>
      </c>
      <c r="AB189" s="163" t="str">
        <f>IFERROR(VLOOKUP(AA189,TD!$N$51:$O$66,2,0)," ")</f>
        <v>Sedes mantenidas</v>
      </c>
      <c r="AC189" s="164" t="str">
        <f>CONCATENATE(AA189,"_",AB189)</f>
        <v>016_Sedes mantenidas</v>
      </c>
      <c r="AD189" s="164" t="str">
        <f>CONCATENATE(Z189," ",AC189)</f>
        <v>08-Infraestructura física, mantenimiento y dotación (Sedes construidas, mantenidas reforzadas) 016_Sedes mantenidas</v>
      </c>
      <c r="AE189" s="163" t="str">
        <f>CONCATENATE(U189,V189,W189,X189,AA189)</f>
        <v>O23011745992024020708016</v>
      </c>
      <c r="AF189" s="163" t="str">
        <f>IFERROR(VLOOKUP(AD189,TD!$J$66:$K$89,2,0)," ")</f>
        <v>PM/0131/0108/45990160207</v>
      </c>
      <c r="AG189" s="118" t="s">
        <v>385</v>
      </c>
      <c r="AH189" s="162" t="s">
        <v>193</v>
      </c>
      <c r="AI189" s="165" t="str">
        <f>CONCATENATE(PAA[[#This Row],[Id Interno]],"-",PAA[[#This Row],[tipo de Contrato (TH talento humano - B/S bienes y/o servicios)]],"-",S189,"-",T189,"-",PAA[[#This Row],[Objeto de la contratación]])</f>
        <v>20260162-TH-8126-9-SGH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v>
      </c>
    </row>
    <row r="190" spans="2:35" ht="126" x14ac:dyDescent="0.35">
      <c r="B190" s="23">
        <v>20260163</v>
      </c>
      <c r="C190" s="99" t="s">
        <v>630</v>
      </c>
      <c r="D190" s="23" t="s">
        <v>105</v>
      </c>
      <c r="E190" s="23" t="s">
        <v>363</v>
      </c>
      <c r="F190" s="159" t="s">
        <v>144</v>
      </c>
      <c r="G190" s="160" t="s">
        <v>373</v>
      </c>
      <c r="H190" s="161">
        <v>5</v>
      </c>
      <c r="I190" s="161">
        <v>0</v>
      </c>
      <c r="J190" s="127">
        <v>46000000</v>
      </c>
      <c r="K190" s="88" t="s">
        <v>398</v>
      </c>
      <c r="L190" s="159" t="s">
        <v>154</v>
      </c>
      <c r="M190" s="162" t="s">
        <v>451</v>
      </c>
      <c r="N190" s="23" t="s">
        <v>197</v>
      </c>
      <c r="O190" s="151" t="s">
        <v>945</v>
      </c>
      <c r="P190" s="159" t="s">
        <v>348</v>
      </c>
      <c r="Q190" s="53">
        <v>80111600</v>
      </c>
      <c r="R190" s="162" t="s">
        <v>208</v>
      </c>
      <c r="S190" s="162" t="str">
        <f>MID(PAA[[#This Row],[Meta Proyecto de Inversión]],1,4)</f>
        <v>8126</v>
      </c>
      <c r="T190" s="162" t="str">
        <f>MID(PAA[[#This Row],[Meta Proyecto de Inversión]],6,1)</f>
        <v>9</v>
      </c>
      <c r="U190" s="163" t="str">
        <f>IFERROR(VLOOKUP(N190,TD!$B$50:$F$54,2,0)," ")</f>
        <v>O230117</v>
      </c>
      <c r="V190" s="163" t="str">
        <f>IFERROR(VLOOKUP(N190,TD!$B$50:$F$54,3,0)," ")</f>
        <v>4599</v>
      </c>
      <c r="W190" s="163">
        <f>IFERROR(VLOOKUP(N190,TD!$B$50:$F$54,4,0)," ")</f>
        <v>20240207</v>
      </c>
      <c r="X190" s="162" t="s">
        <v>174</v>
      </c>
      <c r="Y190" s="163" t="str">
        <f>IFERROR(VLOOKUP(X190,TD!$J$51:$K$64,2,0)," ")</f>
        <v>Infraestructura física, mantenimiento y dotación (Sedes construidas, mantenidas reforzadas)</v>
      </c>
      <c r="Z190" s="164" t="str">
        <f>CONCATENATE(X190,"-",Y190)</f>
        <v>08-Infraestructura física, mantenimiento y dotación (Sedes construidas, mantenidas reforzadas)</v>
      </c>
      <c r="AA190" s="166" t="s">
        <v>227</v>
      </c>
      <c r="AB190" s="163" t="str">
        <f>IFERROR(VLOOKUP(AA190,TD!$N$51:$O$66,2,0)," ")</f>
        <v>Sedes mantenidas</v>
      </c>
      <c r="AC190" s="164" t="str">
        <f>CONCATENATE(AA190,"_",AB190)</f>
        <v>016_Sedes mantenidas</v>
      </c>
      <c r="AD190" s="164" t="str">
        <f>CONCATENATE(Z190," ",AC190)</f>
        <v>08-Infraestructura física, mantenimiento y dotación (Sedes construidas, mantenidas reforzadas) 016_Sedes mantenidas</v>
      </c>
      <c r="AE190" s="163" t="str">
        <f>CONCATENATE(U190,V190,W190,X190,AA190)</f>
        <v>O23011745992024020708016</v>
      </c>
      <c r="AF190" s="163" t="str">
        <f>IFERROR(VLOOKUP(AD190,TD!$J$66:$K$89,2,0)," ")</f>
        <v>PM/0131/0108/45990160207</v>
      </c>
      <c r="AG190" s="118" t="s">
        <v>385</v>
      </c>
      <c r="AH190" s="162" t="s">
        <v>193</v>
      </c>
      <c r="AI190" s="165" t="str">
        <f>CONCATENATE(PAA[[#This Row],[Id Interno]],"-",PAA[[#This Row],[tipo de Contrato (TH talento humano - B/S bienes y/o servicios)]],"-",S190,"-",T190,"-",PAA[[#This Row],[Objeto de la contratación]])</f>
        <v>20260163-TH-8126-9-SGH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v>
      </c>
    </row>
    <row r="191" spans="2:35" ht="84" x14ac:dyDescent="0.35">
      <c r="B191" s="23">
        <v>20260164</v>
      </c>
      <c r="C191" s="99" t="s">
        <v>469</v>
      </c>
      <c r="D191" s="23" t="s">
        <v>105</v>
      </c>
      <c r="E191" s="23" t="s">
        <v>363</v>
      </c>
      <c r="F191" s="159" t="s">
        <v>144</v>
      </c>
      <c r="G191" s="160" t="s">
        <v>373</v>
      </c>
      <c r="H191" s="161">
        <v>7</v>
      </c>
      <c r="I191" s="161">
        <v>0</v>
      </c>
      <c r="J191" s="127">
        <v>50400000</v>
      </c>
      <c r="K191" s="88" t="s">
        <v>398</v>
      </c>
      <c r="L191" s="159" t="s">
        <v>154</v>
      </c>
      <c r="M191" s="162" t="s">
        <v>451</v>
      </c>
      <c r="N191" s="23" t="s">
        <v>197</v>
      </c>
      <c r="O191" s="151" t="s">
        <v>945</v>
      </c>
      <c r="P191" s="159" t="s">
        <v>348</v>
      </c>
      <c r="Q191" s="53">
        <v>80111600</v>
      </c>
      <c r="R191" s="162" t="s">
        <v>208</v>
      </c>
      <c r="S191" s="162" t="str">
        <f>MID(PAA[[#This Row],[Meta Proyecto de Inversión]],1,4)</f>
        <v>8126</v>
      </c>
      <c r="T191" s="162" t="str">
        <f>MID(PAA[[#This Row],[Meta Proyecto de Inversión]],6,1)</f>
        <v>9</v>
      </c>
      <c r="U191" s="163" t="str">
        <f>IFERROR(VLOOKUP(N191,TD!$B$50:$F$54,2,0)," ")</f>
        <v>O230117</v>
      </c>
      <c r="V191" s="163" t="str">
        <f>IFERROR(VLOOKUP(N191,TD!$B$50:$F$54,3,0)," ")</f>
        <v>4599</v>
      </c>
      <c r="W191" s="163">
        <f>IFERROR(VLOOKUP(N191,TD!$B$50:$F$54,4,0)," ")</f>
        <v>20240207</v>
      </c>
      <c r="X191" s="162" t="s">
        <v>174</v>
      </c>
      <c r="Y191" s="163" t="str">
        <f>IFERROR(VLOOKUP(X191,TD!$J$51:$K$64,2,0)," ")</f>
        <v>Infraestructura física, mantenimiento y dotación (Sedes construidas, mantenidas reforzadas)</v>
      </c>
      <c r="Z191" s="164" t="str">
        <f>CONCATENATE(X191,"-",Y191)</f>
        <v>08-Infraestructura física, mantenimiento y dotación (Sedes construidas, mantenidas reforzadas)</v>
      </c>
      <c r="AA191" s="166" t="s">
        <v>227</v>
      </c>
      <c r="AB191" s="163" t="str">
        <f>IFERROR(VLOOKUP(AA191,TD!$N$51:$O$66,2,0)," ")</f>
        <v>Sedes mantenidas</v>
      </c>
      <c r="AC191" s="164" t="str">
        <f>CONCATENATE(AA191,"_",AB191)</f>
        <v>016_Sedes mantenidas</v>
      </c>
      <c r="AD191" s="164" t="str">
        <f>CONCATENATE(Z191," ",AC191)</f>
        <v>08-Infraestructura física, mantenimiento y dotación (Sedes construidas, mantenidas reforzadas) 016_Sedes mantenidas</v>
      </c>
      <c r="AE191" s="163" t="str">
        <f>CONCATENATE(U191,V191,W191,X191,AA191)</f>
        <v>O23011745992024020708016</v>
      </c>
      <c r="AF191" s="163" t="str">
        <f>IFERROR(VLOOKUP(AD191,TD!$J$66:$K$89,2,0)," ")</f>
        <v>PM/0131/0108/45990160207</v>
      </c>
      <c r="AG191" s="118" t="s">
        <v>385</v>
      </c>
      <c r="AH191" s="162" t="s">
        <v>193</v>
      </c>
      <c r="AI191" s="165" t="str">
        <f>CONCATENATE(PAA[[#This Row],[Id Interno]],"-",PAA[[#This Row],[tipo de Contrato (TH talento humano - B/S bienes y/o servicios)]],"-",S191,"-",T191,"-",PAA[[#This Row],[Objeto de la contratación]])</f>
        <v>20260164-TH-8126-9-SGH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v>
      </c>
    </row>
    <row r="192" spans="2:35" ht="70" x14ac:dyDescent="0.35">
      <c r="B192" s="23">
        <v>20260165</v>
      </c>
      <c r="C192" s="99" t="s">
        <v>631</v>
      </c>
      <c r="D192" s="23" t="s">
        <v>105</v>
      </c>
      <c r="E192" s="23" t="s">
        <v>363</v>
      </c>
      <c r="F192" s="159" t="s">
        <v>144</v>
      </c>
      <c r="G192" s="160" t="s">
        <v>373</v>
      </c>
      <c r="H192" s="161">
        <v>7</v>
      </c>
      <c r="I192" s="161">
        <v>0</v>
      </c>
      <c r="J192" s="127">
        <v>60900000</v>
      </c>
      <c r="K192" s="88" t="s">
        <v>398</v>
      </c>
      <c r="L192" s="159" t="s">
        <v>154</v>
      </c>
      <c r="M192" s="162" t="s">
        <v>451</v>
      </c>
      <c r="N192" s="23" t="s">
        <v>197</v>
      </c>
      <c r="O192" s="151" t="s">
        <v>945</v>
      </c>
      <c r="P192" s="159" t="s">
        <v>348</v>
      </c>
      <c r="Q192" s="53">
        <v>80111600</v>
      </c>
      <c r="R192" s="162" t="s">
        <v>208</v>
      </c>
      <c r="S192" s="162" t="str">
        <f>MID(PAA[[#This Row],[Meta Proyecto de Inversión]],1,4)</f>
        <v>8126</v>
      </c>
      <c r="T192" s="162" t="str">
        <f>MID(PAA[[#This Row],[Meta Proyecto de Inversión]],6,1)</f>
        <v>9</v>
      </c>
      <c r="U192" s="163" t="str">
        <f>IFERROR(VLOOKUP(N192,TD!$B$50:$F$54,2,0)," ")</f>
        <v>O230117</v>
      </c>
      <c r="V192" s="163" t="str">
        <f>IFERROR(VLOOKUP(N192,TD!$B$50:$F$54,3,0)," ")</f>
        <v>4599</v>
      </c>
      <c r="W192" s="163">
        <f>IFERROR(VLOOKUP(N192,TD!$B$50:$F$54,4,0)," ")</f>
        <v>20240207</v>
      </c>
      <c r="X192" s="162" t="s">
        <v>174</v>
      </c>
      <c r="Y192" s="163" t="str">
        <f>IFERROR(VLOOKUP(X192,TD!$J$51:$K$64,2,0)," ")</f>
        <v>Infraestructura física, mantenimiento y dotación (Sedes construidas, mantenidas reforzadas)</v>
      </c>
      <c r="Z192" s="164" t="str">
        <f>CONCATENATE(X192,"-",Y192)</f>
        <v>08-Infraestructura física, mantenimiento y dotación (Sedes construidas, mantenidas reforzadas)</v>
      </c>
      <c r="AA192" s="166" t="s">
        <v>227</v>
      </c>
      <c r="AB192" s="163" t="str">
        <f>IFERROR(VLOOKUP(AA192,TD!$N$51:$O$66,2,0)," ")</f>
        <v>Sedes mantenidas</v>
      </c>
      <c r="AC192" s="164" t="str">
        <f>CONCATENATE(AA192,"_",AB192)</f>
        <v>016_Sedes mantenidas</v>
      </c>
      <c r="AD192" s="164" t="str">
        <f>CONCATENATE(Z192," ",AC192)</f>
        <v>08-Infraestructura física, mantenimiento y dotación (Sedes construidas, mantenidas reforzadas) 016_Sedes mantenidas</v>
      </c>
      <c r="AE192" s="163" t="str">
        <f>CONCATENATE(U192,V192,W192,X192,AA192)</f>
        <v>O23011745992024020708016</v>
      </c>
      <c r="AF192" s="163" t="str">
        <f>IFERROR(VLOOKUP(AD192,TD!$J$66:$K$89,2,0)," ")</f>
        <v>PM/0131/0108/45990160207</v>
      </c>
      <c r="AG192" s="118" t="s">
        <v>385</v>
      </c>
      <c r="AH192" s="162" t="s">
        <v>193</v>
      </c>
      <c r="AI192" s="165" t="str">
        <f>CONCATENATE(PAA[[#This Row],[Id Interno]],"-",PAA[[#This Row],[tipo de Contrato (TH talento humano - B/S bienes y/o servicios)]],"-",S192,"-",T192,"-",PAA[[#This Row],[Objeto de la contratación]])</f>
        <v>20260165-TH-8126-9-SGH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v>
      </c>
    </row>
    <row r="193" spans="2:35" ht="70" x14ac:dyDescent="0.35">
      <c r="B193" s="23">
        <v>20260166</v>
      </c>
      <c r="C193" s="99" t="s">
        <v>470</v>
      </c>
      <c r="D193" s="23" t="s">
        <v>105</v>
      </c>
      <c r="E193" s="23" t="s">
        <v>363</v>
      </c>
      <c r="F193" s="159" t="s">
        <v>144</v>
      </c>
      <c r="G193" s="160" t="s">
        <v>373</v>
      </c>
      <c r="H193" s="161">
        <v>7</v>
      </c>
      <c r="I193" s="161">
        <v>0</v>
      </c>
      <c r="J193" s="127">
        <v>62300000</v>
      </c>
      <c r="K193" s="88" t="s">
        <v>398</v>
      </c>
      <c r="L193" s="159" t="s">
        <v>154</v>
      </c>
      <c r="M193" s="162" t="s">
        <v>451</v>
      </c>
      <c r="N193" s="23" t="s">
        <v>197</v>
      </c>
      <c r="O193" s="151" t="s">
        <v>945</v>
      </c>
      <c r="P193" s="159" t="s">
        <v>348</v>
      </c>
      <c r="Q193" s="53">
        <v>80111600</v>
      </c>
      <c r="R193" s="162" t="s">
        <v>208</v>
      </c>
      <c r="S193" s="162" t="str">
        <f>MID(PAA[[#This Row],[Meta Proyecto de Inversión]],1,4)</f>
        <v>8126</v>
      </c>
      <c r="T193" s="162" t="str">
        <f>MID(PAA[[#This Row],[Meta Proyecto de Inversión]],6,1)</f>
        <v>9</v>
      </c>
      <c r="U193" s="163" t="str">
        <f>IFERROR(VLOOKUP(N193,TD!$B$50:$F$54,2,0)," ")</f>
        <v>O230117</v>
      </c>
      <c r="V193" s="163" t="str">
        <f>IFERROR(VLOOKUP(N193,TD!$B$50:$F$54,3,0)," ")</f>
        <v>4599</v>
      </c>
      <c r="W193" s="163">
        <f>IFERROR(VLOOKUP(N193,TD!$B$50:$F$54,4,0)," ")</f>
        <v>20240207</v>
      </c>
      <c r="X193" s="162" t="s">
        <v>174</v>
      </c>
      <c r="Y193" s="163" t="str">
        <f>IFERROR(VLOOKUP(X193,TD!$J$51:$K$64,2,0)," ")</f>
        <v>Infraestructura física, mantenimiento y dotación (Sedes construidas, mantenidas reforzadas)</v>
      </c>
      <c r="Z193" s="164" t="str">
        <f>CONCATENATE(X193,"-",Y193)</f>
        <v>08-Infraestructura física, mantenimiento y dotación (Sedes construidas, mantenidas reforzadas)</v>
      </c>
      <c r="AA193" s="166" t="s">
        <v>227</v>
      </c>
      <c r="AB193" s="163" t="str">
        <f>IFERROR(VLOOKUP(AA193,TD!$N$51:$O$66,2,0)," ")</f>
        <v>Sedes mantenidas</v>
      </c>
      <c r="AC193" s="164" t="str">
        <f>CONCATENATE(AA193,"_",AB193)</f>
        <v>016_Sedes mantenidas</v>
      </c>
      <c r="AD193" s="164" t="str">
        <f>CONCATENATE(Z193," ",AC193)</f>
        <v>08-Infraestructura física, mantenimiento y dotación (Sedes construidas, mantenidas reforzadas) 016_Sedes mantenidas</v>
      </c>
      <c r="AE193" s="163" t="str">
        <f>CONCATENATE(U193,V193,W193,X193,AA193)</f>
        <v>O23011745992024020708016</v>
      </c>
      <c r="AF193" s="163" t="str">
        <f>IFERROR(VLOOKUP(AD193,TD!$J$66:$K$89,2,0)," ")</f>
        <v>PM/0131/0108/45990160207</v>
      </c>
      <c r="AG193" s="118" t="s">
        <v>385</v>
      </c>
      <c r="AH193" s="162" t="s">
        <v>193</v>
      </c>
      <c r="AI193" s="165" t="str">
        <f>CONCATENATE(PAA[[#This Row],[Id Interno]],"-",PAA[[#This Row],[tipo de Contrato (TH talento humano - B/S bienes y/o servicios)]],"-",S193,"-",T193,"-",PAA[[#This Row],[Objeto de la contratación]])</f>
        <v>20260166-TH-8126-9-SGH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v>
      </c>
    </row>
    <row r="194" spans="2:35" ht="98" x14ac:dyDescent="0.35">
      <c r="B194" s="23">
        <v>20260167</v>
      </c>
      <c r="C194" s="99" t="s">
        <v>632</v>
      </c>
      <c r="D194" s="23" t="s">
        <v>105</v>
      </c>
      <c r="E194" s="23" t="s">
        <v>363</v>
      </c>
      <c r="F194" s="159" t="s">
        <v>144</v>
      </c>
      <c r="G194" s="160" t="s">
        <v>373</v>
      </c>
      <c r="H194" s="161">
        <v>10</v>
      </c>
      <c r="I194" s="161">
        <v>0</v>
      </c>
      <c r="J194" s="127">
        <v>83000000</v>
      </c>
      <c r="K194" s="88" t="s">
        <v>398</v>
      </c>
      <c r="L194" s="159" t="s">
        <v>154</v>
      </c>
      <c r="M194" s="162" t="s">
        <v>451</v>
      </c>
      <c r="N194" s="23" t="s">
        <v>197</v>
      </c>
      <c r="O194" s="151" t="s">
        <v>945</v>
      </c>
      <c r="P194" s="159" t="s">
        <v>348</v>
      </c>
      <c r="Q194" s="53">
        <v>80111600</v>
      </c>
      <c r="R194" s="162" t="s">
        <v>208</v>
      </c>
      <c r="S194" s="162" t="str">
        <f>MID(PAA[[#This Row],[Meta Proyecto de Inversión]],1,4)</f>
        <v>8126</v>
      </c>
      <c r="T194" s="162" t="str">
        <f>MID(PAA[[#This Row],[Meta Proyecto de Inversión]],6,1)</f>
        <v>9</v>
      </c>
      <c r="U194" s="163" t="str">
        <f>IFERROR(VLOOKUP(N194,TD!$B$50:$F$54,2,0)," ")</f>
        <v>O230117</v>
      </c>
      <c r="V194" s="163" t="str">
        <f>IFERROR(VLOOKUP(N194,TD!$B$50:$F$54,3,0)," ")</f>
        <v>4599</v>
      </c>
      <c r="W194" s="163">
        <f>IFERROR(VLOOKUP(N194,TD!$B$50:$F$54,4,0)," ")</f>
        <v>20240207</v>
      </c>
      <c r="X194" s="162" t="s">
        <v>174</v>
      </c>
      <c r="Y194" s="163" t="str">
        <f>IFERROR(VLOOKUP(X194,TD!$J$51:$K$64,2,0)," ")</f>
        <v>Infraestructura física, mantenimiento y dotación (Sedes construidas, mantenidas reforzadas)</v>
      </c>
      <c r="Z194" s="164" t="str">
        <f>CONCATENATE(X194,"-",Y194)</f>
        <v>08-Infraestructura física, mantenimiento y dotación (Sedes construidas, mantenidas reforzadas)</v>
      </c>
      <c r="AA194" s="166" t="s">
        <v>227</v>
      </c>
      <c r="AB194" s="163" t="str">
        <f>IFERROR(VLOOKUP(AA194,TD!$N$51:$O$66,2,0)," ")</f>
        <v>Sedes mantenidas</v>
      </c>
      <c r="AC194" s="164" t="str">
        <f>CONCATENATE(AA194,"_",AB194)</f>
        <v>016_Sedes mantenidas</v>
      </c>
      <c r="AD194" s="164" t="str">
        <f>CONCATENATE(Z194," ",AC194)</f>
        <v>08-Infraestructura física, mantenimiento y dotación (Sedes construidas, mantenidas reforzadas) 016_Sedes mantenidas</v>
      </c>
      <c r="AE194" s="163" t="str">
        <f>CONCATENATE(U194,V194,W194,X194,AA194)</f>
        <v>O23011745992024020708016</v>
      </c>
      <c r="AF194" s="163" t="str">
        <f>IFERROR(VLOOKUP(AD194,TD!$J$66:$K$89,2,0)," ")</f>
        <v>PM/0131/0108/45990160207</v>
      </c>
      <c r="AG194" s="118" t="s">
        <v>385</v>
      </c>
      <c r="AH194" s="162" t="s">
        <v>193</v>
      </c>
      <c r="AI194" s="165" t="str">
        <f>CONCATENATE(PAA[[#This Row],[Id Interno]],"-",PAA[[#This Row],[tipo de Contrato (TH talento humano - B/S bienes y/o servicios)]],"-",S194,"-",T194,"-",PAA[[#This Row],[Objeto de la contratación]])</f>
        <v>20260167-TH-8126-9-SGH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v>
      </c>
    </row>
    <row r="195" spans="2:35" ht="168" x14ac:dyDescent="0.35">
      <c r="B195" s="23">
        <v>20260168</v>
      </c>
      <c r="C195" s="99" t="s">
        <v>471</v>
      </c>
      <c r="D195" s="23" t="s">
        <v>105</v>
      </c>
      <c r="E195" s="23" t="s">
        <v>363</v>
      </c>
      <c r="F195" s="159" t="s">
        <v>144</v>
      </c>
      <c r="G195" s="160" t="s">
        <v>373</v>
      </c>
      <c r="H195" s="161">
        <v>11</v>
      </c>
      <c r="I195" s="161">
        <v>0</v>
      </c>
      <c r="J195" s="127">
        <v>92400000</v>
      </c>
      <c r="K195" s="88" t="s">
        <v>398</v>
      </c>
      <c r="L195" s="159" t="s">
        <v>154</v>
      </c>
      <c r="M195" s="162" t="s">
        <v>451</v>
      </c>
      <c r="N195" s="23" t="s">
        <v>197</v>
      </c>
      <c r="O195" s="151" t="s">
        <v>945</v>
      </c>
      <c r="P195" s="159" t="s">
        <v>348</v>
      </c>
      <c r="Q195" s="53">
        <v>80111600</v>
      </c>
      <c r="R195" s="162" t="s">
        <v>208</v>
      </c>
      <c r="S195" s="162" t="str">
        <f>MID(PAA[[#This Row],[Meta Proyecto de Inversión]],1,4)</f>
        <v>8126</v>
      </c>
      <c r="T195" s="162" t="str">
        <f>MID(PAA[[#This Row],[Meta Proyecto de Inversión]],6,1)</f>
        <v>9</v>
      </c>
      <c r="U195" s="163" t="str">
        <f>IFERROR(VLOOKUP(N195,TD!$B$50:$F$54,2,0)," ")</f>
        <v>O230117</v>
      </c>
      <c r="V195" s="163" t="str">
        <f>IFERROR(VLOOKUP(N195,TD!$B$50:$F$54,3,0)," ")</f>
        <v>4599</v>
      </c>
      <c r="W195" s="163">
        <f>IFERROR(VLOOKUP(N195,TD!$B$50:$F$54,4,0)," ")</f>
        <v>20240207</v>
      </c>
      <c r="X195" s="162" t="s">
        <v>174</v>
      </c>
      <c r="Y195" s="163" t="str">
        <f>IFERROR(VLOOKUP(X195,TD!$J$51:$K$64,2,0)," ")</f>
        <v>Infraestructura física, mantenimiento y dotación (Sedes construidas, mantenidas reforzadas)</v>
      </c>
      <c r="Z195" s="164" t="str">
        <f>CONCATENATE(X195,"-",Y195)</f>
        <v>08-Infraestructura física, mantenimiento y dotación (Sedes construidas, mantenidas reforzadas)</v>
      </c>
      <c r="AA195" s="166" t="s">
        <v>227</v>
      </c>
      <c r="AB195" s="163" t="str">
        <f>IFERROR(VLOOKUP(AA195,TD!$N$51:$O$66,2,0)," ")</f>
        <v>Sedes mantenidas</v>
      </c>
      <c r="AC195" s="164" t="str">
        <f>CONCATENATE(AA195,"_",AB195)</f>
        <v>016_Sedes mantenidas</v>
      </c>
      <c r="AD195" s="164" t="str">
        <f>CONCATENATE(Z195," ",AC195)</f>
        <v>08-Infraestructura física, mantenimiento y dotación (Sedes construidas, mantenidas reforzadas) 016_Sedes mantenidas</v>
      </c>
      <c r="AE195" s="163" t="str">
        <f>CONCATENATE(U195,V195,W195,X195,AA195)</f>
        <v>O23011745992024020708016</v>
      </c>
      <c r="AF195" s="163" t="str">
        <f>IFERROR(VLOOKUP(AD195,TD!$J$66:$K$89,2,0)," ")</f>
        <v>PM/0131/0108/45990160207</v>
      </c>
      <c r="AG195" s="118" t="s">
        <v>385</v>
      </c>
      <c r="AH195" s="162" t="s">
        <v>193</v>
      </c>
      <c r="AI195" s="165" t="str">
        <f>CONCATENATE(PAA[[#This Row],[Id Interno]],"-",PAA[[#This Row],[tipo de Contrato (TH talento humano - B/S bienes y/o servicios)]],"-",S195,"-",T195,"-",PAA[[#This Row],[Objeto de la contratación]])</f>
        <v>20260168-TH-8126-9-SGH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v>
      </c>
    </row>
    <row r="196" spans="2:35" ht="84" x14ac:dyDescent="0.35">
      <c r="B196" s="23">
        <v>20260169</v>
      </c>
      <c r="C196" s="99" t="s">
        <v>472</v>
      </c>
      <c r="D196" s="23" t="s">
        <v>105</v>
      </c>
      <c r="E196" s="23" t="s">
        <v>363</v>
      </c>
      <c r="F196" s="159" t="s">
        <v>144</v>
      </c>
      <c r="G196" s="160" t="s">
        <v>373</v>
      </c>
      <c r="H196" s="161">
        <v>8</v>
      </c>
      <c r="I196" s="161">
        <v>0</v>
      </c>
      <c r="J196" s="127">
        <v>66400000</v>
      </c>
      <c r="K196" s="88" t="s">
        <v>398</v>
      </c>
      <c r="L196" s="159" t="s">
        <v>154</v>
      </c>
      <c r="M196" s="162" t="s">
        <v>451</v>
      </c>
      <c r="N196" s="23" t="s">
        <v>197</v>
      </c>
      <c r="O196" s="151" t="s">
        <v>945</v>
      </c>
      <c r="P196" s="159" t="s">
        <v>348</v>
      </c>
      <c r="Q196" s="53">
        <v>80111600</v>
      </c>
      <c r="R196" s="162" t="s">
        <v>208</v>
      </c>
      <c r="S196" s="162" t="str">
        <f>MID(PAA[[#This Row],[Meta Proyecto de Inversión]],1,4)</f>
        <v>8126</v>
      </c>
      <c r="T196" s="162" t="str">
        <f>MID(PAA[[#This Row],[Meta Proyecto de Inversión]],6,1)</f>
        <v>9</v>
      </c>
      <c r="U196" s="163" t="str">
        <f>IFERROR(VLOOKUP(N196,TD!$B$50:$F$54,2,0)," ")</f>
        <v>O230117</v>
      </c>
      <c r="V196" s="163" t="str">
        <f>IFERROR(VLOOKUP(N196,TD!$B$50:$F$54,3,0)," ")</f>
        <v>4599</v>
      </c>
      <c r="W196" s="163">
        <f>IFERROR(VLOOKUP(N196,TD!$B$50:$F$54,4,0)," ")</f>
        <v>20240207</v>
      </c>
      <c r="X196" s="162" t="s">
        <v>174</v>
      </c>
      <c r="Y196" s="163" t="str">
        <f>IFERROR(VLOOKUP(X196,TD!$J$51:$K$64,2,0)," ")</f>
        <v>Infraestructura física, mantenimiento y dotación (Sedes construidas, mantenidas reforzadas)</v>
      </c>
      <c r="Z196" s="164" t="str">
        <f>CONCATENATE(X196,"-",Y196)</f>
        <v>08-Infraestructura física, mantenimiento y dotación (Sedes construidas, mantenidas reforzadas)</v>
      </c>
      <c r="AA196" s="166" t="s">
        <v>227</v>
      </c>
      <c r="AB196" s="163" t="str">
        <f>IFERROR(VLOOKUP(AA196,TD!$N$51:$O$66,2,0)," ")</f>
        <v>Sedes mantenidas</v>
      </c>
      <c r="AC196" s="164" t="str">
        <f>CONCATENATE(AA196,"_",AB196)</f>
        <v>016_Sedes mantenidas</v>
      </c>
      <c r="AD196" s="164" t="str">
        <f>CONCATENATE(Z196," ",AC196)</f>
        <v>08-Infraestructura física, mantenimiento y dotación (Sedes construidas, mantenidas reforzadas) 016_Sedes mantenidas</v>
      </c>
      <c r="AE196" s="163" t="str">
        <f>CONCATENATE(U196,V196,W196,X196,AA196)</f>
        <v>O23011745992024020708016</v>
      </c>
      <c r="AF196" s="163" t="str">
        <f>IFERROR(VLOOKUP(AD196,TD!$J$66:$K$89,2,0)," ")</f>
        <v>PM/0131/0108/45990160207</v>
      </c>
      <c r="AG196" s="118" t="s">
        <v>385</v>
      </c>
      <c r="AH196" s="162" t="s">
        <v>193</v>
      </c>
      <c r="AI196" s="165" t="str">
        <f>CONCATENATE(PAA[[#This Row],[Id Interno]],"-",PAA[[#This Row],[tipo de Contrato (TH talento humano - B/S bienes y/o servicios)]],"-",S196,"-",T196,"-",PAA[[#This Row],[Objeto de la contratación]])</f>
        <v>20260169-TH-8126-9-SGH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v>
      </c>
    </row>
    <row r="197" spans="2:35" ht="70" x14ac:dyDescent="0.35">
      <c r="B197" s="23">
        <v>20260170</v>
      </c>
      <c r="C197" s="99" t="s">
        <v>473</v>
      </c>
      <c r="D197" s="23" t="s">
        <v>105</v>
      </c>
      <c r="E197" s="23" t="s">
        <v>363</v>
      </c>
      <c r="F197" s="159" t="s">
        <v>144</v>
      </c>
      <c r="G197" s="160" t="s">
        <v>373</v>
      </c>
      <c r="H197" s="161">
        <v>11</v>
      </c>
      <c r="I197" s="161">
        <v>0</v>
      </c>
      <c r="J197" s="127">
        <v>60500000</v>
      </c>
      <c r="K197" s="88" t="s">
        <v>398</v>
      </c>
      <c r="L197" s="159" t="s">
        <v>154</v>
      </c>
      <c r="M197" s="162" t="s">
        <v>451</v>
      </c>
      <c r="N197" s="23" t="s">
        <v>197</v>
      </c>
      <c r="O197" s="151" t="s">
        <v>945</v>
      </c>
      <c r="P197" s="159" t="s">
        <v>348</v>
      </c>
      <c r="Q197" s="53">
        <v>80111600</v>
      </c>
      <c r="R197" s="162" t="s">
        <v>208</v>
      </c>
      <c r="S197" s="162" t="str">
        <f>MID(PAA[[#This Row],[Meta Proyecto de Inversión]],1,4)</f>
        <v>8126</v>
      </c>
      <c r="T197" s="162" t="str">
        <f>MID(PAA[[#This Row],[Meta Proyecto de Inversión]],6,1)</f>
        <v>9</v>
      </c>
      <c r="U197" s="163" t="str">
        <f>IFERROR(VLOOKUP(N197,TD!$B$50:$F$54,2,0)," ")</f>
        <v>O230117</v>
      </c>
      <c r="V197" s="163" t="str">
        <f>IFERROR(VLOOKUP(N197,TD!$B$50:$F$54,3,0)," ")</f>
        <v>4599</v>
      </c>
      <c r="W197" s="163">
        <f>IFERROR(VLOOKUP(N197,TD!$B$50:$F$54,4,0)," ")</f>
        <v>20240207</v>
      </c>
      <c r="X197" s="162" t="s">
        <v>174</v>
      </c>
      <c r="Y197" s="163" t="str">
        <f>IFERROR(VLOOKUP(X197,TD!$J$51:$K$64,2,0)," ")</f>
        <v>Infraestructura física, mantenimiento y dotación (Sedes construidas, mantenidas reforzadas)</v>
      </c>
      <c r="Z197" s="164" t="str">
        <f>CONCATENATE(X197,"-",Y197)</f>
        <v>08-Infraestructura física, mantenimiento y dotación (Sedes construidas, mantenidas reforzadas)</v>
      </c>
      <c r="AA197" s="166" t="s">
        <v>227</v>
      </c>
      <c r="AB197" s="163" t="str">
        <f>IFERROR(VLOOKUP(AA197,TD!$N$51:$O$66,2,0)," ")</f>
        <v>Sedes mantenidas</v>
      </c>
      <c r="AC197" s="164" t="str">
        <f>CONCATENATE(AA197,"_",AB197)</f>
        <v>016_Sedes mantenidas</v>
      </c>
      <c r="AD197" s="164" t="str">
        <f>CONCATENATE(Z197," ",AC197)</f>
        <v>08-Infraestructura física, mantenimiento y dotación (Sedes construidas, mantenidas reforzadas) 016_Sedes mantenidas</v>
      </c>
      <c r="AE197" s="163" t="str">
        <f>CONCATENATE(U197,V197,W197,X197,AA197)</f>
        <v>O23011745992024020708016</v>
      </c>
      <c r="AF197" s="163" t="str">
        <f>IFERROR(VLOOKUP(AD197,TD!$J$66:$K$89,2,0)," ")</f>
        <v>PM/0131/0108/45990160207</v>
      </c>
      <c r="AG197" s="118" t="s">
        <v>385</v>
      </c>
      <c r="AH197" s="162" t="s">
        <v>193</v>
      </c>
      <c r="AI197" s="165" t="str">
        <f>CONCATENATE(PAA[[#This Row],[Id Interno]],"-",PAA[[#This Row],[tipo de Contrato (TH talento humano - B/S bienes y/o servicios)]],"-",S197,"-",T197,"-",PAA[[#This Row],[Objeto de la contratación]])</f>
        <v>20260170-TH-8126-9-SGH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v>
      </c>
    </row>
    <row r="198" spans="2:35" ht="56" x14ac:dyDescent="0.35">
      <c r="B198" s="23">
        <v>20260171</v>
      </c>
      <c r="C198" s="99" t="s">
        <v>633</v>
      </c>
      <c r="D198" s="23" t="s">
        <v>105</v>
      </c>
      <c r="E198" s="23" t="s">
        <v>363</v>
      </c>
      <c r="F198" s="159" t="s">
        <v>144</v>
      </c>
      <c r="G198" s="160" t="s">
        <v>373</v>
      </c>
      <c r="H198" s="161">
        <v>7</v>
      </c>
      <c r="I198" s="161">
        <v>0</v>
      </c>
      <c r="J198" s="127">
        <v>37800000</v>
      </c>
      <c r="K198" s="88" t="s">
        <v>398</v>
      </c>
      <c r="L198" s="159" t="s">
        <v>154</v>
      </c>
      <c r="M198" s="162" t="s">
        <v>451</v>
      </c>
      <c r="N198" s="23" t="s">
        <v>197</v>
      </c>
      <c r="O198" s="151" t="s">
        <v>945</v>
      </c>
      <c r="P198" s="159" t="s">
        <v>348</v>
      </c>
      <c r="Q198" s="53">
        <v>80111600</v>
      </c>
      <c r="R198" s="162" t="s">
        <v>208</v>
      </c>
      <c r="S198" s="162" t="str">
        <f>MID(PAA[[#This Row],[Meta Proyecto de Inversión]],1,4)</f>
        <v>8126</v>
      </c>
      <c r="T198" s="162" t="str">
        <f>MID(PAA[[#This Row],[Meta Proyecto de Inversión]],6,1)</f>
        <v>9</v>
      </c>
      <c r="U198" s="163" t="str">
        <f>IFERROR(VLOOKUP(N198,TD!$B$50:$F$54,2,0)," ")</f>
        <v>O230117</v>
      </c>
      <c r="V198" s="163" t="str">
        <f>IFERROR(VLOOKUP(N198,TD!$B$50:$F$54,3,0)," ")</f>
        <v>4599</v>
      </c>
      <c r="W198" s="163">
        <f>IFERROR(VLOOKUP(N198,TD!$B$50:$F$54,4,0)," ")</f>
        <v>20240207</v>
      </c>
      <c r="X198" s="162" t="s">
        <v>174</v>
      </c>
      <c r="Y198" s="163" t="str">
        <f>IFERROR(VLOOKUP(X198,TD!$J$51:$K$64,2,0)," ")</f>
        <v>Infraestructura física, mantenimiento y dotación (Sedes construidas, mantenidas reforzadas)</v>
      </c>
      <c r="Z198" s="164" t="str">
        <f>CONCATENATE(X198,"-",Y198)</f>
        <v>08-Infraestructura física, mantenimiento y dotación (Sedes construidas, mantenidas reforzadas)</v>
      </c>
      <c r="AA198" s="166" t="s">
        <v>227</v>
      </c>
      <c r="AB198" s="163" t="str">
        <f>IFERROR(VLOOKUP(AA198,TD!$N$51:$O$66,2,0)," ")</f>
        <v>Sedes mantenidas</v>
      </c>
      <c r="AC198" s="164" t="str">
        <f>CONCATENATE(AA198,"_",AB198)</f>
        <v>016_Sedes mantenidas</v>
      </c>
      <c r="AD198" s="164" t="str">
        <f>CONCATENATE(Z198," ",AC198)</f>
        <v>08-Infraestructura física, mantenimiento y dotación (Sedes construidas, mantenidas reforzadas) 016_Sedes mantenidas</v>
      </c>
      <c r="AE198" s="163" t="str">
        <f>CONCATENATE(U198,V198,W198,X198,AA198)</f>
        <v>O23011745992024020708016</v>
      </c>
      <c r="AF198" s="163" t="str">
        <f>IFERROR(VLOOKUP(AD198,TD!$J$66:$K$89,2,0)," ")</f>
        <v>PM/0131/0108/45990160207</v>
      </c>
      <c r="AG198" s="118" t="s">
        <v>385</v>
      </c>
      <c r="AH198" s="162" t="s">
        <v>193</v>
      </c>
      <c r="AI198" s="165" t="str">
        <f>CONCATENATE(PAA[[#This Row],[Id Interno]],"-",PAA[[#This Row],[tipo de Contrato (TH talento humano - B/S bienes y/o servicios)]],"-",S198,"-",T198,"-",PAA[[#This Row],[Objeto de la contratación]])</f>
        <v>20260171-TH-8126-9-SGH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v>
      </c>
    </row>
    <row r="199" spans="2:35" ht="42" x14ac:dyDescent="0.35">
      <c r="B199" s="23">
        <v>20260172</v>
      </c>
      <c r="C199" s="99" t="s">
        <v>474</v>
      </c>
      <c r="D199" s="23" t="s">
        <v>105</v>
      </c>
      <c r="E199" s="23" t="s">
        <v>363</v>
      </c>
      <c r="F199" s="159" t="s">
        <v>144</v>
      </c>
      <c r="G199" s="160" t="s">
        <v>373</v>
      </c>
      <c r="H199" s="161">
        <v>7</v>
      </c>
      <c r="I199" s="161">
        <v>0</v>
      </c>
      <c r="J199" s="127">
        <v>37800000</v>
      </c>
      <c r="K199" s="88" t="s">
        <v>398</v>
      </c>
      <c r="L199" s="159" t="s">
        <v>154</v>
      </c>
      <c r="M199" s="162" t="s">
        <v>451</v>
      </c>
      <c r="N199" s="23" t="s">
        <v>197</v>
      </c>
      <c r="O199" s="151" t="s">
        <v>945</v>
      </c>
      <c r="P199" s="159" t="s">
        <v>348</v>
      </c>
      <c r="Q199" s="53">
        <v>80111600</v>
      </c>
      <c r="R199" s="162" t="s">
        <v>208</v>
      </c>
      <c r="S199" s="162" t="str">
        <f>MID(PAA[[#This Row],[Meta Proyecto de Inversión]],1,4)</f>
        <v>8126</v>
      </c>
      <c r="T199" s="162" t="str">
        <f>MID(PAA[[#This Row],[Meta Proyecto de Inversión]],6,1)</f>
        <v>9</v>
      </c>
      <c r="U199" s="163" t="str">
        <f>IFERROR(VLOOKUP(N199,TD!$B$50:$F$54,2,0)," ")</f>
        <v>O230117</v>
      </c>
      <c r="V199" s="163" t="str">
        <f>IFERROR(VLOOKUP(N199,TD!$B$50:$F$54,3,0)," ")</f>
        <v>4599</v>
      </c>
      <c r="W199" s="163">
        <f>IFERROR(VLOOKUP(N199,TD!$B$50:$F$54,4,0)," ")</f>
        <v>20240207</v>
      </c>
      <c r="X199" s="162" t="s">
        <v>174</v>
      </c>
      <c r="Y199" s="163" t="str">
        <f>IFERROR(VLOOKUP(X199,TD!$J$51:$K$64,2,0)," ")</f>
        <v>Infraestructura física, mantenimiento y dotación (Sedes construidas, mantenidas reforzadas)</v>
      </c>
      <c r="Z199" s="164" t="str">
        <f>CONCATENATE(X199,"-",Y199)</f>
        <v>08-Infraestructura física, mantenimiento y dotación (Sedes construidas, mantenidas reforzadas)</v>
      </c>
      <c r="AA199" s="166" t="s">
        <v>227</v>
      </c>
      <c r="AB199" s="163" t="str">
        <f>IFERROR(VLOOKUP(AA199,TD!$N$51:$O$66,2,0)," ")</f>
        <v>Sedes mantenidas</v>
      </c>
      <c r="AC199" s="164" t="str">
        <f>CONCATENATE(AA199,"_",AB199)</f>
        <v>016_Sedes mantenidas</v>
      </c>
      <c r="AD199" s="164" t="str">
        <f>CONCATENATE(Z199," ",AC199)</f>
        <v>08-Infraestructura física, mantenimiento y dotación (Sedes construidas, mantenidas reforzadas) 016_Sedes mantenidas</v>
      </c>
      <c r="AE199" s="163" t="str">
        <f>CONCATENATE(U199,V199,W199,X199,AA199)</f>
        <v>O23011745992024020708016</v>
      </c>
      <c r="AF199" s="163" t="str">
        <f>IFERROR(VLOOKUP(AD199,TD!$J$66:$K$89,2,0)," ")</f>
        <v>PM/0131/0108/45990160207</v>
      </c>
      <c r="AG199" s="118" t="s">
        <v>385</v>
      </c>
      <c r="AH199" s="162" t="s">
        <v>193</v>
      </c>
      <c r="AI199" s="165" t="str">
        <f>CONCATENATE(PAA[[#This Row],[Id Interno]],"-",PAA[[#This Row],[tipo de Contrato (TH talento humano - B/S bienes y/o servicios)]],"-",S199,"-",T199,"-",PAA[[#This Row],[Objeto de la contratación]])</f>
        <v>20260172-TH-8126-9-SGH-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v>
      </c>
    </row>
    <row r="200" spans="2:35" ht="56" x14ac:dyDescent="0.35">
      <c r="B200" s="23">
        <v>20260173</v>
      </c>
      <c r="C200" s="99" t="s">
        <v>634</v>
      </c>
      <c r="D200" s="23" t="s">
        <v>105</v>
      </c>
      <c r="E200" s="23" t="s">
        <v>363</v>
      </c>
      <c r="F200" s="159" t="s">
        <v>144</v>
      </c>
      <c r="G200" s="160" t="s">
        <v>373</v>
      </c>
      <c r="H200" s="161">
        <v>10</v>
      </c>
      <c r="I200" s="161">
        <v>0</v>
      </c>
      <c r="J200" s="127">
        <v>82000000</v>
      </c>
      <c r="K200" s="88" t="s">
        <v>398</v>
      </c>
      <c r="L200" s="159" t="s">
        <v>154</v>
      </c>
      <c r="M200" s="162" t="s">
        <v>451</v>
      </c>
      <c r="N200" s="23" t="s">
        <v>198</v>
      </c>
      <c r="O200" s="151" t="s">
        <v>946</v>
      </c>
      <c r="P200" s="159" t="s">
        <v>348</v>
      </c>
      <c r="Q200" s="53">
        <v>80111600</v>
      </c>
      <c r="R200" s="162" t="s">
        <v>218</v>
      </c>
      <c r="S200" s="162" t="str">
        <f>MID(PAA[[#This Row],[Meta Proyecto de Inversión]],1,4)</f>
        <v>8173</v>
      </c>
      <c r="T200" s="162" t="str">
        <f>MID(PAA[[#This Row],[Meta Proyecto de Inversión]],6,1)</f>
        <v>9</v>
      </c>
      <c r="U200" s="163" t="str">
        <f>IFERROR(VLOOKUP(N200,TD!$B$50:$F$54,2,0)," ")</f>
        <v>O230117</v>
      </c>
      <c r="V200" s="163" t="str">
        <f>IFERROR(VLOOKUP(N200,TD!$B$50:$F$54,3,0)," ")</f>
        <v>4503</v>
      </c>
      <c r="W200" s="163">
        <f>IFERROR(VLOOKUP(N200,TD!$B$50:$F$54,4,0)," ")</f>
        <v>20240255</v>
      </c>
      <c r="X200" s="162" t="s">
        <v>172</v>
      </c>
      <c r="Y200" s="163" t="str">
        <f>IFERROR(VLOOKUP(X200,TD!$J$51:$K$64,2,0)," ")</f>
        <v>Servicio de formación en gestión del riesgo de incendios para el personal UAECOB</v>
      </c>
      <c r="Z200" s="164" t="str">
        <f>CONCATENATE(X200,"-",Y200)</f>
        <v>07-Servicio de formación en gestión del riesgo de incendios para el personal UAECOB</v>
      </c>
      <c r="AA200" s="166" t="s">
        <v>222</v>
      </c>
      <c r="AB200" s="163" t="str">
        <f>IFERROR(VLOOKUP(AA200,TD!$N$51:$O$66,2,0)," ")</f>
        <v>Servicio de educación informal</v>
      </c>
      <c r="AC200" s="164" t="str">
        <f>CONCATENATE(AA200,"_",AB200)</f>
        <v>002_Servicio de educación informal</v>
      </c>
      <c r="AD200" s="164" t="str">
        <f>CONCATENATE(Z200," ",AC200)</f>
        <v>07-Servicio de formación en gestión del riesgo de incendios para el personal UAECOB 002_Servicio de educación informal</v>
      </c>
      <c r="AE200" s="163" t="str">
        <f>CONCATENATE(U200,V200,W200,X200,AA200)</f>
        <v>O23011745032024025507002</v>
      </c>
      <c r="AF200" s="163" t="str">
        <f>IFERROR(VLOOKUP(AD200,TD!$J$66:$K$89,2,0)," ")</f>
        <v>PM/0131/0107/45030020255</v>
      </c>
      <c r="AG200" s="118" t="s">
        <v>385</v>
      </c>
      <c r="AH200" s="162" t="s">
        <v>193</v>
      </c>
      <c r="AI200" s="165" t="str">
        <f>CONCATENATE(PAA[[#This Row],[Id Interno]],"-",PAA[[#This Row],[tipo de Contrato (TH talento humano - B/S bienes y/o servicios)]],"-",S200,"-",T200,"-",PAA[[#This Row],[Objeto de la contratación]])</f>
        <v>20260173-TH-8173-9-SGH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v>
      </c>
    </row>
    <row r="201" spans="2:35" ht="84" x14ac:dyDescent="0.35">
      <c r="B201" s="23">
        <v>20260174</v>
      </c>
      <c r="C201" s="99" t="s">
        <v>635</v>
      </c>
      <c r="D201" s="23" t="s">
        <v>105</v>
      </c>
      <c r="E201" s="23" t="s">
        <v>363</v>
      </c>
      <c r="F201" s="159" t="s">
        <v>144</v>
      </c>
      <c r="G201" s="160" t="s">
        <v>373</v>
      </c>
      <c r="H201" s="161">
        <v>11</v>
      </c>
      <c r="I201" s="161">
        <v>0</v>
      </c>
      <c r="J201" s="127">
        <v>57200000</v>
      </c>
      <c r="K201" s="88" t="s">
        <v>398</v>
      </c>
      <c r="L201" s="159" t="s">
        <v>154</v>
      </c>
      <c r="M201" s="162" t="s">
        <v>451</v>
      </c>
      <c r="N201" s="23" t="s">
        <v>198</v>
      </c>
      <c r="O201" s="151" t="s">
        <v>946</v>
      </c>
      <c r="P201" s="159" t="s">
        <v>348</v>
      </c>
      <c r="Q201" s="53">
        <v>80111600</v>
      </c>
      <c r="R201" s="162" t="s">
        <v>218</v>
      </c>
      <c r="S201" s="162" t="str">
        <f>MID(PAA[[#This Row],[Meta Proyecto de Inversión]],1,4)</f>
        <v>8173</v>
      </c>
      <c r="T201" s="162" t="str">
        <f>MID(PAA[[#This Row],[Meta Proyecto de Inversión]],6,1)</f>
        <v>9</v>
      </c>
      <c r="U201" s="163" t="str">
        <f>IFERROR(VLOOKUP(N201,TD!$B$50:$F$54,2,0)," ")</f>
        <v>O230117</v>
      </c>
      <c r="V201" s="163" t="str">
        <f>IFERROR(VLOOKUP(N201,TD!$B$50:$F$54,3,0)," ")</f>
        <v>4503</v>
      </c>
      <c r="W201" s="163">
        <f>IFERROR(VLOOKUP(N201,TD!$B$50:$F$54,4,0)," ")</f>
        <v>20240255</v>
      </c>
      <c r="X201" s="162" t="s">
        <v>172</v>
      </c>
      <c r="Y201" s="163" t="str">
        <f>IFERROR(VLOOKUP(X201,TD!$J$51:$K$64,2,0)," ")</f>
        <v>Servicio de formación en gestión del riesgo de incendios para el personal UAECOB</v>
      </c>
      <c r="Z201" s="164" t="str">
        <f>CONCATENATE(X201,"-",Y201)</f>
        <v>07-Servicio de formación en gestión del riesgo de incendios para el personal UAECOB</v>
      </c>
      <c r="AA201" s="166" t="s">
        <v>222</v>
      </c>
      <c r="AB201" s="163" t="str">
        <f>IFERROR(VLOOKUP(AA201,TD!$N$51:$O$66,2,0)," ")</f>
        <v>Servicio de educación informal</v>
      </c>
      <c r="AC201" s="164" t="str">
        <f>CONCATENATE(AA201,"_",AB201)</f>
        <v>002_Servicio de educación informal</v>
      </c>
      <c r="AD201" s="164" t="str">
        <f>CONCATENATE(Z201," ",AC201)</f>
        <v>07-Servicio de formación en gestión del riesgo de incendios para el personal UAECOB 002_Servicio de educación informal</v>
      </c>
      <c r="AE201" s="163" t="str">
        <f>CONCATENATE(U201,V201,W201,X201,AA201)</f>
        <v>O23011745032024025507002</v>
      </c>
      <c r="AF201" s="163" t="str">
        <f>IFERROR(VLOOKUP(AD201,TD!$J$66:$K$89,2,0)," ")</f>
        <v>PM/0131/0107/45030020255</v>
      </c>
      <c r="AG201" s="118" t="s">
        <v>385</v>
      </c>
      <c r="AH201" s="162" t="s">
        <v>193</v>
      </c>
      <c r="AI201" s="165" t="str">
        <f>CONCATENATE(PAA[[#This Row],[Id Interno]],"-",PAA[[#This Row],[tipo de Contrato (TH talento humano - B/S bienes y/o servicios)]],"-",S201,"-",T201,"-",PAA[[#This Row],[Objeto de la contratación]])</f>
        <v>20260174-TH-8173-9-SGH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v>
      </c>
    </row>
    <row r="202" spans="2:35" ht="84" x14ac:dyDescent="0.35">
      <c r="B202" s="23">
        <v>20260175</v>
      </c>
      <c r="C202" s="99" t="s">
        <v>636</v>
      </c>
      <c r="D202" s="23" t="s">
        <v>105</v>
      </c>
      <c r="E202" s="23" t="s">
        <v>363</v>
      </c>
      <c r="F202" s="159" t="s">
        <v>144</v>
      </c>
      <c r="G202" s="160" t="s">
        <v>373</v>
      </c>
      <c r="H202" s="161">
        <v>10</v>
      </c>
      <c r="I202" s="161">
        <v>0</v>
      </c>
      <c r="J202" s="127">
        <v>72000000</v>
      </c>
      <c r="K202" s="88" t="s">
        <v>398</v>
      </c>
      <c r="L202" s="159" t="s">
        <v>154</v>
      </c>
      <c r="M202" s="162" t="s">
        <v>451</v>
      </c>
      <c r="N202" s="23" t="s">
        <v>198</v>
      </c>
      <c r="O202" s="151" t="s">
        <v>946</v>
      </c>
      <c r="P202" s="159" t="s">
        <v>348</v>
      </c>
      <c r="Q202" s="53">
        <v>80111600</v>
      </c>
      <c r="R202" s="162" t="s">
        <v>218</v>
      </c>
      <c r="S202" s="162" t="str">
        <f>MID(PAA[[#This Row],[Meta Proyecto de Inversión]],1,4)</f>
        <v>8173</v>
      </c>
      <c r="T202" s="162" t="str">
        <f>MID(PAA[[#This Row],[Meta Proyecto de Inversión]],6,1)</f>
        <v>9</v>
      </c>
      <c r="U202" s="163" t="str">
        <f>IFERROR(VLOOKUP(N202,TD!$B$50:$F$54,2,0)," ")</f>
        <v>O230117</v>
      </c>
      <c r="V202" s="163" t="str">
        <f>IFERROR(VLOOKUP(N202,TD!$B$50:$F$54,3,0)," ")</f>
        <v>4503</v>
      </c>
      <c r="W202" s="163">
        <f>IFERROR(VLOOKUP(N202,TD!$B$50:$F$54,4,0)," ")</f>
        <v>20240255</v>
      </c>
      <c r="X202" s="162" t="s">
        <v>172</v>
      </c>
      <c r="Y202" s="163" t="str">
        <f>IFERROR(VLOOKUP(X202,TD!$J$51:$K$64,2,0)," ")</f>
        <v>Servicio de formación en gestión del riesgo de incendios para el personal UAECOB</v>
      </c>
      <c r="Z202" s="164" t="str">
        <f>CONCATENATE(X202,"-",Y202)</f>
        <v>07-Servicio de formación en gestión del riesgo de incendios para el personal UAECOB</v>
      </c>
      <c r="AA202" s="166" t="s">
        <v>222</v>
      </c>
      <c r="AB202" s="163" t="str">
        <f>IFERROR(VLOOKUP(AA202,TD!$N$51:$O$66,2,0)," ")</f>
        <v>Servicio de educación informal</v>
      </c>
      <c r="AC202" s="164" t="str">
        <f>CONCATENATE(AA202,"_",AB202)</f>
        <v>002_Servicio de educación informal</v>
      </c>
      <c r="AD202" s="164" t="str">
        <f>CONCATENATE(Z202," ",AC202)</f>
        <v>07-Servicio de formación en gestión del riesgo de incendios para el personal UAECOB 002_Servicio de educación informal</v>
      </c>
      <c r="AE202" s="163" t="str">
        <f>CONCATENATE(U202,V202,W202,X202,AA202)</f>
        <v>O23011745032024025507002</v>
      </c>
      <c r="AF202" s="163" t="str">
        <f>IFERROR(VLOOKUP(AD202,TD!$J$66:$K$89,2,0)," ")</f>
        <v>PM/0131/0107/45030020255</v>
      </c>
      <c r="AG202" s="118" t="s">
        <v>385</v>
      </c>
      <c r="AH202" s="162" t="s">
        <v>193</v>
      </c>
      <c r="AI202" s="165" t="str">
        <f>CONCATENATE(PAA[[#This Row],[Id Interno]],"-",PAA[[#This Row],[tipo de Contrato (TH talento humano - B/S bienes y/o servicios)]],"-",S202,"-",T202,"-",PAA[[#This Row],[Objeto de la contratación]])</f>
        <v>20260175-TH-8173-9-SGH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v>
      </c>
    </row>
    <row r="203" spans="2:35" ht="56" x14ac:dyDescent="0.35">
      <c r="B203" s="23">
        <v>20260176</v>
      </c>
      <c r="C203" s="99" t="s">
        <v>637</v>
      </c>
      <c r="D203" s="23" t="s">
        <v>105</v>
      </c>
      <c r="E203" s="23" t="s">
        <v>363</v>
      </c>
      <c r="F203" s="159" t="s">
        <v>145</v>
      </c>
      <c r="G203" s="160" t="s">
        <v>373</v>
      </c>
      <c r="H203" s="161">
        <v>11</v>
      </c>
      <c r="I203" s="161">
        <v>0</v>
      </c>
      <c r="J203" s="127">
        <v>40700000</v>
      </c>
      <c r="K203" s="88" t="s">
        <v>398</v>
      </c>
      <c r="L203" s="159" t="s">
        <v>154</v>
      </c>
      <c r="M203" s="162" t="s">
        <v>451</v>
      </c>
      <c r="N203" s="23" t="s">
        <v>198</v>
      </c>
      <c r="O203" s="151" t="s">
        <v>946</v>
      </c>
      <c r="P203" s="159" t="s">
        <v>348</v>
      </c>
      <c r="Q203" s="53">
        <v>80111600</v>
      </c>
      <c r="R203" s="162" t="s">
        <v>218</v>
      </c>
      <c r="S203" s="162" t="str">
        <f>MID(PAA[[#This Row],[Meta Proyecto de Inversión]],1,4)</f>
        <v>8173</v>
      </c>
      <c r="T203" s="162" t="str">
        <f>MID(PAA[[#This Row],[Meta Proyecto de Inversión]],6,1)</f>
        <v>9</v>
      </c>
      <c r="U203" s="163" t="str">
        <f>IFERROR(VLOOKUP(N203,TD!$B$50:$F$54,2,0)," ")</f>
        <v>O230117</v>
      </c>
      <c r="V203" s="163" t="str">
        <f>IFERROR(VLOOKUP(N203,TD!$B$50:$F$54,3,0)," ")</f>
        <v>4503</v>
      </c>
      <c r="W203" s="163">
        <f>IFERROR(VLOOKUP(N203,TD!$B$50:$F$54,4,0)," ")</f>
        <v>20240255</v>
      </c>
      <c r="X203" s="162" t="s">
        <v>172</v>
      </c>
      <c r="Y203" s="163" t="str">
        <f>IFERROR(VLOOKUP(X203,TD!$J$51:$K$64,2,0)," ")</f>
        <v>Servicio de formación en gestión del riesgo de incendios para el personal UAECOB</v>
      </c>
      <c r="Z203" s="164" t="str">
        <f>CONCATENATE(X203,"-",Y203)</f>
        <v>07-Servicio de formación en gestión del riesgo de incendios para el personal UAECOB</v>
      </c>
      <c r="AA203" s="166" t="s">
        <v>222</v>
      </c>
      <c r="AB203" s="163" t="str">
        <f>IFERROR(VLOOKUP(AA203,TD!$N$51:$O$66,2,0)," ")</f>
        <v>Servicio de educación informal</v>
      </c>
      <c r="AC203" s="164" t="str">
        <f>CONCATENATE(AA203,"_",AB203)</f>
        <v>002_Servicio de educación informal</v>
      </c>
      <c r="AD203" s="164" t="str">
        <f>CONCATENATE(Z203," ",AC203)</f>
        <v>07-Servicio de formación en gestión del riesgo de incendios para el personal UAECOB 002_Servicio de educación informal</v>
      </c>
      <c r="AE203" s="163" t="str">
        <f>CONCATENATE(U203,V203,W203,X203,AA203)</f>
        <v>O23011745032024025507002</v>
      </c>
      <c r="AF203" s="163" t="str">
        <f>IFERROR(VLOOKUP(AD203,TD!$J$66:$K$89,2,0)," ")</f>
        <v>PM/0131/0107/45030020255</v>
      </c>
      <c r="AG203" s="118" t="s">
        <v>385</v>
      </c>
      <c r="AH203" s="162" t="s">
        <v>193</v>
      </c>
      <c r="AI203" s="165" t="str">
        <f>CONCATENATE(PAA[[#This Row],[Id Interno]],"-",PAA[[#This Row],[tipo de Contrato (TH talento humano - B/S bienes y/o servicios)]],"-",S203,"-",T203,"-",PAA[[#This Row],[Objeto de la contratación]])</f>
        <v>20260176-TH-8173-9-SGH - Prestar servicios de apoyo a la Academia de la UAE Cuerpo Oficial de Bomberos de Bogotá D.C., para el desarrollo logístico y administrativo, contribuyendo al fortalecimiento de la formación, capacitación y gestión institucional.</v>
      </c>
    </row>
    <row r="204" spans="2:35" ht="56" x14ac:dyDescent="0.35">
      <c r="B204" s="23">
        <v>20260177</v>
      </c>
      <c r="C204" s="99" t="s">
        <v>638</v>
      </c>
      <c r="D204" s="23" t="s">
        <v>105</v>
      </c>
      <c r="E204" s="23" t="s">
        <v>363</v>
      </c>
      <c r="F204" s="159" t="s">
        <v>144</v>
      </c>
      <c r="G204" s="160" t="s">
        <v>373</v>
      </c>
      <c r="H204" s="161">
        <v>11</v>
      </c>
      <c r="I204" s="161">
        <v>0</v>
      </c>
      <c r="J204" s="127">
        <v>81400000</v>
      </c>
      <c r="K204" s="88" t="s">
        <v>398</v>
      </c>
      <c r="L204" s="159" t="s">
        <v>154</v>
      </c>
      <c r="M204" s="162" t="s">
        <v>451</v>
      </c>
      <c r="N204" s="23" t="s">
        <v>198</v>
      </c>
      <c r="O204" s="151" t="s">
        <v>946</v>
      </c>
      <c r="P204" s="159" t="s">
        <v>348</v>
      </c>
      <c r="Q204" s="53">
        <v>80111600</v>
      </c>
      <c r="R204" s="162" t="s">
        <v>218</v>
      </c>
      <c r="S204" s="162" t="str">
        <f>MID(PAA[[#This Row],[Meta Proyecto de Inversión]],1,4)</f>
        <v>8173</v>
      </c>
      <c r="T204" s="162" t="str">
        <f>MID(PAA[[#This Row],[Meta Proyecto de Inversión]],6,1)</f>
        <v>9</v>
      </c>
      <c r="U204" s="163" t="str">
        <f>IFERROR(VLOOKUP(N204,TD!$B$50:$F$54,2,0)," ")</f>
        <v>O230117</v>
      </c>
      <c r="V204" s="163" t="str">
        <f>IFERROR(VLOOKUP(N204,TD!$B$50:$F$54,3,0)," ")</f>
        <v>4503</v>
      </c>
      <c r="W204" s="163">
        <f>IFERROR(VLOOKUP(N204,TD!$B$50:$F$54,4,0)," ")</f>
        <v>20240255</v>
      </c>
      <c r="X204" s="162" t="s">
        <v>172</v>
      </c>
      <c r="Y204" s="163" t="str">
        <f>IFERROR(VLOOKUP(X204,TD!$J$51:$K$64,2,0)," ")</f>
        <v>Servicio de formación en gestión del riesgo de incendios para el personal UAECOB</v>
      </c>
      <c r="Z204" s="164" t="str">
        <f>CONCATENATE(X204,"-",Y204)</f>
        <v>07-Servicio de formación en gestión del riesgo de incendios para el personal UAECOB</v>
      </c>
      <c r="AA204" s="166" t="s">
        <v>222</v>
      </c>
      <c r="AB204" s="163" t="str">
        <f>IFERROR(VLOOKUP(AA204,TD!$N$51:$O$66,2,0)," ")</f>
        <v>Servicio de educación informal</v>
      </c>
      <c r="AC204" s="164" t="str">
        <f>CONCATENATE(AA204,"_",AB204)</f>
        <v>002_Servicio de educación informal</v>
      </c>
      <c r="AD204" s="164" t="str">
        <f>CONCATENATE(Z204," ",AC204)</f>
        <v>07-Servicio de formación en gestión del riesgo de incendios para el personal UAECOB 002_Servicio de educación informal</v>
      </c>
      <c r="AE204" s="163" t="str">
        <f>CONCATENATE(U204,V204,W204,X204,AA204)</f>
        <v>O23011745032024025507002</v>
      </c>
      <c r="AF204" s="163" t="str">
        <f>IFERROR(VLOOKUP(AD204,TD!$J$66:$K$89,2,0)," ")</f>
        <v>PM/0131/0107/45030020255</v>
      </c>
      <c r="AG204" s="118" t="s">
        <v>385</v>
      </c>
      <c r="AH204" s="162" t="s">
        <v>193</v>
      </c>
      <c r="AI204" s="165" t="str">
        <f>CONCATENATE(PAA[[#This Row],[Id Interno]],"-",PAA[[#This Row],[tipo de Contrato (TH talento humano - B/S bienes y/o servicios)]],"-",S204,"-",T204,"-",PAA[[#This Row],[Objeto de la contratación]])</f>
        <v>20260177-TH-8173-9-SGH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v>
      </c>
    </row>
    <row r="205" spans="2:35" ht="70" x14ac:dyDescent="0.35">
      <c r="B205" s="23">
        <v>20260178</v>
      </c>
      <c r="C205" s="99" t="s">
        <v>639</v>
      </c>
      <c r="D205" s="23" t="s">
        <v>105</v>
      </c>
      <c r="E205" s="23" t="s">
        <v>363</v>
      </c>
      <c r="F205" s="159" t="s">
        <v>144</v>
      </c>
      <c r="G205" s="160" t="s">
        <v>373</v>
      </c>
      <c r="H205" s="161">
        <v>11</v>
      </c>
      <c r="I205" s="161">
        <v>0</v>
      </c>
      <c r="J205" s="127">
        <v>84700000</v>
      </c>
      <c r="K205" s="88" t="s">
        <v>398</v>
      </c>
      <c r="L205" s="159" t="s">
        <v>154</v>
      </c>
      <c r="M205" s="162" t="s">
        <v>451</v>
      </c>
      <c r="N205" s="23" t="s">
        <v>198</v>
      </c>
      <c r="O205" s="151" t="s">
        <v>946</v>
      </c>
      <c r="P205" s="159" t="s">
        <v>348</v>
      </c>
      <c r="Q205" s="53">
        <v>80111600</v>
      </c>
      <c r="R205" s="162" t="s">
        <v>218</v>
      </c>
      <c r="S205" s="162" t="str">
        <f>MID(PAA[[#This Row],[Meta Proyecto de Inversión]],1,4)</f>
        <v>8173</v>
      </c>
      <c r="T205" s="162" t="str">
        <f>MID(PAA[[#This Row],[Meta Proyecto de Inversión]],6,1)</f>
        <v>9</v>
      </c>
      <c r="U205" s="163" t="str">
        <f>IFERROR(VLOOKUP(N205,TD!$B$50:$F$54,2,0)," ")</f>
        <v>O230117</v>
      </c>
      <c r="V205" s="163" t="str">
        <f>IFERROR(VLOOKUP(N205,TD!$B$50:$F$54,3,0)," ")</f>
        <v>4503</v>
      </c>
      <c r="W205" s="163">
        <f>IFERROR(VLOOKUP(N205,TD!$B$50:$F$54,4,0)," ")</f>
        <v>20240255</v>
      </c>
      <c r="X205" s="162" t="s">
        <v>172</v>
      </c>
      <c r="Y205" s="163" t="str">
        <f>IFERROR(VLOOKUP(X205,TD!$J$51:$K$64,2,0)," ")</f>
        <v>Servicio de formación en gestión del riesgo de incendios para el personal UAECOB</v>
      </c>
      <c r="Z205" s="164" t="str">
        <f>CONCATENATE(X205,"-",Y205)</f>
        <v>07-Servicio de formación en gestión del riesgo de incendios para el personal UAECOB</v>
      </c>
      <c r="AA205" s="166" t="s">
        <v>222</v>
      </c>
      <c r="AB205" s="163" t="str">
        <f>IFERROR(VLOOKUP(AA205,TD!$N$51:$O$66,2,0)," ")</f>
        <v>Servicio de educación informal</v>
      </c>
      <c r="AC205" s="164" t="str">
        <f>CONCATENATE(AA205,"_",AB205)</f>
        <v>002_Servicio de educación informal</v>
      </c>
      <c r="AD205" s="164" t="str">
        <f>CONCATENATE(Z205," ",AC205)</f>
        <v>07-Servicio de formación en gestión del riesgo de incendios para el personal UAECOB 002_Servicio de educación informal</v>
      </c>
      <c r="AE205" s="163" t="str">
        <f>CONCATENATE(U205,V205,W205,X205,AA205)</f>
        <v>O23011745032024025507002</v>
      </c>
      <c r="AF205" s="163" t="str">
        <f>IFERROR(VLOOKUP(AD205,TD!$J$66:$K$89,2,0)," ")</f>
        <v>PM/0131/0107/45030020255</v>
      </c>
      <c r="AG205" s="118" t="s">
        <v>385</v>
      </c>
      <c r="AH205" s="162" t="s">
        <v>193</v>
      </c>
      <c r="AI205" s="165" t="str">
        <f>CONCATENATE(PAA[[#This Row],[Id Interno]],"-",PAA[[#This Row],[tipo de Contrato (TH talento humano - B/S bienes y/o servicios)]],"-",S205,"-",T205,"-",PAA[[#This Row],[Objeto de la contratación]])</f>
        <v>20260178-TH-8173-9-SGH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v>
      </c>
    </row>
    <row r="206" spans="2:35" ht="56" x14ac:dyDescent="0.35">
      <c r="B206" s="23">
        <v>20260179</v>
      </c>
      <c r="C206" s="99" t="s">
        <v>640</v>
      </c>
      <c r="D206" s="23" t="s">
        <v>105</v>
      </c>
      <c r="E206" s="23" t="s">
        <v>363</v>
      </c>
      <c r="F206" s="159" t="s">
        <v>144</v>
      </c>
      <c r="G206" s="160" t="s">
        <v>373</v>
      </c>
      <c r="H206" s="161">
        <v>10</v>
      </c>
      <c r="I206" s="161">
        <v>0</v>
      </c>
      <c r="J206" s="127">
        <v>55000000</v>
      </c>
      <c r="K206" s="88" t="s">
        <v>398</v>
      </c>
      <c r="L206" s="159" t="s">
        <v>154</v>
      </c>
      <c r="M206" s="162" t="s">
        <v>451</v>
      </c>
      <c r="N206" s="23" t="s">
        <v>198</v>
      </c>
      <c r="O206" s="151" t="s">
        <v>946</v>
      </c>
      <c r="P206" s="159" t="s">
        <v>348</v>
      </c>
      <c r="Q206" s="53">
        <v>80111600</v>
      </c>
      <c r="R206" s="162" t="s">
        <v>218</v>
      </c>
      <c r="S206" s="162" t="str">
        <f>MID(PAA[[#This Row],[Meta Proyecto de Inversión]],1,4)</f>
        <v>8173</v>
      </c>
      <c r="T206" s="162" t="str">
        <f>MID(PAA[[#This Row],[Meta Proyecto de Inversión]],6,1)</f>
        <v>9</v>
      </c>
      <c r="U206" s="163" t="str">
        <f>IFERROR(VLOOKUP(N206,TD!$B$50:$F$54,2,0)," ")</f>
        <v>O230117</v>
      </c>
      <c r="V206" s="163" t="str">
        <f>IFERROR(VLOOKUP(N206,TD!$B$50:$F$54,3,0)," ")</f>
        <v>4503</v>
      </c>
      <c r="W206" s="163">
        <f>IFERROR(VLOOKUP(N206,TD!$B$50:$F$54,4,0)," ")</f>
        <v>20240255</v>
      </c>
      <c r="X206" s="162" t="s">
        <v>172</v>
      </c>
      <c r="Y206" s="163" t="str">
        <f>IFERROR(VLOOKUP(X206,TD!$J$51:$K$64,2,0)," ")</f>
        <v>Servicio de formación en gestión del riesgo de incendios para el personal UAECOB</v>
      </c>
      <c r="Z206" s="164" t="str">
        <f>CONCATENATE(X206,"-",Y206)</f>
        <v>07-Servicio de formación en gestión del riesgo de incendios para el personal UAECOB</v>
      </c>
      <c r="AA206" s="166" t="s">
        <v>222</v>
      </c>
      <c r="AB206" s="163" t="str">
        <f>IFERROR(VLOOKUP(AA206,TD!$N$51:$O$66,2,0)," ")</f>
        <v>Servicio de educación informal</v>
      </c>
      <c r="AC206" s="164" t="str">
        <f>CONCATENATE(AA206,"_",AB206)</f>
        <v>002_Servicio de educación informal</v>
      </c>
      <c r="AD206" s="164" t="str">
        <f>CONCATENATE(Z206," ",AC206)</f>
        <v>07-Servicio de formación en gestión del riesgo de incendios para el personal UAECOB 002_Servicio de educación informal</v>
      </c>
      <c r="AE206" s="163" t="str">
        <f>CONCATENATE(U206,V206,W206,X206,AA206)</f>
        <v>O23011745032024025507002</v>
      </c>
      <c r="AF206" s="163" t="str">
        <f>IFERROR(VLOOKUP(AD206,TD!$J$66:$K$89,2,0)," ")</f>
        <v>PM/0131/0107/45030020255</v>
      </c>
      <c r="AG206" s="118" t="s">
        <v>385</v>
      </c>
      <c r="AH206" s="162" t="s">
        <v>193</v>
      </c>
      <c r="AI206" s="165" t="str">
        <f>CONCATENATE(PAA[[#This Row],[Id Interno]],"-",PAA[[#This Row],[tipo de Contrato (TH talento humano - B/S bienes y/o servicios)]],"-",S206,"-",T206,"-",PAA[[#This Row],[Objeto de la contratación]])</f>
        <v>20260179-TH-8173-9-SGH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v>
      </c>
    </row>
    <row r="207" spans="2:35" ht="70" x14ac:dyDescent="0.35">
      <c r="B207" s="23">
        <v>20260180</v>
      </c>
      <c r="C207" s="99" t="s">
        <v>641</v>
      </c>
      <c r="D207" s="23" t="s">
        <v>105</v>
      </c>
      <c r="E207" s="23" t="s">
        <v>363</v>
      </c>
      <c r="F207" s="159" t="s">
        <v>145</v>
      </c>
      <c r="G207" s="160" t="s">
        <v>373</v>
      </c>
      <c r="H207" s="161">
        <v>8</v>
      </c>
      <c r="I207" s="161">
        <v>0</v>
      </c>
      <c r="J207" s="127">
        <v>26000000</v>
      </c>
      <c r="K207" s="88" t="s">
        <v>398</v>
      </c>
      <c r="L207" s="159" t="s">
        <v>154</v>
      </c>
      <c r="M207" s="162" t="s">
        <v>451</v>
      </c>
      <c r="N207" s="23" t="s">
        <v>198</v>
      </c>
      <c r="O207" s="151" t="s">
        <v>946</v>
      </c>
      <c r="P207" s="159" t="s">
        <v>348</v>
      </c>
      <c r="Q207" s="53">
        <v>80111600</v>
      </c>
      <c r="R207" s="162" t="s">
        <v>218</v>
      </c>
      <c r="S207" s="162" t="str">
        <f>MID(PAA[[#This Row],[Meta Proyecto de Inversión]],1,4)</f>
        <v>8173</v>
      </c>
      <c r="T207" s="162" t="str">
        <f>MID(PAA[[#This Row],[Meta Proyecto de Inversión]],6,1)</f>
        <v>9</v>
      </c>
      <c r="U207" s="163" t="str">
        <f>IFERROR(VLOOKUP(N207,TD!$B$50:$F$54,2,0)," ")</f>
        <v>O230117</v>
      </c>
      <c r="V207" s="163" t="str">
        <f>IFERROR(VLOOKUP(N207,TD!$B$50:$F$54,3,0)," ")</f>
        <v>4503</v>
      </c>
      <c r="W207" s="163">
        <f>IFERROR(VLOOKUP(N207,TD!$B$50:$F$54,4,0)," ")</f>
        <v>20240255</v>
      </c>
      <c r="X207" s="162" t="s">
        <v>172</v>
      </c>
      <c r="Y207" s="163" t="str">
        <f>IFERROR(VLOOKUP(X207,TD!$J$51:$K$64,2,0)," ")</f>
        <v>Servicio de formación en gestión del riesgo de incendios para el personal UAECOB</v>
      </c>
      <c r="Z207" s="164" t="str">
        <f>CONCATENATE(X207,"-",Y207)</f>
        <v>07-Servicio de formación en gestión del riesgo de incendios para el personal UAECOB</v>
      </c>
      <c r="AA207" s="166" t="s">
        <v>222</v>
      </c>
      <c r="AB207" s="163" t="str">
        <f>IFERROR(VLOOKUP(AA207,TD!$N$51:$O$66,2,0)," ")</f>
        <v>Servicio de educación informal</v>
      </c>
      <c r="AC207" s="164" t="str">
        <f>CONCATENATE(AA207,"_",AB207)</f>
        <v>002_Servicio de educación informal</v>
      </c>
      <c r="AD207" s="164" t="str">
        <f>CONCATENATE(Z207," ",AC207)</f>
        <v>07-Servicio de formación en gestión del riesgo de incendios para el personal UAECOB 002_Servicio de educación informal</v>
      </c>
      <c r="AE207" s="163" t="str">
        <f>CONCATENATE(U207,V207,W207,X207,AA207)</f>
        <v>O23011745032024025507002</v>
      </c>
      <c r="AF207" s="163" t="str">
        <f>IFERROR(VLOOKUP(AD207,TD!$J$66:$K$89,2,0)," ")</f>
        <v>PM/0131/0107/45030020255</v>
      </c>
      <c r="AG207" s="118" t="s">
        <v>385</v>
      </c>
      <c r="AH207" s="162" t="s">
        <v>193</v>
      </c>
      <c r="AI207" s="165" t="str">
        <f>CONCATENATE(PAA[[#This Row],[Id Interno]],"-",PAA[[#This Row],[tipo de Contrato (TH talento humano - B/S bienes y/o servicios)]],"-",S207,"-",T207,"-",PAA[[#This Row],[Objeto de la contratación]])</f>
        <v>20260180-TH-8173-9-SGH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v>
      </c>
    </row>
    <row r="208" spans="2:35" ht="56" x14ac:dyDescent="0.35">
      <c r="B208" s="23">
        <v>20260182</v>
      </c>
      <c r="C208" s="99" t="s">
        <v>643</v>
      </c>
      <c r="D208" s="23" t="s">
        <v>105</v>
      </c>
      <c r="E208" s="23" t="s">
        <v>363</v>
      </c>
      <c r="F208" s="159" t="s">
        <v>144</v>
      </c>
      <c r="G208" s="160" t="s">
        <v>373</v>
      </c>
      <c r="H208" s="161">
        <v>11</v>
      </c>
      <c r="I208" s="161">
        <v>0</v>
      </c>
      <c r="J208" s="127">
        <v>93500000</v>
      </c>
      <c r="K208" s="88" t="s">
        <v>398</v>
      </c>
      <c r="L208" s="159" t="s">
        <v>154</v>
      </c>
      <c r="M208" s="162" t="s">
        <v>451</v>
      </c>
      <c r="N208" s="23" t="s">
        <v>198</v>
      </c>
      <c r="O208" s="151" t="s">
        <v>946</v>
      </c>
      <c r="P208" s="159" t="s">
        <v>348</v>
      </c>
      <c r="Q208" s="53">
        <v>80111600</v>
      </c>
      <c r="R208" s="162" t="s">
        <v>218</v>
      </c>
      <c r="S208" s="162" t="str">
        <f>MID(PAA[[#This Row],[Meta Proyecto de Inversión]],1,4)</f>
        <v>8173</v>
      </c>
      <c r="T208" s="162" t="str">
        <f>MID(PAA[[#This Row],[Meta Proyecto de Inversión]],6,1)</f>
        <v>9</v>
      </c>
      <c r="U208" s="163" t="str">
        <f>IFERROR(VLOOKUP(N208,TD!$B$50:$F$54,2,0)," ")</f>
        <v>O230117</v>
      </c>
      <c r="V208" s="163" t="str">
        <f>IFERROR(VLOOKUP(N208,TD!$B$50:$F$54,3,0)," ")</f>
        <v>4503</v>
      </c>
      <c r="W208" s="163">
        <f>IFERROR(VLOOKUP(N208,TD!$B$50:$F$54,4,0)," ")</f>
        <v>20240255</v>
      </c>
      <c r="X208" s="162" t="s">
        <v>172</v>
      </c>
      <c r="Y208" s="163" t="str">
        <f>IFERROR(VLOOKUP(X208,TD!$J$51:$K$64,2,0)," ")</f>
        <v>Servicio de formación en gestión del riesgo de incendios para el personal UAECOB</v>
      </c>
      <c r="Z208" s="164" t="str">
        <f>CONCATENATE(X208,"-",Y208)</f>
        <v>07-Servicio de formación en gestión del riesgo de incendios para el personal UAECOB</v>
      </c>
      <c r="AA208" s="166" t="s">
        <v>222</v>
      </c>
      <c r="AB208" s="163" t="str">
        <f>IFERROR(VLOOKUP(AA208,TD!$N$51:$O$66,2,0)," ")</f>
        <v>Servicio de educación informal</v>
      </c>
      <c r="AC208" s="164" t="str">
        <f>CONCATENATE(AA208,"_",AB208)</f>
        <v>002_Servicio de educación informal</v>
      </c>
      <c r="AD208" s="164" t="str">
        <f>CONCATENATE(Z208," ",AC208)</f>
        <v>07-Servicio de formación en gestión del riesgo de incendios para el personal UAECOB 002_Servicio de educación informal</v>
      </c>
      <c r="AE208" s="163" t="str">
        <f>CONCATENATE(U208,V208,W208,X208,AA208)</f>
        <v>O23011745032024025507002</v>
      </c>
      <c r="AF208" s="163" t="str">
        <f>IFERROR(VLOOKUP(AD208,TD!$J$66:$K$89,2,0)," ")</f>
        <v>PM/0131/0107/45030020255</v>
      </c>
      <c r="AG208" s="118" t="s">
        <v>385</v>
      </c>
      <c r="AH208" s="162" t="s">
        <v>193</v>
      </c>
      <c r="AI208" s="165" t="str">
        <f>CONCATENATE(PAA[[#This Row],[Id Interno]],"-",PAA[[#This Row],[tipo de Contrato (TH talento humano - B/S bienes y/o servicios)]],"-",S208,"-",T208,"-",PAA[[#This Row],[Objeto de la contratación]])</f>
        <v>20260182-TH-8173-9-SGH-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v>
      </c>
    </row>
    <row r="209" spans="2:35" ht="70" x14ac:dyDescent="0.35">
      <c r="B209" s="23">
        <v>20260183</v>
      </c>
      <c r="C209" s="99" t="s">
        <v>475</v>
      </c>
      <c r="D209" s="23" t="s">
        <v>105</v>
      </c>
      <c r="E209" s="23" t="s">
        <v>363</v>
      </c>
      <c r="F209" s="159" t="s">
        <v>144</v>
      </c>
      <c r="G209" s="160" t="s">
        <v>373</v>
      </c>
      <c r="H209" s="161">
        <v>11</v>
      </c>
      <c r="I209" s="161">
        <v>0</v>
      </c>
      <c r="J209" s="127">
        <v>91520000</v>
      </c>
      <c r="K209" s="88" t="s">
        <v>398</v>
      </c>
      <c r="L209" s="159" t="s">
        <v>154</v>
      </c>
      <c r="M209" s="162" t="s">
        <v>451</v>
      </c>
      <c r="N209" s="23" t="s">
        <v>197</v>
      </c>
      <c r="O209" s="151" t="s">
        <v>945</v>
      </c>
      <c r="P209" s="159" t="s">
        <v>348</v>
      </c>
      <c r="Q209" s="53">
        <v>80111600</v>
      </c>
      <c r="R209" s="162" t="s">
        <v>208</v>
      </c>
      <c r="S209" s="162" t="str">
        <f>MID(PAA[[#This Row],[Meta Proyecto de Inversión]],1,4)</f>
        <v>8126</v>
      </c>
      <c r="T209" s="162" t="str">
        <f>MID(PAA[[#This Row],[Meta Proyecto de Inversión]],6,1)</f>
        <v>9</v>
      </c>
      <c r="U209" s="163" t="str">
        <f>IFERROR(VLOOKUP(N209,TD!$B$50:$F$54,2,0)," ")</f>
        <v>O230117</v>
      </c>
      <c r="V209" s="163" t="str">
        <f>IFERROR(VLOOKUP(N209,TD!$B$50:$F$54,3,0)," ")</f>
        <v>4599</v>
      </c>
      <c r="W209" s="163">
        <f>IFERROR(VLOOKUP(N209,TD!$B$50:$F$54,4,0)," ")</f>
        <v>20240207</v>
      </c>
      <c r="X209" s="162" t="s">
        <v>174</v>
      </c>
      <c r="Y209" s="163" t="str">
        <f>IFERROR(VLOOKUP(X209,TD!$J$51:$K$64,2,0)," ")</f>
        <v>Infraestructura física, mantenimiento y dotación (Sedes construidas, mantenidas reforzadas)</v>
      </c>
      <c r="Z209" s="164" t="str">
        <f>CONCATENATE(X209,"-",Y209)</f>
        <v>08-Infraestructura física, mantenimiento y dotación (Sedes construidas, mantenidas reforzadas)</v>
      </c>
      <c r="AA209" s="166" t="s">
        <v>227</v>
      </c>
      <c r="AB209" s="163" t="str">
        <f>IFERROR(VLOOKUP(AA209,TD!$N$51:$O$66,2,0)," ")</f>
        <v>Sedes mantenidas</v>
      </c>
      <c r="AC209" s="164" t="str">
        <f>CONCATENATE(AA209,"_",AB209)</f>
        <v>016_Sedes mantenidas</v>
      </c>
      <c r="AD209" s="164" t="str">
        <f>CONCATENATE(Z209," ",AC209)</f>
        <v>08-Infraestructura física, mantenimiento y dotación (Sedes construidas, mantenidas reforzadas) 016_Sedes mantenidas</v>
      </c>
      <c r="AE209" s="163" t="str">
        <f>CONCATENATE(U209,V209,W209,X209,AA209)</f>
        <v>O23011745992024020708016</v>
      </c>
      <c r="AF209" s="163" t="str">
        <f>IFERROR(VLOOKUP(AD209,TD!$J$66:$K$89,2,0)," ")</f>
        <v>PM/0131/0108/45990160207</v>
      </c>
      <c r="AG209" s="118" t="s">
        <v>385</v>
      </c>
      <c r="AH209" s="162" t="s">
        <v>193</v>
      </c>
      <c r="AI209" s="165" t="str">
        <f>CONCATENATE(PAA[[#This Row],[Id Interno]],"-",PAA[[#This Row],[tipo de Contrato (TH talento humano - B/S bienes y/o servicios)]],"-",S209,"-",T209,"-",PAA[[#This Row],[Objeto de la contratación]])</f>
        <v>20260183-TH-8126-9-SGH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v>
      </c>
    </row>
    <row r="210" spans="2:35" ht="56" x14ac:dyDescent="0.35">
      <c r="B210" s="23">
        <v>20260184</v>
      </c>
      <c r="C210" s="99" t="s">
        <v>644</v>
      </c>
      <c r="D210" s="23" t="s">
        <v>105</v>
      </c>
      <c r="E210" s="23" t="s">
        <v>363</v>
      </c>
      <c r="F210" s="159" t="s">
        <v>144</v>
      </c>
      <c r="G210" s="160" t="s">
        <v>373</v>
      </c>
      <c r="H210" s="161">
        <v>11</v>
      </c>
      <c r="I210" s="161">
        <v>0</v>
      </c>
      <c r="J210" s="127">
        <v>114400000</v>
      </c>
      <c r="K210" s="88" t="s">
        <v>398</v>
      </c>
      <c r="L210" s="159" t="s">
        <v>154</v>
      </c>
      <c r="M210" s="162" t="s">
        <v>451</v>
      </c>
      <c r="N210" s="23" t="s">
        <v>198</v>
      </c>
      <c r="O210" s="151" t="s">
        <v>946</v>
      </c>
      <c r="P210" s="159" t="s">
        <v>348</v>
      </c>
      <c r="Q210" s="53">
        <v>80111600</v>
      </c>
      <c r="R210" s="162" t="s">
        <v>218</v>
      </c>
      <c r="S210" s="162" t="str">
        <f>MID(PAA[[#This Row],[Meta Proyecto de Inversión]],1,4)</f>
        <v>8173</v>
      </c>
      <c r="T210" s="162" t="str">
        <f>MID(PAA[[#This Row],[Meta Proyecto de Inversión]],6,1)</f>
        <v>9</v>
      </c>
      <c r="U210" s="163" t="str">
        <f>IFERROR(VLOOKUP(N210,TD!$B$50:$F$54,2,0)," ")</f>
        <v>O230117</v>
      </c>
      <c r="V210" s="163" t="str">
        <f>IFERROR(VLOOKUP(N210,TD!$B$50:$F$54,3,0)," ")</f>
        <v>4503</v>
      </c>
      <c r="W210" s="163">
        <f>IFERROR(VLOOKUP(N210,TD!$B$50:$F$54,4,0)," ")</f>
        <v>20240255</v>
      </c>
      <c r="X210" s="162" t="s">
        <v>172</v>
      </c>
      <c r="Y210" s="163" t="str">
        <f>IFERROR(VLOOKUP(X210,TD!$J$51:$K$64,2,0)," ")</f>
        <v>Servicio de formación en gestión del riesgo de incendios para el personal UAECOB</v>
      </c>
      <c r="Z210" s="164" t="str">
        <f>CONCATENATE(X210,"-",Y210)</f>
        <v>07-Servicio de formación en gestión del riesgo de incendios para el personal UAECOB</v>
      </c>
      <c r="AA210" s="166" t="s">
        <v>222</v>
      </c>
      <c r="AB210" s="163" t="str">
        <f>IFERROR(VLOOKUP(AA210,TD!$N$51:$O$66,2,0)," ")</f>
        <v>Servicio de educación informal</v>
      </c>
      <c r="AC210" s="164" t="str">
        <f>CONCATENATE(AA210,"_",AB210)</f>
        <v>002_Servicio de educación informal</v>
      </c>
      <c r="AD210" s="164" t="str">
        <f>CONCATENATE(Z210," ",AC210)</f>
        <v>07-Servicio de formación en gestión del riesgo de incendios para el personal UAECOB 002_Servicio de educación informal</v>
      </c>
      <c r="AE210" s="163" t="str">
        <f>CONCATENATE(U210,V210,W210,X210,AA210)</f>
        <v>O23011745032024025507002</v>
      </c>
      <c r="AF210" s="163" t="str">
        <f>IFERROR(VLOOKUP(AD210,TD!$J$66:$K$89,2,0)," ")</f>
        <v>PM/0131/0107/45030020255</v>
      </c>
      <c r="AG210" s="118" t="s">
        <v>385</v>
      </c>
      <c r="AH210" s="162" t="s">
        <v>193</v>
      </c>
      <c r="AI210" s="165" t="str">
        <f>CONCATENATE(PAA[[#This Row],[Id Interno]],"-",PAA[[#This Row],[tipo de Contrato (TH talento humano - B/S bienes y/o servicios)]],"-",S210,"-",T210,"-",PAA[[#This Row],[Objeto de la contratación]])</f>
        <v xml:space="preserve">20260184-TH-8173-9-SGH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v>
      </c>
    </row>
    <row r="211" spans="2:35" ht="56.15" customHeight="1" x14ac:dyDescent="0.35">
      <c r="B211" s="23">
        <v>20260185</v>
      </c>
      <c r="C211" s="99" t="s">
        <v>476</v>
      </c>
      <c r="D211" s="23" t="s">
        <v>105</v>
      </c>
      <c r="E211" s="23" t="s">
        <v>402</v>
      </c>
      <c r="F211" s="159" t="s">
        <v>106</v>
      </c>
      <c r="G211" s="160" t="s">
        <v>374</v>
      </c>
      <c r="H211" s="161">
        <v>11</v>
      </c>
      <c r="I211" s="161">
        <v>0</v>
      </c>
      <c r="J211" s="127">
        <v>0</v>
      </c>
      <c r="K211" s="88" t="s">
        <v>398</v>
      </c>
      <c r="L211" s="159" t="s">
        <v>154</v>
      </c>
      <c r="M211" s="162" t="s">
        <v>451</v>
      </c>
      <c r="N211" s="23" t="s">
        <v>198</v>
      </c>
      <c r="O211" s="151" t="s">
        <v>946</v>
      </c>
      <c r="P211" s="159" t="s">
        <v>348</v>
      </c>
      <c r="Q211" s="53" t="s">
        <v>483</v>
      </c>
      <c r="R211" s="162" t="s">
        <v>218</v>
      </c>
      <c r="S211" s="162" t="str">
        <f>MID(PAA[[#This Row],[Meta Proyecto de Inversión]],1,4)</f>
        <v>8173</v>
      </c>
      <c r="T211" s="162" t="str">
        <f>MID(PAA[[#This Row],[Meta Proyecto de Inversión]],6,1)</f>
        <v>9</v>
      </c>
      <c r="U211" s="163" t="str">
        <f>IFERROR(VLOOKUP(N211,TD!$B$50:$F$54,2,0)," ")</f>
        <v>O230117</v>
      </c>
      <c r="V211" s="163" t="str">
        <f>IFERROR(VLOOKUP(N211,TD!$B$50:$F$54,3,0)," ")</f>
        <v>4503</v>
      </c>
      <c r="W211" s="163">
        <f>IFERROR(VLOOKUP(N211,TD!$B$50:$F$54,4,0)," ")</f>
        <v>20240255</v>
      </c>
      <c r="X211" s="162" t="s">
        <v>172</v>
      </c>
      <c r="Y211" s="163" t="str">
        <f>IFERROR(VLOOKUP(X211,TD!$J$51:$K$64,2,0)," ")</f>
        <v>Servicio de formación en gestión del riesgo de incendios para el personal UAECOB</v>
      </c>
      <c r="Z211" s="164" t="str">
        <f>CONCATENATE(X211,"-",Y211)</f>
        <v>07-Servicio de formación en gestión del riesgo de incendios para el personal UAECOB</v>
      </c>
      <c r="AA211" s="166" t="s">
        <v>222</v>
      </c>
      <c r="AB211" s="163" t="str">
        <f>IFERROR(VLOOKUP(AA211,TD!$N$51:$O$66,2,0)," ")</f>
        <v>Servicio de educación informal</v>
      </c>
      <c r="AC211" s="164" t="str">
        <f>CONCATENATE(AA211,"_",AB211)</f>
        <v>002_Servicio de educación informal</v>
      </c>
      <c r="AD211" s="164" t="str">
        <f>CONCATENATE(Z211," ",AC211)</f>
        <v>07-Servicio de formación en gestión del riesgo de incendios para el personal UAECOB 002_Servicio de educación informal</v>
      </c>
      <c r="AE211" s="163" t="str">
        <f>CONCATENATE(U211,V211,W211,X211,AA211)</f>
        <v>O23011745032024025507002</v>
      </c>
      <c r="AF211" s="163" t="str">
        <f>IFERROR(VLOOKUP(AD211,TD!$J$66:$K$89,2,0)," ")</f>
        <v>PM/0131/0107/45030020255</v>
      </c>
      <c r="AG211" s="118" t="s">
        <v>565</v>
      </c>
      <c r="AH211" s="162" t="s">
        <v>193</v>
      </c>
      <c r="AI211" s="165" t="str">
        <f>CONCATENATE(PAA[[#This Row],[Id Interno]],"-",PAA[[#This Row],[tipo de Contrato (TH talento humano - B/S bienes y/o servicios)]],"-",S211,"-",T211,"-",PAA[[#This Row],[Objeto de la contratación]])</f>
        <v>20260185-BS-8173-9-SGH - Arrendamiento de un bien inmueble que garantice contar con las instalaciones adecuadas para la realización de capacitaciones del personal operativo, en cumplimiento de los objetivos de los programas de capacitación, formación y entrenamiento de la academia de la UAE Cuerpo Oficial de Bomberos de Bogotá</v>
      </c>
    </row>
    <row r="212" spans="2:35" ht="56" customHeight="1" x14ac:dyDescent="0.35">
      <c r="B212" s="23">
        <v>20260186</v>
      </c>
      <c r="C212" s="99" t="s">
        <v>477</v>
      </c>
      <c r="D212" s="23" t="s">
        <v>119</v>
      </c>
      <c r="E212" s="23" t="s">
        <v>402</v>
      </c>
      <c r="F212" s="159" t="s">
        <v>89</v>
      </c>
      <c r="G212" s="160" t="s">
        <v>374</v>
      </c>
      <c r="H212" s="161">
        <v>11</v>
      </c>
      <c r="I212" s="161">
        <v>0</v>
      </c>
      <c r="J212" s="127">
        <v>80000000</v>
      </c>
      <c r="K212" s="88" t="s">
        <v>398</v>
      </c>
      <c r="L212" s="159" t="s">
        <v>154</v>
      </c>
      <c r="M212" s="162" t="s">
        <v>451</v>
      </c>
      <c r="N212" s="23" t="s">
        <v>198</v>
      </c>
      <c r="O212" s="151" t="s">
        <v>946</v>
      </c>
      <c r="P212" s="159" t="s">
        <v>348</v>
      </c>
      <c r="Q212" s="53">
        <v>90121800</v>
      </c>
      <c r="R212" s="162" t="s">
        <v>218</v>
      </c>
      <c r="S212" s="162" t="str">
        <f>MID(PAA[[#This Row],[Meta Proyecto de Inversión]],1,4)</f>
        <v>8173</v>
      </c>
      <c r="T212" s="162" t="str">
        <f>MID(PAA[[#This Row],[Meta Proyecto de Inversión]],6,1)</f>
        <v>9</v>
      </c>
      <c r="U212" s="163" t="str">
        <f>IFERROR(VLOOKUP(N212,TD!$B$50:$F$54,2,0)," ")</f>
        <v>O230117</v>
      </c>
      <c r="V212" s="163" t="str">
        <f>IFERROR(VLOOKUP(N212,TD!$B$50:$F$54,3,0)," ")</f>
        <v>4503</v>
      </c>
      <c r="W212" s="163">
        <f>IFERROR(VLOOKUP(N212,TD!$B$50:$F$54,4,0)," ")</f>
        <v>20240255</v>
      </c>
      <c r="X212" s="162" t="s">
        <v>172</v>
      </c>
      <c r="Y212" s="163" t="str">
        <f>IFERROR(VLOOKUP(X212,TD!$J$51:$K$64,2,0)," ")</f>
        <v>Servicio de formación en gestión del riesgo de incendios para el personal UAECOB</v>
      </c>
      <c r="Z212" s="164" t="str">
        <f>CONCATENATE(X212,"-",Y212)</f>
        <v>07-Servicio de formación en gestión del riesgo de incendios para el personal UAECOB</v>
      </c>
      <c r="AA212" s="166" t="s">
        <v>222</v>
      </c>
      <c r="AB212" s="163" t="str">
        <f>IFERROR(VLOOKUP(AA212,TD!$N$51:$O$66,2,0)," ")</f>
        <v>Servicio de educación informal</v>
      </c>
      <c r="AC212" s="164" t="str">
        <f>CONCATENATE(AA212,"_",AB212)</f>
        <v>002_Servicio de educación informal</v>
      </c>
      <c r="AD212" s="164" t="str">
        <f>CONCATENATE(Z212," ",AC212)</f>
        <v>07-Servicio de formación en gestión del riesgo de incendios para el personal UAECOB 002_Servicio de educación informal</v>
      </c>
      <c r="AE212" s="163" t="str">
        <f>CONCATENATE(U212,V212,W212,X212,AA212)</f>
        <v>O23011745032024025507002</v>
      </c>
      <c r="AF212" s="163" t="str">
        <f>IFERROR(VLOOKUP(AD212,TD!$J$66:$K$89,2,0)," ")</f>
        <v>PM/0131/0107/45030020255</v>
      </c>
      <c r="AG212" s="118" t="s">
        <v>571</v>
      </c>
      <c r="AH212" s="162" t="s">
        <v>193</v>
      </c>
      <c r="AI212" s="165" t="str">
        <f>CONCATENATE(PAA[[#This Row],[Id Interno]],"-",PAA[[#This Row],[tipo de Contrato (TH talento humano - B/S bienes y/o servicios)]],"-",S212,"-",T212,"-",PAA[[#This Row],[Objeto de la contratación]])</f>
        <v>20260186-BS-8173-9-SGH - Garantizar los recursos para movilización efectiva del personal operativo en la atención de emergencias</v>
      </c>
    </row>
    <row r="213" spans="2:35" ht="56" customHeight="1" x14ac:dyDescent="0.35">
      <c r="B213" s="23">
        <v>20260187</v>
      </c>
      <c r="C213" s="99" t="s">
        <v>478</v>
      </c>
      <c r="D213" s="23" t="s">
        <v>119</v>
      </c>
      <c r="E213" s="23" t="s">
        <v>402</v>
      </c>
      <c r="F213" s="159" t="s">
        <v>89</v>
      </c>
      <c r="G213" s="160" t="s">
        <v>374</v>
      </c>
      <c r="H213" s="161">
        <v>11</v>
      </c>
      <c r="I213" s="161">
        <v>0</v>
      </c>
      <c r="J213" s="127">
        <v>180000000</v>
      </c>
      <c r="K213" s="88" t="s">
        <v>398</v>
      </c>
      <c r="L213" s="159" t="s">
        <v>154</v>
      </c>
      <c r="M213" s="162" t="s">
        <v>451</v>
      </c>
      <c r="N213" s="23" t="s">
        <v>198</v>
      </c>
      <c r="O213" s="151" t="s">
        <v>946</v>
      </c>
      <c r="P213" s="159" t="s">
        <v>348</v>
      </c>
      <c r="Q213" s="53">
        <v>90121800</v>
      </c>
      <c r="R213" s="162" t="s">
        <v>218</v>
      </c>
      <c r="S213" s="162" t="str">
        <f>MID(PAA[[#This Row],[Meta Proyecto de Inversión]],1,4)</f>
        <v>8173</v>
      </c>
      <c r="T213" s="162" t="str">
        <f>MID(PAA[[#This Row],[Meta Proyecto de Inversión]],6,1)</f>
        <v>9</v>
      </c>
      <c r="U213" s="163" t="str">
        <f>IFERROR(VLOOKUP(N213,TD!$B$50:$F$54,2,0)," ")</f>
        <v>O230117</v>
      </c>
      <c r="V213" s="163" t="str">
        <f>IFERROR(VLOOKUP(N213,TD!$B$50:$F$54,3,0)," ")</f>
        <v>4503</v>
      </c>
      <c r="W213" s="163">
        <f>IFERROR(VLOOKUP(N213,TD!$B$50:$F$54,4,0)," ")</f>
        <v>20240255</v>
      </c>
      <c r="X213" s="162" t="s">
        <v>172</v>
      </c>
      <c r="Y213" s="163" t="str">
        <f>IFERROR(VLOOKUP(X213,TD!$J$51:$K$64,2,0)," ")</f>
        <v>Servicio de formación en gestión del riesgo de incendios para el personal UAECOB</v>
      </c>
      <c r="Z213" s="164" t="str">
        <f>CONCATENATE(X213,"-",Y213)</f>
        <v>07-Servicio de formación en gestión del riesgo de incendios para el personal UAECOB</v>
      </c>
      <c r="AA213" s="166" t="s">
        <v>222</v>
      </c>
      <c r="AB213" s="163" t="str">
        <f>IFERROR(VLOOKUP(AA213,TD!$N$51:$O$66,2,0)," ")</f>
        <v>Servicio de educación informal</v>
      </c>
      <c r="AC213" s="164" t="str">
        <f>CONCATENATE(AA213,"_",AB213)</f>
        <v>002_Servicio de educación informal</v>
      </c>
      <c r="AD213" s="164" t="str">
        <f>CONCATENATE(Z213," ",AC213)</f>
        <v>07-Servicio de formación en gestión del riesgo de incendios para el personal UAECOB 002_Servicio de educación informal</v>
      </c>
      <c r="AE213" s="163" t="str">
        <f>CONCATENATE(U213,V213,W213,X213,AA213)</f>
        <v>O23011745032024025507002</v>
      </c>
      <c r="AF213" s="163" t="str">
        <f>IFERROR(VLOOKUP(AD213,TD!$J$66:$K$89,2,0)," ")</f>
        <v>PM/0131/0107/45030020255</v>
      </c>
      <c r="AG213" s="118" t="s">
        <v>571</v>
      </c>
      <c r="AH213" s="162" t="s">
        <v>193</v>
      </c>
      <c r="AI213" s="165" t="str">
        <f>CONCATENATE(PAA[[#This Row],[Id Interno]],"-",PAA[[#This Row],[tipo de Contrato (TH talento humano - B/S bienes y/o servicios)]],"-",S213,"-",T213,"-",PAA[[#This Row],[Objeto de la contratación]])</f>
        <v xml:space="preserve">20260187-BS-8173-9-SGH - Garantizar los recursos para viáticos y adquisición de tiquetes, con el fin de permitir el desplazamiento del personal en desarrollo de actividades misionales, operativas o de capacitación  </v>
      </c>
    </row>
    <row r="214" spans="2:35" ht="84" x14ac:dyDescent="0.35">
      <c r="B214" s="23">
        <v>20260188</v>
      </c>
      <c r="C214" s="99" t="s">
        <v>645</v>
      </c>
      <c r="D214" s="23" t="s">
        <v>83</v>
      </c>
      <c r="E214" s="23" t="s">
        <v>402</v>
      </c>
      <c r="F214" s="159" t="s">
        <v>101</v>
      </c>
      <c r="G214" s="160" t="s">
        <v>375</v>
      </c>
      <c r="H214" s="161">
        <v>4</v>
      </c>
      <c r="I214" s="161">
        <v>0</v>
      </c>
      <c r="J214" s="127">
        <v>300000000</v>
      </c>
      <c r="K214" s="88" t="s">
        <v>398</v>
      </c>
      <c r="L214" s="159" t="s">
        <v>154</v>
      </c>
      <c r="M214" s="162" t="s">
        <v>451</v>
      </c>
      <c r="N214" s="23" t="s">
        <v>198</v>
      </c>
      <c r="O214" s="151" t="s">
        <v>946</v>
      </c>
      <c r="P214" s="159" t="s">
        <v>348</v>
      </c>
      <c r="Q214" s="53" t="s">
        <v>481</v>
      </c>
      <c r="R214" s="162" t="s">
        <v>218</v>
      </c>
      <c r="S214" s="162" t="str">
        <f>MID(PAA[[#This Row],[Meta Proyecto de Inversión]],1,4)</f>
        <v>8173</v>
      </c>
      <c r="T214" s="162" t="str">
        <f>MID(PAA[[#This Row],[Meta Proyecto de Inversión]],6,1)</f>
        <v>9</v>
      </c>
      <c r="U214" s="163" t="str">
        <f>IFERROR(VLOOKUP(N214,TD!$B$50:$F$54,2,0)," ")</f>
        <v>O230117</v>
      </c>
      <c r="V214" s="163" t="str">
        <f>IFERROR(VLOOKUP(N214,TD!$B$50:$F$54,3,0)," ")</f>
        <v>4503</v>
      </c>
      <c r="W214" s="163">
        <f>IFERROR(VLOOKUP(N214,TD!$B$50:$F$54,4,0)," ")</f>
        <v>20240255</v>
      </c>
      <c r="X214" s="162" t="s">
        <v>172</v>
      </c>
      <c r="Y214" s="163" t="str">
        <f>IFERROR(VLOOKUP(X214,TD!$J$51:$K$64,2,0)," ")</f>
        <v>Servicio de formación en gestión del riesgo de incendios para el personal UAECOB</v>
      </c>
      <c r="Z214" s="164" t="str">
        <f>CONCATENATE(X214,"-",Y214)</f>
        <v>07-Servicio de formación en gestión del riesgo de incendios para el personal UAECOB</v>
      </c>
      <c r="AA214" s="166" t="s">
        <v>222</v>
      </c>
      <c r="AB214" s="163" t="str">
        <f>IFERROR(VLOOKUP(AA214,TD!$N$51:$O$66,2,0)," ")</f>
        <v>Servicio de educación informal</v>
      </c>
      <c r="AC214" s="164" t="str">
        <f>CONCATENATE(AA214,"_",AB214)</f>
        <v>002_Servicio de educación informal</v>
      </c>
      <c r="AD214" s="164" t="str">
        <f>CONCATENATE(Z214," ",AC214)</f>
        <v>07-Servicio de formación en gestión del riesgo de incendios para el personal UAECOB 002_Servicio de educación informal</v>
      </c>
      <c r="AE214" s="163" t="str">
        <f>CONCATENATE(U214,V214,W214,X214,AA214)</f>
        <v>O23011745032024025507002</v>
      </c>
      <c r="AF214" s="163" t="str">
        <f>IFERROR(VLOOKUP(AD214,TD!$J$66:$K$89,2,0)," ")</f>
        <v>PM/0131/0107/45030020255</v>
      </c>
      <c r="AG214" s="118" t="s">
        <v>94</v>
      </c>
      <c r="AH214" s="162" t="s">
        <v>193</v>
      </c>
      <c r="AI214" s="165" t="str">
        <f>CONCATENATE(PAA[[#This Row],[Id Interno]],"-",PAA[[#This Row],[tipo de Contrato (TH talento humano - B/S bienes y/o servicios)]],"-",S214,"-",T214,"-",PAA[[#This Row],[Objeto de la contratación]])</f>
        <v>20260188-BS-8173-9-SGH - Adecuación de escenarios necesarios para el desarrollo de procesos de formación, capacitación y entrenamiento del personal operativo de la UAE Cuerpo Oficial de Bomberos de Bogotá.</v>
      </c>
    </row>
    <row r="215" spans="2:35" ht="84" x14ac:dyDescent="0.35">
      <c r="B215" s="23">
        <v>20260189</v>
      </c>
      <c r="C215" s="99" t="s">
        <v>646</v>
      </c>
      <c r="D215" s="23" t="s">
        <v>83</v>
      </c>
      <c r="E215" s="23" t="s">
        <v>402</v>
      </c>
      <c r="F215" s="159" t="s">
        <v>101</v>
      </c>
      <c r="G215" s="160" t="s">
        <v>375</v>
      </c>
      <c r="H215" s="161">
        <v>6</v>
      </c>
      <c r="I215" s="161">
        <v>0</v>
      </c>
      <c r="J215" s="127">
        <v>200000000</v>
      </c>
      <c r="K215" s="88" t="s">
        <v>398</v>
      </c>
      <c r="L215" s="159" t="s">
        <v>154</v>
      </c>
      <c r="M215" s="162" t="s">
        <v>451</v>
      </c>
      <c r="N215" s="23" t="s">
        <v>198</v>
      </c>
      <c r="O215" s="151" t="s">
        <v>946</v>
      </c>
      <c r="P215" s="159" t="s">
        <v>348</v>
      </c>
      <c r="Q215" s="53" t="s">
        <v>482</v>
      </c>
      <c r="R215" s="162" t="s">
        <v>218</v>
      </c>
      <c r="S215" s="162" t="str">
        <f>MID(PAA[[#This Row],[Meta Proyecto de Inversión]],1,4)</f>
        <v>8173</v>
      </c>
      <c r="T215" s="162" t="str">
        <f>MID(PAA[[#This Row],[Meta Proyecto de Inversión]],6,1)</f>
        <v>9</v>
      </c>
      <c r="U215" s="163" t="str">
        <f>IFERROR(VLOOKUP(N215,TD!$B$50:$F$54,2,0)," ")</f>
        <v>O230117</v>
      </c>
      <c r="V215" s="163" t="str">
        <f>IFERROR(VLOOKUP(N215,TD!$B$50:$F$54,3,0)," ")</f>
        <v>4503</v>
      </c>
      <c r="W215" s="163">
        <f>IFERROR(VLOOKUP(N215,TD!$B$50:$F$54,4,0)," ")</f>
        <v>20240255</v>
      </c>
      <c r="X215" s="162" t="s">
        <v>172</v>
      </c>
      <c r="Y215" s="163" t="str">
        <f>IFERROR(VLOOKUP(X215,TD!$J$51:$K$64,2,0)," ")</f>
        <v>Servicio de formación en gestión del riesgo de incendios para el personal UAECOB</v>
      </c>
      <c r="Z215" s="164" t="str">
        <f>CONCATENATE(X215,"-",Y215)</f>
        <v>07-Servicio de formación en gestión del riesgo de incendios para el personal UAECOB</v>
      </c>
      <c r="AA215" s="166" t="s">
        <v>222</v>
      </c>
      <c r="AB215" s="163" t="str">
        <f>IFERROR(VLOOKUP(AA215,TD!$N$51:$O$66,2,0)," ")</f>
        <v>Servicio de educación informal</v>
      </c>
      <c r="AC215" s="164" t="str">
        <f>CONCATENATE(AA215,"_",AB215)</f>
        <v>002_Servicio de educación informal</v>
      </c>
      <c r="AD215" s="164" t="str">
        <f>CONCATENATE(Z215," ",AC215)</f>
        <v>07-Servicio de formación en gestión del riesgo de incendios para el personal UAECOB 002_Servicio de educación informal</v>
      </c>
      <c r="AE215" s="163" t="str">
        <f>CONCATENATE(U215,V215,W215,X215,AA215)</f>
        <v>O23011745032024025507002</v>
      </c>
      <c r="AF215" s="163" t="str">
        <f>IFERROR(VLOOKUP(AD215,TD!$J$66:$K$89,2,0)," ")</f>
        <v>PM/0131/0107/45030020255</v>
      </c>
      <c r="AG215" s="118" t="s">
        <v>923</v>
      </c>
      <c r="AH215" s="162" t="s">
        <v>193</v>
      </c>
      <c r="AI215" s="165" t="str">
        <f>CONCATENATE(PAA[[#This Row],[Id Interno]],"-",PAA[[#This Row],[tipo de Contrato (TH talento humano - B/S bienes y/o servicios)]],"-",S215,"-",T215,"-",PAA[[#This Row],[Objeto de la contratación]])</f>
        <v>20260189-BS-8173-9-SGH - Adquisición de Equipos y Herramientas para los procesos de Capacitación a cargo de la Academia de la UAE Cuerpo Oficial de Bomberos de Bogotá</v>
      </c>
    </row>
    <row r="216" spans="2:35" ht="84" x14ac:dyDescent="0.35">
      <c r="B216" s="23">
        <v>20260192</v>
      </c>
      <c r="C216" s="99" t="s">
        <v>480</v>
      </c>
      <c r="D216" s="23" t="s">
        <v>92</v>
      </c>
      <c r="E216" s="23" t="s">
        <v>402</v>
      </c>
      <c r="F216" s="159" t="s">
        <v>101</v>
      </c>
      <c r="G216" s="160" t="s">
        <v>375</v>
      </c>
      <c r="H216" s="161">
        <v>4</v>
      </c>
      <c r="I216" s="161">
        <v>0</v>
      </c>
      <c r="J216" s="127">
        <v>40000000</v>
      </c>
      <c r="K216" s="88" t="s">
        <v>398</v>
      </c>
      <c r="L216" s="159" t="s">
        <v>154</v>
      </c>
      <c r="M216" s="162" t="s">
        <v>451</v>
      </c>
      <c r="N216" s="23" t="s">
        <v>198</v>
      </c>
      <c r="O216" s="151" t="s">
        <v>946</v>
      </c>
      <c r="P216" s="159" t="s">
        <v>348</v>
      </c>
      <c r="Q216" s="53">
        <v>55101510</v>
      </c>
      <c r="R216" s="162" t="s">
        <v>218</v>
      </c>
      <c r="S216" s="162" t="str">
        <f>MID(PAA[[#This Row],[Meta Proyecto de Inversión]],1,4)</f>
        <v>8173</v>
      </c>
      <c r="T216" s="162" t="str">
        <f>MID(PAA[[#This Row],[Meta Proyecto de Inversión]],6,1)</f>
        <v>9</v>
      </c>
      <c r="U216" s="163" t="str">
        <f>IFERROR(VLOOKUP(N216,TD!$B$50:$F$54,2,0)," ")</f>
        <v>O230117</v>
      </c>
      <c r="V216" s="163" t="str">
        <f>IFERROR(VLOOKUP(N216,TD!$B$50:$F$54,3,0)," ")</f>
        <v>4503</v>
      </c>
      <c r="W216" s="163">
        <f>IFERROR(VLOOKUP(N216,TD!$B$50:$F$54,4,0)," ")</f>
        <v>20240255</v>
      </c>
      <c r="X216" s="162" t="s">
        <v>172</v>
      </c>
      <c r="Y216" s="163" t="str">
        <f>IFERROR(VLOOKUP(X216,TD!$J$51:$K$64,2,0)," ")</f>
        <v>Servicio de formación en gestión del riesgo de incendios para el personal UAECOB</v>
      </c>
      <c r="Z216" s="164" t="str">
        <f>CONCATENATE(X216,"-",Y216)</f>
        <v>07-Servicio de formación en gestión del riesgo de incendios para el personal UAECOB</v>
      </c>
      <c r="AA216" s="166" t="s">
        <v>222</v>
      </c>
      <c r="AB216" s="163" t="str">
        <f>IFERROR(VLOOKUP(AA216,TD!$N$51:$O$66,2,0)," ")</f>
        <v>Servicio de educación informal</v>
      </c>
      <c r="AC216" s="164" t="str">
        <f>CONCATENATE(AA216,"_",AB216)</f>
        <v>002_Servicio de educación informal</v>
      </c>
      <c r="AD216" s="164" t="str">
        <f>CONCATENATE(Z216," ",AC216)</f>
        <v>07-Servicio de formación en gestión del riesgo de incendios para el personal UAECOB 002_Servicio de educación informal</v>
      </c>
      <c r="AE216" s="163" t="str">
        <f>CONCATENATE(U216,V216,W216,X216,AA216)</f>
        <v>O23011745032024025507002</v>
      </c>
      <c r="AF216" s="163" t="str">
        <f>IFERROR(VLOOKUP(AD216,TD!$J$66:$K$89,2,0)," ")</f>
        <v>PM/0131/0107/45030020255</v>
      </c>
      <c r="AG216" s="118" t="s">
        <v>924</v>
      </c>
      <c r="AH216" s="162" t="s">
        <v>193</v>
      </c>
      <c r="AI216" s="165" t="str">
        <f>CONCATENATE(PAA[[#This Row],[Id Interno]],"-",PAA[[#This Row],[tipo de Contrato (TH talento humano - B/S bienes y/o servicios)]],"-",S216,"-",T216,"-",PAA[[#This Row],[Objeto de la contratación]])</f>
        <v>20260192-BS-8173-9-SGH- Adquisición de material bibliográfico de consulta para estudio y capacitación, que servirá como base de la biblioteca para la academia de la UAE Cuerpo Oficial de Bomberos de Bogotá</v>
      </c>
    </row>
    <row r="217" spans="2:35" ht="84" x14ac:dyDescent="0.35">
      <c r="B217" s="23">
        <v>20260194</v>
      </c>
      <c r="C217" s="99" t="s">
        <v>649</v>
      </c>
      <c r="D217" s="23" t="s">
        <v>105</v>
      </c>
      <c r="E217" s="23" t="s">
        <v>402</v>
      </c>
      <c r="F217" s="159" t="s">
        <v>89</v>
      </c>
      <c r="G217" s="160" t="s">
        <v>373</v>
      </c>
      <c r="H217" s="161">
        <v>10</v>
      </c>
      <c r="I217" s="161">
        <v>0</v>
      </c>
      <c r="J217" s="127">
        <v>1620000000</v>
      </c>
      <c r="K217" s="88" t="s">
        <v>398</v>
      </c>
      <c r="L217" s="159" t="s">
        <v>154</v>
      </c>
      <c r="M217" s="162" t="s">
        <v>451</v>
      </c>
      <c r="N217" s="23" t="s">
        <v>330</v>
      </c>
      <c r="O217" s="151" t="s">
        <v>945</v>
      </c>
      <c r="P217" s="159" t="s">
        <v>161</v>
      </c>
      <c r="Q217" s="53" t="s">
        <v>650</v>
      </c>
      <c r="R217" s="162" t="s">
        <v>331</v>
      </c>
      <c r="S217" s="162" t="str">
        <f>MID(PAA[[#This Row],[Meta Proyecto de Inversión]],1,4)</f>
        <v>No a</v>
      </c>
      <c r="T217" s="162" t="str">
        <f>MID(PAA[[#This Row],[Meta Proyecto de Inversión]],6,1)</f>
        <v>l</v>
      </c>
      <c r="U217" s="163" t="str">
        <f>IFERROR(VLOOKUP(N217,TD!$B$50:$F$54,2,0)," ")</f>
        <v>NA</v>
      </c>
      <c r="V217" s="163" t="str">
        <f>IFERROR(VLOOKUP(N217,TD!$B$50:$F$54,3,0)," ")</f>
        <v>NA</v>
      </c>
      <c r="W217" s="163" t="str">
        <f>IFERROR(VLOOKUP(N217,TD!$B$50:$F$54,4,0)," ")</f>
        <v>NA</v>
      </c>
      <c r="X217" s="162" t="s">
        <v>335</v>
      </c>
      <c r="Y217" s="163" t="str">
        <f>IFERROR(VLOOKUP(X217,TD!$J$51:$K$64,2,0)," ")</f>
        <v>N/A</v>
      </c>
      <c r="Z217" s="164" t="str">
        <f>CONCATENATE(X217,"-",Y217)</f>
        <v>N/A-N/A</v>
      </c>
      <c r="AA217" s="166" t="s">
        <v>335</v>
      </c>
      <c r="AB217" s="163" t="str">
        <f>IFERROR(VLOOKUP(AA217,TD!$N$51:$O$66,2,0)," ")</f>
        <v>N/A</v>
      </c>
      <c r="AC217" s="164" t="str">
        <f>CONCATENATE(AA217,"_",AB217)</f>
        <v>N/A_N/A</v>
      </c>
      <c r="AD217" s="164" t="str">
        <f>CONCATENATE(Z217," ",AC217)</f>
        <v>N/A-N/A N/A_N/A</v>
      </c>
      <c r="AE217" s="163" t="str">
        <f>CONCATENATE(U217,V217,W217,X217,AA217)</f>
        <v>NANANAN/AN/A</v>
      </c>
      <c r="AF217" s="163" t="str">
        <f>IFERROR(VLOOKUP(AD217,TD!$J$66:$K$89,2,0)," ")</f>
        <v>N/A</v>
      </c>
      <c r="AG217" s="118" t="s">
        <v>332</v>
      </c>
      <c r="AH217" s="162" t="s">
        <v>193</v>
      </c>
      <c r="AI217" s="165" t="str">
        <f>CONCATENATE(PAA[[#This Row],[Id Interno]],"-",PAA[[#This Row],[tipo de Contrato (TH talento humano - B/S bienes y/o servicios)]],"-",S217,"-",T217,"-",PAA[[#This Row],[Objeto de la contratación]])</f>
        <v>20260194-BS-No a-l-SGH - Contratar la Prestación de Servicios para desarrollar el Plan de Bienestar de la UAE Cuerpo Oficial de Bomberos para la Vigencia 2026</v>
      </c>
    </row>
    <row r="218" spans="2:35" ht="84" x14ac:dyDescent="0.35">
      <c r="B218" s="23">
        <v>20260196</v>
      </c>
      <c r="C218" s="99" t="s">
        <v>500</v>
      </c>
      <c r="D218" s="23" t="s">
        <v>78</v>
      </c>
      <c r="E218" s="23" t="s">
        <v>402</v>
      </c>
      <c r="F218" s="159" t="s">
        <v>136</v>
      </c>
      <c r="G218" s="160" t="s">
        <v>373</v>
      </c>
      <c r="H218" s="161">
        <v>12</v>
      </c>
      <c r="I218" s="161">
        <v>0</v>
      </c>
      <c r="J218" s="127">
        <v>6689476699</v>
      </c>
      <c r="K218" s="88" t="s">
        <v>397</v>
      </c>
      <c r="L218" s="159" t="s">
        <v>157</v>
      </c>
      <c r="M218" s="162" t="s">
        <v>501</v>
      </c>
      <c r="N218" s="23" t="s">
        <v>198</v>
      </c>
      <c r="O218" s="151" t="s">
        <v>946</v>
      </c>
      <c r="P218" s="159" t="s">
        <v>348</v>
      </c>
      <c r="Q218" s="53">
        <v>78181500</v>
      </c>
      <c r="R218" s="162" t="s">
        <v>213</v>
      </c>
      <c r="S218" s="162" t="str">
        <f>MID(PAA[[#This Row],[Meta Proyecto de Inversión]],1,4)</f>
        <v>8173</v>
      </c>
      <c r="T218" s="162" t="str">
        <f>MID(PAA[[#This Row],[Meta Proyecto de Inversión]],6,1)</f>
        <v>4</v>
      </c>
      <c r="U218" s="163" t="str">
        <f>IFERROR(VLOOKUP(N218,TD!$B$50:$F$54,2,0)," ")</f>
        <v>O230117</v>
      </c>
      <c r="V218" s="163" t="str">
        <f>IFERROR(VLOOKUP(N218,TD!$B$50:$F$54,3,0)," ")</f>
        <v>4503</v>
      </c>
      <c r="W218" s="163">
        <f>IFERROR(VLOOKUP(N218,TD!$B$50:$F$54,4,0)," ")</f>
        <v>20240255</v>
      </c>
      <c r="X218" s="162" t="s">
        <v>176</v>
      </c>
      <c r="Y218" s="163" t="str">
        <f>IFERROR(VLOOKUP(X218,TD!$J$51:$K$64,2,0)," ")</f>
        <v>Servicio de mantenimiento, dotación (HEA´s y equipo menor) y adquisición de vehiculos   especializados para la atención de emergencias.</v>
      </c>
      <c r="Z218" s="164" t="str">
        <f>CONCATENATE(X218,"-",Y218)</f>
        <v>09-Servicio de mantenimiento, dotación (HEA´s y equipo menor) y adquisición de vehiculos   especializados para la atención de emergencias.</v>
      </c>
      <c r="AA218" s="166" t="s">
        <v>221</v>
      </c>
      <c r="AB218" s="163" t="str">
        <f>IFERROR(VLOOKUP(AA218,TD!$N$51:$O$66,2,0)," ")</f>
        <v>Servicio de atención a emergencias y desastres</v>
      </c>
      <c r="AC218" s="164" t="str">
        <f>CONCATENATE(AA218,"_",AB218)</f>
        <v>004_Servicio de atención a emergencias y desastres</v>
      </c>
      <c r="AD218" s="164" t="str">
        <f>CONCATENATE(Z218," ",AC218)</f>
        <v>09-Servicio de mantenimiento, dotación (HEA´s y equipo menor) y adquisición de vehiculos   especializados para la atención de emergencias. 004_Servicio de atención a emergencias y desastres</v>
      </c>
      <c r="AE218" s="163" t="str">
        <f>CONCATENATE(U218,V218,W218,X218,AA218)</f>
        <v>O23011745032024025509004</v>
      </c>
      <c r="AF218" s="163" t="str">
        <f>IFERROR(VLOOKUP(AD218,TD!$J$66:$K$89,2,0)," ")</f>
        <v>PM/0131/0109/45030040255</v>
      </c>
      <c r="AG218" s="118" t="s">
        <v>387</v>
      </c>
      <c r="AH218" s="162" t="s">
        <v>193</v>
      </c>
      <c r="AI218" s="165" t="str">
        <f>CONCATENATE(PAA[[#This Row],[Id Interno]],"-",PAA[[#This Row],[tipo de Contrato (TH talento humano - B/S bienes y/o servicios)]],"-",S218,"-",T218,"-",PAA[[#This Row],[Objeto de la contratación]])</f>
        <v>20260196-BS-8173-4-Prestar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v>
      </c>
    </row>
    <row r="219" spans="2:35" ht="84" x14ac:dyDescent="0.35">
      <c r="B219" s="23">
        <v>20260197</v>
      </c>
      <c r="C219" s="99" t="s">
        <v>505</v>
      </c>
      <c r="D219" s="23" t="s">
        <v>88</v>
      </c>
      <c r="E219" s="23" t="s">
        <v>402</v>
      </c>
      <c r="F219" s="159" t="s">
        <v>89</v>
      </c>
      <c r="G219" s="160" t="s">
        <v>377</v>
      </c>
      <c r="H219" s="161">
        <v>12</v>
      </c>
      <c r="I219" s="161">
        <v>0</v>
      </c>
      <c r="J219" s="127">
        <v>25000000</v>
      </c>
      <c r="K219" s="88" t="s">
        <v>398</v>
      </c>
      <c r="L219" s="159" t="s">
        <v>157</v>
      </c>
      <c r="M219" s="162" t="s">
        <v>501</v>
      </c>
      <c r="N219" s="23" t="s">
        <v>198</v>
      </c>
      <c r="O219" s="151" t="s">
        <v>946</v>
      </c>
      <c r="P219" s="159" t="s">
        <v>348</v>
      </c>
      <c r="Q219" s="53">
        <v>25172500</v>
      </c>
      <c r="R219" s="162" t="s">
        <v>213</v>
      </c>
      <c r="S219" s="162" t="str">
        <f>MID(PAA[[#This Row],[Meta Proyecto de Inversión]],1,4)</f>
        <v>8173</v>
      </c>
      <c r="T219" s="162" t="str">
        <f>MID(PAA[[#This Row],[Meta Proyecto de Inversión]],6,1)</f>
        <v>4</v>
      </c>
      <c r="U219" s="163" t="str">
        <f>IFERROR(VLOOKUP(N219,TD!$B$50:$F$54,2,0)," ")</f>
        <v>O230117</v>
      </c>
      <c r="V219" s="163" t="str">
        <f>IFERROR(VLOOKUP(N219,TD!$B$50:$F$54,3,0)," ")</f>
        <v>4503</v>
      </c>
      <c r="W219" s="163">
        <f>IFERROR(VLOOKUP(N219,TD!$B$50:$F$54,4,0)," ")</f>
        <v>20240255</v>
      </c>
      <c r="X219" s="162" t="s">
        <v>176</v>
      </c>
      <c r="Y219" s="163" t="str">
        <f>IFERROR(VLOOKUP(X219,TD!$J$51:$K$64,2,0)," ")</f>
        <v>Servicio de mantenimiento, dotación (HEA´s y equipo menor) y adquisición de vehiculos   especializados para la atención de emergencias.</v>
      </c>
      <c r="Z219" s="164" t="str">
        <f>CONCATENATE(X219,"-",Y219)</f>
        <v>09-Servicio de mantenimiento, dotación (HEA´s y equipo menor) y adquisición de vehiculos   especializados para la atención de emergencias.</v>
      </c>
      <c r="AA219" s="162" t="s">
        <v>221</v>
      </c>
      <c r="AB219" s="163" t="str">
        <f>IFERROR(VLOOKUP(AA219,TD!$N$51:$O$66,2,0)," ")</f>
        <v>Servicio de atención a emergencias y desastres</v>
      </c>
      <c r="AC219" s="164" t="str">
        <f>CONCATENATE(AA219,"_",AB219)</f>
        <v>004_Servicio de atención a emergencias y desastres</v>
      </c>
      <c r="AD219" s="164" t="str">
        <f>CONCATENATE(Z219," ",AC219)</f>
        <v>09-Servicio de mantenimiento, dotación (HEA´s y equipo menor) y adquisición de vehiculos   especializados para la atención de emergencias. 004_Servicio de atención a emergencias y desastres</v>
      </c>
      <c r="AE219" s="163" t="str">
        <f>CONCATENATE(U219,V219,W219,X219,AA219)</f>
        <v>O23011745032024025509004</v>
      </c>
      <c r="AF219" s="163" t="str">
        <f>IFERROR(VLOOKUP(AD219,TD!$J$66:$K$89,2,0)," ")</f>
        <v>PM/0131/0109/45030040255</v>
      </c>
      <c r="AG219" s="118" t="s">
        <v>573</v>
      </c>
      <c r="AH219" s="162" t="s">
        <v>193</v>
      </c>
      <c r="AI219" s="165" t="str">
        <f>CONCATENATE(PAA[[#This Row],[Id Interno]],"-",PAA[[#This Row],[tipo de Contrato (TH talento humano - B/S bienes y/o servicios)]],"-",S219,"-",T219,"-",PAA[[#This Row],[Objeto de la contratación]])</f>
        <v>20260197-BS-8173-4-Suministro de llantas y  prestación del servicio de instalación, alineación, balanceo y conexos a los vehículos del parque automotor de la U.A.E. Cuerpo Oficial de Bomberos de Bogotá - SBLG</v>
      </c>
    </row>
    <row r="220" spans="2:35" ht="84" x14ac:dyDescent="0.35">
      <c r="B220" s="23">
        <v>20260198</v>
      </c>
      <c r="C220" s="99" t="s">
        <v>821</v>
      </c>
      <c r="D220" s="23" t="s">
        <v>105</v>
      </c>
      <c r="E220" s="23" t="s">
        <v>363</v>
      </c>
      <c r="F220" s="159" t="s">
        <v>144</v>
      </c>
      <c r="G220" s="160" t="s">
        <v>373</v>
      </c>
      <c r="H220" s="161">
        <v>10</v>
      </c>
      <c r="I220" s="161">
        <v>0</v>
      </c>
      <c r="J220" s="127">
        <v>90000000</v>
      </c>
      <c r="K220" s="88" t="s">
        <v>398</v>
      </c>
      <c r="L220" s="159" t="s">
        <v>157</v>
      </c>
      <c r="M220" s="162" t="s">
        <v>501</v>
      </c>
      <c r="N220" s="23" t="s">
        <v>198</v>
      </c>
      <c r="O220" s="151" t="s">
        <v>946</v>
      </c>
      <c r="P220" s="159" t="s">
        <v>348</v>
      </c>
      <c r="Q220" s="53">
        <v>80111600</v>
      </c>
      <c r="R220" s="162" t="s">
        <v>213</v>
      </c>
      <c r="S220" s="162" t="str">
        <f>MID(PAA[[#This Row],[Meta Proyecto de Inversión]],1,4)</f>
        <v>8173</v>
      </c>
      <c r="T220" s="162" t="str">
        <f>MID(PAA[[#This Row],[Meta Proyecto de Inversión]],6,1)</f>
        <v>4</v>
      </c>
      <c r="U220" s="163" t="str">
        <f>IFERROR(VLOOKUP(N220,TD!$B$50:$F$54,2,0)," ")</f>
        <v>O230117</v>
      </c>
      <c r="V220" s="163" t="str">
        <f>IFERROR(VLOOKUP(N220,TD!$B$50:$F$54,3,0)," ")</f>
        <v>4503</v>
      </c>
      <c r="W220" s="163">
        <f>IFERROR(VLOOKUP(N220,TD!$B$50:$F$54,4,0)," ")</f>
        <v>20240255</v>
      </c>
      <c r="X220" s="162" t="s">
        <v>180</v>
      </c>
      <c r="Y220" s="163" t="str">
        <f>IFERROR(VLOOKUP(X220,TD!$J$51:$K$64,2,0)," ")</f>
        <v>Servicio de apoyo   logístico  en eventos operativos y/o emergencias.</v>
      </c>
      <c r="Z220" s="164" t="str">
        <f>CONCATENATE(X220,"-",Y220)</f>
        <v>12-Servicio de apoyo   logístico  en eventos operativos y/o emergencias.</v>
      </c>
      <c r="AA220" s="162" t="s">
        <v>221</v>
      </c>
      <c r="AB220" s="163" t="str">
        <f>IFERROR(VLOOKUP(AA220,TD!$N$51:$O$66,2,0)," ")</f>
        <v>Servicio de atención a emergencias y desastres</v>
      </c>
      <c r="AC220" s="164" t="str">
        <f>CONCATENATE(AA220,"_",AB220)</f>
        <v>004_Servicio de atención a emergencias y desastres</v>
      </c>
      <c r="AD220" s="164" t="str">
        <f>CONCATENATE(Z220," ",AC220)</f>
        <v>12-Servicio de apoyo   logístico  en eventos operativos y/o emergencias. 004_Servicio de atención a emergencias y desastres</v>
      </c>
      <c r="AE220" s="163" t="str">
        <f>CONCATENATE(U220,V220,W220,X220,AA220)</f>
        <v>O23011745032024025512004</v>
      </c>
      <c r="AF220" s="163" t="str">
        <f>IFERROR(VLOOKUP(AD220,TD!$J$66:$K$89,2,0)," ")</f>
        <v>PM/0131/0112/45030040255</v>
      </c>
      <c r="AG220" s="118" t="s">
        <v>385</v>
      </c>
      <c r="AH220" s="162" t="s">
        <v>193</v>
      </c>
      <c r="AI220" s="165" t="str">
        <f>CONCATENATE(PAA[[#This Row],[Id Interno]],"-",PAA[[#This Row],[tipo de Contrato (TH talento humano - B/S bienes y/o servicios)]],"-",S220,"-",T220,"-",PAA[[#This Row],[Objeto de la contratación]])</f>
        <v>20260198-TH-8173-4-Prestación de servicios profesionales apoyando el control legal de los procesos y acciones, especialmente la gestión contractual para el desarrollo de las estrategías de la Subdirección Logística - SBLG</v>
      </c>
    </row>
    <row r="221" spans="2:35" ht="84" x14ac:dyDescent="0.35">
      <c r="B221" s="23">
        <v>20260199</v>
      </c>
      <c r="C221" s="99" t="s">
        <v>822</v>
      </c>
      <c r="D221" s="23" t="s">
        <v>105</v>
      </c>
      <c r="E221" s="23" t="s">
        <v>363</v>
      </c>
      <c r="F221" s="159" t="s">
        <v>144</v>
      </c>
      <c r="G221" s="160" t="s">
        <v>373</v>
      </c>
      <c r="H221" s="161">
        <v>5</v>
      </c>
      <c r="I221" s="161">
        <v>0</v>
      </c>
      <c r="J221" s="127">
        <v>32500000</v>
      </c>
      <c r="K221" s="88" t="s">
        <v>398</v>
      </c>
      <c r="L221" s="159" t="s">
        <v>157</v>
      </c>
      <c r="M221" s="162" t="s">
        <v>501</v>
      </c>
      <c r="N221" s="23" t="s">
        <v>198</v>
      </c>
      <c r="O221" s="151" t="s">
        <v>946</v>
      </c>
      <c r="P221" s="159" t="s">
        <v>348</v>
      </c>
      <c r="Q221" s="53">
        <v>80111600</v>
      </c>
      <c r="R221" s="162" t="s">
        <v>213</v>
      </c>
      <c r="S221" s="162" t="str">
        <f>MID(PAA[[#This Row],[Meta Proyecto de Inversión]],1,4)</f>
        <v>8173</v>
      </c>
      <c r="T221" s="162" t="str">
        <f>MID(PAA[[#This Row],[Meta Proyecto de Inversión]],6,1)</f>
        <v>4</v>
      </c>
      <c r="U221" s="163" t="str">
        <f>IFERROR(VLOOKUP(N221,TD!$B$50:$F$54,2,0)," ")</f>
        <v>O230117</v>
      </c>
      <c r="V221" s="163" t="str">
        <f>IFERROR(VLOOKUP(N221,TD!$B$50:$F$54,3,0)," ")</f>
        <v>4503</v>
      </c>
      <c r="W221" s="163">
        <f>IFERROR(VLOOKUP(N221,TD!$B$50:$F$54,4,0)," ")</f>
        <v>20240255</v>
      </c>
      <c r="X221" s="162" t="s">
        <v>180</v>
      </c>
      <c r="Y221" s="163" t="str">
        <f>IFERROR(VLOOKUP(X221,TD!$J$51:$K$64,2,0)," ")</f>
        <v>Servicio de apoyo   logístico  en eventos operativos y/o emergencias.</v>
      </c>
      <c r="Z221" s="164" t="str">
        <f>CONCATENATE(X221,"-",Y221)</f>
        <v>12-Servicio de apoyo   logístico  en eventos operativos y/o emergencias.</v>
      </c>
      <c r="AA221" s="162" t="s">
        <v>221</v>
      </c>
      <c r="AB221" s="163" t="str">
        <f>IFERROR(VLOOKUP(AA221,TD!$N$51:$O$66,2,0)," ")</f>
        <v>Servicio de atención a emergencias y desastres</v>
      </c>
      <c r="AC221" s="164" t="str">
        <f>CONCATENATE(AA221,"_",AB221)</f>
        <v>004_Servicio de atención a emergencias y desastres</v>
      </c>
      <c r="AD221" s="164" t="str">
        <f>CONCATENATE(Z221," ",AC221)</f>
        <v>12-Servicio de apoyo   logístico  en eventos operativos y/o emergencias. 004_Servicio de atención a emergencias y desastres</v>
      </c>
      <c r="AE221" s="163" t="str">
        <f>CONCATENATE(U221,V221,W221,X221,AA221)</f>
        <v>O23011745032024025512004</v>
      </c>
      <c r="AF221" s="163" t="str">
        <f>IFERROR(VLOOKUP(AD221,TD!$J$66:$K$89,2,0)," ")</f>
        <v>PM/0131/0112/45030040255</v>
      </c>
      <c r="AG221" s="118" t="s">
        <v>385</v>
      </c>
      <c r="AH221" s="162" t="s">
        <v>193</v>
      </c>
      <c r="AI221" s="165" t="str">
        <f>CONCATENATE(PAA[[#This Row],[Id Interno]],"-",PAA[[#This Row],[tipo de Contrato (TH talento humano - B/S bienes y/o servicios)]],"-",S221,"-",T221,"-",PAA[[#This Row],[Objeto de la contratación]])</f>
        <v>20260199-TH-8173-4-Prestación de servicios profesionales para apoyar en la elaboración, tramite e impulso de los procesos de contratación en sus diferentes etapas para el desarrollo de las estrategías de la Subdirección Logística - SBLG.</v>
      </c>
    </row>
    <row r="222" spans="2:35" ht="56" x14ac:dyDescent="0.35">
      <c r="B222" s="23">
        <v>20260200</v>
      </c>
      <c r="C222" s="99" t="s">
        <v>915</v>
      </c>
      <c r="D222" s="23" t="s">
        <v>105</v>
      </c>
      <c r="E222" s="23" t="s">
        <v>363</v>
      </c>
      <c r="F222" s="159" t="s">
        <v>144</v>
      </c>
      <c r="G222" s="160" t="s">
        <v>373</v>
      </c>
      <c r="H222" s="161">
        <v>8</v>
      </c>
      <c r="I222" s="161">
        <v>0</v>
      </c>
      <c r="J222" s="127">
        <v>64000000</v>
      </c>
      <c r="K222" s="88" t="s">
        <v>398</v>
      </c>
      <c r="L222" s="159" t="s">
        <v>157</v>
      </c>
      <c r="M222" s="162" t="s">
        <v>501</v>
      </c>
      <c r="N222" s="23" t="s">
        <v>198</v>
      </c>
      <c r="O222" s="151" t="s">
        <v>946</v>
      </c>
      <c r="P222" s="159" t="s">
        <v>348</v>
      </c>
      <c r="Q222" s="53">
        <v>80111600</v>
      </c>
      <c r="R222" s="162" t="s">
        <v>213</v>
      </c>
      <c r="S222" s="162" t="str">
        <f>MID(PAA[[#This Row],[Meta Proyecto de Inversión]],1,4)</f>
        <v>8173</v>
      </c>
      <c r="T222" s="162" t="str">
        <f>MID(PAA[[#This Row],[Meta Proyecto de Inversión]],6,1)</f>
        <v>4</v>
      </c>
      <c r="U222" s="163" t="str">
        <f>IFERROR(VLOOKUP(N222,TD!$B$50:$F$54,2,0)," ")</f>
        <v>O230117</v>
      </c>
      <c r="V222" s="163" t="str">
        <f>IFERROR(VLOOKUP(N222,TD!$B$50:$F$54,3,0)," ")</f>
        <v>4503</v>
      </c>
      <c r="W222" s="163">
        <f>IFERROR(VLOOKUP(N222,TD!$B$50:$F$54,4,0)," ")</f>
        <v>20240255</v>
      </c>
      <c r="X222" s="162" t="s">
        <v>180</v>
      </c>
      <c r="Y222" s="163" t="str">
        <f>IFERROR(VLOOKUP(X222,TD!$J$51:$K$64,2,0)," ")</f>
        <v>Servicio de apoyo   logístico  en eventos operativos y/o emergencias.</v>
      </c>
      <c r="Z222" s="164" t="str">
        <f>CONCATENATE(X222,"-",Y222)</f>
        <v>12-Servicio de apoyo   logístico  en eventos operativos y/o emergencias.</v>
      </c>
      <c r="AA222" s="162" t="s">
        <v>221</v>
      </c>
      <c r="AB222" s="163" t="str">
        <f>IFERROR(VLOOKUP(AA222,TD!$N$51:$O$66,2,0)," ")</f>
        <v>Servicio de atención a emergencias y desastres</v>
      </c>
      <c r="AC222" s="164" t="str">
        <f>CONCATENATE(AA222,"_",AB222)</f>
        <v>004_Servicio de atención a emergencias y desastres</v>
      </c>
      <c r="AD222" s="164" t="str">
        <f>CONCATENATE(Z222," ",AC222)</f>
        <v>12-Servicio de apoyo   logístico  en eventos operativos y/o emergencias. 004_Servicio de atención a emergencias y desastres</v>
      </c>
      <c r="AE222" s="163" t="str">
        <f>CONCATENATE(U222,V222,W222,X222,AA222)</f>
        <v>O23011745032024025512004</v>
      </c>
      <c r="AF222" s="163" t="str">
        <f>IFERROR(VLOOKUP(AD222,TD!$J$66:$K$89,2,0)," ")</f>
        <v>PM/0131/0112/45030040255</v>
      </c>
      <c r="AG222" s="118" t="s">
        <v>385</v>
      </c>
      <c r="AH222" s="162" t="s">
        <v>193</v>
      </c>
      <c r="AI222" s="165" t="str">
        <f>CONCATENATE(PAA[[#This Row],[Id Interno]],"-",PAA[[#This Row],[tipo de Contrato (TH talento humano - B/S bienes y/o servicios)]],"-",S222,"-",T222,"-",PAA[[#This Row],[Objeto de la contratación]])</f>
        <v>20260200-TH-8173-4-Prestación de servicios profesionales para apoyar en la elaboracion, seguimiento e impulso de la actuaciones procesales en cada una de las etapas para la adquisición de bienes y servicios en el desarrollo de las estrategias de la Subdirección Logística. SBLG.</v>
      </c>
    </row>
    <row r="223" spans="2:35" ht="56" customHeight="1" x14ac:dyDescent="0.35">
      <c r="B223" s="23">
        <v>20260201</v>
      </c>
      <c r="C223" s="99" t="s">
        <v>822</v>
      </c>
      <c r="D223" s="23" t="s">
        <v>105</v>
      </c>
      <c r="E223" s="23" t="s">
        <v>363</v>
      </c>
      <c r="F223" s="159" t="s">
        <v>144</v>
      </c>
      <c r="G223" s="160" t="s">
        <v>373</v>
      </c>
      <c r="H223" s="161">
        <v>5</v>
      </c>
      <c r="I223" s="161">
        <v>0</v>
      </c>
      <c r="J223" s="127">
        <v>35000000</v>
      </c>
      <c r="K223" s="88" t="s">
        <v>398</v>
      </c>
      <c r="L223" s="159" t="s">
        <v>157</v>
      </c>
      <c r="M223" s="162" t="s">
        <v>501</v>
      </c>
      <c r="N223" s="23" t="s">
        <v>198</v>
      </c>
      <c r="O223" s="151" t="s">
        <v>946</v>
      </c>
      <c r="P223" s="159" t="s">
        <v>348</v>
      </c>
      <c r="Q223" s="53">
        <v>80111600</v>
      </c>
      <c r="R223" s="162" t="s">
        <v>213</v>
      </c>
      <c r="S223" s="162" t="str">
        <f>MID(PAA[[#This Row],[Meta Proyecto de Inversión]],1,4)</f>
        <v>8173</v>
      </c>
      <c r="T223" s="162" t="str">
        <f>MID(PAA[[#This Row],[Meta Proyecto de Inversión]],6,1)</f>
        <v>4</v>
      </c>
      <c r="U223" s="163" t="str">
        <f>IFERROR(VLOOKUP(N223,TD!$B$50:$F$54,2,0)," ")</f>
        <v>O230117</v>
      </c>
      <c r="V223" s="163" t="str">
        <f>IFERROR(VLOOKUP(N223,TD!$B$50:$F$54,3,0)," ")</f>
        <v>4503</v>
      </c>
      <c r="W223" s="163">
        <f>IFERROR(VLOOKUP(N223,TD!$B$50:$F$54,4,0)," ")</f>
        <v>20240255</v>
      </c>
      <c r="X223" s="162" t="s">
        <v>180</v>
      </c>
      <c r="Y223" s="163" t="str">
        <f>IFERROR(VLOOKUP(X223,TD!$J$51:$K$64,2,0)," ")</f>
        <v>Servicio de apoyo   logístico  en eventos operativos y/o emergencias.</v>
      </c>
      <c r="Z223" s="164" t="str">
        <f>CONCATENATE(X223,"-",Y223)</f>
        <v>12-Servicio de apoyo   logístico  en eventos operativos y/o emergencias.</v>
      </c>
      <c r="AA223" s="162" t="s">
        <v>221</v>
      </c>
      <c r="AB223" s="163" t="str">
        <f>IFERROR(VLOOKUP(AA223,TD!$N$51:$O$66,2,0)," ")</f>
        <v>Servicio de atención a emergencias y desastres</v>
      </c>
      <c r="AC223" s="164" t="str">
        <f>CONCATENATE(AA223,"_",AB223)</f>
        <v>004_Servicio de atención a emergencias y desastres</v>
      </c>
      <c r="AD223" s="164" t="str">
        <f>CONCATENATE(Z223," ",AC223)</f>
        <v>12-Servicio de apoyo   logístico  en eventos operativos y/o emergencias. 004_Servicio de atención a emergencias y desastres</v>
      </c>
      <c r="AE223" s="163" t="str">
        <f>CONCATENATE(U223,V223,W223,X223,AA223)</f>
        <v>O23011745032024025512004</v>
      </c>
      <c r="AF223" s="163" t="str">
        <f>IFERROR(VLOOKUP(AD223,TD!$J$66:$K$89,2,0)," ")</f>
        <v>PM/0131/0112/45030040255</v>
      </c>
      <c r="AG223" s="118" t="s">
        <v>385</v>
      </c>
      <c r="AH223" s="162" t="s">
        <v>193</v>
      </c>
      <c r="AI223" s="165" t="str">
        <f>CONCATENATE(PAA[[#This Row],[Id Interno]],"-",PAA[[#This Row],[tipo de Contrato (TH talento humano - B/S bienes y/o servicios)]],"-",S223,"-",T223,"-",PAA[[#This Row],[Objeto de la contratación]])</f>
        <v>20260201-TH-8173-4-Prestación de servicios profesionales para apoyar en la elaboración, tramite e impulso de los procesos de contratación en sus diferentes etapas para el desarrollo de las estrategías de la Subdirección Logística - SBLG.</v>
      </c>
    </row>
    <row r="224" spans="2:35" ht="56" x14ac:dyDescent="0.35">
      <c r="B224" s="23">
        <v>20260202</v>
      </c>
      <c r="C224" s="99" t="s">
        <v>823</v>
      </c>
      <c r="D224" s="23" t="s">
        <v>105</v>
      </c>
      <c r="E224" s="23" t="s">
        <v>363</v>
      </c>
      <c r="F224" s="159" t="s">
        <v>144</v>
      </c>
      <c r="G224" s="160" t="s">
        <v>373</v>
      </c>
      <c r="H224" s="161">
        <v>9</v>
      </c>
      <c r="I224" s="161">
        <v>0</v>
      </c>
      <c r="J224" s="127">
        <v>72000000</v>
      </c>
      <c r="K224" s="88" t="s">
        <v>398</v>
      </c>
      <c r="L224" s="159" t="s">
        <v>157</v>
      </c>
      <c r="M224" s="162" t="s">
        <v>501</v>
      </c>
      <c r="N224" s="23" t="s">
        <v>198</v>
      </c>
      <c r="O224" s="151" t="s">
        <v>946</v>
      </c>
      <c r="P224" s="159" t="s">
        <v>348</v>
      </c>
      <c r="Q224" s="53">
        <v>80111600</v>
      </c>
      <c r="R224" s="162" t="s">
        <v>213</v>
      </c>
      <c r="S224" s="162" t="str">
        <f>MID(PAA[[#This Row],[Meta Proyecto de Inversión]],1,4)</f>
        <v>8173</v>
      </c>
      <c r="T224" s="162" t="str">
        <f>MID(PAA[[#This Row],[Meta Proyecto de Inversión]],6,1)</f>
        <v>4</v>
      </c>
      <c r="U224" s="163" t="str">
        <f>IFERROR(VLOOKUP(N224,TD!$B$50:$F$54,2,0)," ")</f>
        <v>O230117</v>
      </c>
      <c r="V224" s="163" t="str">
        <f>IFERROR(VLOOKUP(N224,TD!$B$50:$F$54,3,0)," ")</f>
        <v>4503</v>
      </c>
      <c r="W224" s="163">
        <f>IFERROR(VLOOKUP(N224,TD!$B$50:$F$54,4,0)," ")</f>
        <v>20240255</v>
      </c>
      <c r="X224" s="162" t="s">
        <v>180</v>
      </c>
      <c r="Y224" s="163" t="str">
        <f>IFERROR(VLOOKUP(X224,TD!$J$51:$K$64,2,0)," ")</f>
        <v>Servicio de apoyo   logístico  en eventos operativos y/o emergencias.</v>
      </c>
      <c r="Z224" s="164" t="str">
        <f>CONCATENATE(X224,"-",Y224)</f>
        <v>12-Servicio de apoyo   logístico  en eventos operativos y/o emergencias.</v>
      </c>
      <c r="AA224" s="162" t="s">
        <v>221</v>
      </c>
      <c r="AB224" s="163" t="str">
        <f>IFERROR(VLOOKUP(AA224,TD!$N$51:$O$66,2,0)," ")</f>
        <v>Servicio de atención a emergencias y desastres</v>
      </c>
      <c r="AC224" s="164" t="str">
        <f>CONCATENATE(AA224,"_",AB224)</f>
        <v>004_Servicio de atención a emergencias y desastres</v>
      </c>
      <c r="AD224" s="164" t="str">
        <f>CONCATENATE(Z224," ",AC224)</f>
        <v>12-Servicio de apoyo   logístico  en eventos operativos y/o emergencias. 004_Servicio de atención a emergencias y desastres</v>
      </c>
      <c r="AE224" s="163" t="str">
        <f>CONCATENATE(U224,V224,W224,X224,AA224)</f>
        <v>O23011745032024025512004</v>
      </c>
      <c r="AF224" s="163" t="str">
        <f>IFERROR(VLOOKUP(AD224,TD!$J$66:$K$89,2,0)," ")</f>
        <v>PM/0131/0112/45030040255</v>
      </c>
      <c r="AG224" s="118" t="s">
        <v>385</v>
      </c>
      <c r="AH224" s="162" t="s">
        <v>193</v>
      </c>
      <c r="AI224" s="165" t="str">
        <f>CONCATENATE(PAA[[#This Row],[Id Interno]],"-",PAA[[#This Row],[tipo de Contrato (TH talento humano - B/S bienes y/o servicios)]],"-",S224,"-",T224,"-",PAA[[#This Row],[Objeto de la contratación]])</f>
        <v>20260202-TH-8173-4-Prestación de servicios profesionales, para apoyar la estructuración y elaboración de los asuntos contractuales en sus diferentes etapas en la adquisicion de bienes y servicios para el desarrollo de las estrategías de la Subdirección Logística.- SBLG</v>
      </c>
    </row>
    <row r="225" spans="2:35" ht="56" customHeight="1" x14ac:dyDescent="0.35">
      <c r="B225" s="23">
        <v>20260203</v>
      </c>
      <c r="C225" s="99" t="s">
        <v>940</v>
      </c>
      <c r="D225" s="23" t="s">
        <v>105</v>
      </c>
      <c r="E225" s="23" t="s">
        <v>363</v>
      </c>
      <c r="F225" s="159" t="s">
        <v>144</v>
      </c>
      <c r="G225" s="160" t="s">
        <v>373</v>
      </c>
      <c r="H225" s="161">
        <v>9</v>
      </c>
      <c r="I225" s="161">
        <v>0</v>
      </c>
      <c r="J225" s="127">
        <v>45000000</v>
      </c>
      <c r="K225" s="88" t="s">
        <v>398</v>
      </c>
      <c r="L225" s="159" t="s">
        <v>157</v>
      </c>
      <c r="M225" s="162" t="s">
        <v>501</v>
      </c>
      <c r="N225" s="23" t="s">
        <v>198</v>
      </c>
      <c r="O225" s="151" t="s">
        <v>946</v>
      </c>
      <c r="P225" s="159" t="s">
        <v>348</v>
      </c>
      <c r="Q225" s="53">
        <v>80111600</v>
      </c>
      <c r="R225" s="162" t="s">
        <v>213</v>
      </c>
      <c r="S225" s="162" t="str">
        <f>MID(PAA[[#This Row],[Meta Proyecto de Inversión]],1,4)</f>
        <v>8173</v>
      </c>
      <c r="T225" s="162" t="str">
        <f>MID(PAA[[#This Row],[Meta Proyecto de Inversión]],6,1)</f>
        <v>4</v>
      </c>
      <c r="U225" s="163" t="str">
        <f>IFERROR(VLOOKUP(N225,TD!$B$50:$F$54,2,0)," ")</f>
        <v>O230117</v>
      </c>
      <c r="V225" s="163" t="str">
        <f>IFERROR(VLOOKUP(N225,TD!$B$50:$F$54,3,0)," ")</f>
        <v>4503</v>
      </c>
      <c r="W225" s="163">
        <f>IFERROR(VLOOKUP(N225,TD!$B$50:$F$54,4,0)," ")</f>
        <v>20240255</v>
      </c>
      <c r="X225" s="162" t="s">
        <v>180</v>
      </c>
      <c r="Y225" s="163" t="str">
        <f>IFERROR(VLOOKUP(X225,TD!$J$51:$K$64,2,0)," ")</f>
        <v>Servicio de apoyo   logístico  en eventos operativos y/o emergencias.</v>
      </c>
      <c r="Z225" s="164" t="str">
        <f>CONCATENATE(X225,"-",Y225)</f>
        <v>12-Servicio de apoyo   logístico  en eventos operativos y/o emergencias.</v>
      </c>
      <c r="AA225" s="162" t="s">
        <v>221</v>
      </c>
      <c r="AB225" s="163" t="str">
        <f>IFERROR(VLOOKUP(AA225,TD!$N$51:$O$66,2,0)," ")</f>
        <v>Servicio de atención a emergencias y desastres</v>
      </c>
      <c r="AC225" s="164" t="str">
        <f>CONCATENATE(AA225,"_",AB225)</f>
        <v>004_Servicio de atención a emergencias y desastres</v>
      </c>
      <c r="AD225" s="164" t="str">
        <f>CONCATENATE(Z225," ",AC225)</f>
        <v>12-Servicio de apoyo   logístico  en eventos operativos y/o emergencias. 004_Servicio de atención a emergencias y desastres</v>
      </c>
      <c r="AE225" s="163" t="str">
        <f>CONCATENATE(U225,V225,W225,X225,AA225)</f>
        <v>O23011745032024025512004</v>
      </c>
      <c r="AF225" s="163" t="str">
        <f>IFERROR(VLOOKUP(AD225,TD!$J$66:$K$89,2,0)," ")</f>
        <v>PM/0131/0112/45030040255</v>
      </c>
      <c r="AG225" s="118" t="s">
        <v>385</v>
      </c>
      <c r="AH225" s="162" t="s">
        <v>193</v>
      </c>
      <c r="AI225" s="165" t="str">
        <f>CONCATENATE(PAA[[#This Row],[Id Interno]],"-",PAA[[#This Row],[tipo de Contrato (TH talento humano - B/S bienes y/o servicios)]],"-",S225,"-",T225,"-",PAA[[#This Row],[Objeto de la contratación]])</f>
        <v>20260203-TH-8173-4-Prestación de servicios profesionales de carácter jurídico para apoyar la gestión administrativa y la adquisición de bienes y servicios para el desarrollo de las estrategias de la Subdirección Logística. -SBLG</v>
      </c>
    </row>
    <row r="226" spans="2:35" ht="56" x14ac:dyDescent="0.35">
      <c r="B226" s="23">
        <v>20260204</v>
      </c>
      <c r="C226" s="99" t="s">
        <v>824</v>
      </c>
      <c r="D226" s="23" t="s">
        <v>105</v>
      </c>
      <c r="E226" s="23" t="s">
        <v>363</v>
      </c>
      <c r="F226" s="159" t="s">
        <v>144</v>
      </c>
      <c r="G226" s="160" t="s">
        <v>373</v>
      </c>
      <c r="H226" s="161">
        <v>11</v>
      </c>
      <c r="I226" s="161">
        <v>0</v>
      </c>
      <c r="J226" s="127">
        <v>120917000</v>
      </c>
      <c r="K226" s="88" t="s">
        <v>398</v>
      </c>
      <c r="L226" s="159" t="s">
        <v>157</v>
      </c>
      <c r="M226" s="162" t="s">
        <v>501</v>
      </c>
      <c r="N226" s="23" t="s">
        <v>198</v>
      </c>
      <c r="O226" s="151" t="s">
        <v>946</v>
      </c>
      <c r="P226" s="159" t="s">
        <v>348</v>
      </c>
      <c r="Q226" s="53">
        <v>80111600</v>
      </c>
      <c r="R226" s="162" t="s">
        <v>213</v>
      </c>
      <c r="S226" s="162" t="str">
        <f>MID(PAA[[#This Row],[Meta Proyecto de Inversión]],1,4)</f>
        <v>8173</v>
      </c>
      <c r="T226" s="162" t="str">
        <f>MID(PAA[[#This Row],[Meta Proyecto de Inversión]],6,1)</f>
        <v>4</v>
      </c>
      <c r="U226" s="163" t="str">
        <f>IFERROR(VLOOKUP(N226,TD!$B$50:$F$54,2,0)," ")</f>
        <v>O230117</v>
      </c>
      <c r="V226" s="163" t="str">
        <f>IFERROR(VLOOKUP(N226,TD!$B$50:$F$54,3,0)," ")</f>
        <v>4503</v>
      </c>
      <c r="W226" s="163">
        <f>IFERROR(VLOOKUP(N226,TD!$B$50:$F$54,4,0)," ")</f>
        <v>20240255</v>
      </c>
      <c r="X226" s="162" t="s">
        <v>180</v>
      </c>
      <c r="Y226" s="163" t="str">
        <f>IFERROR(VLOOKUP(X226,TD!$J$51:$K$64,2,0)," ")</f>
        <v>Servicio de apoyo   logístico  en eventos operativos y/o emergencias.</v>
      </c>
      <c r="Z226" s="164" t="str">
        <f>CONCATENATE(X226,"-",Y226)</f>
        <v>12-Servicio de apoyo   logístico  en eventos operativos y/o emergencias.</v>
      </c>
      <c r="AA226" s="162" t="s">
        <v>221</v>
      </c>
      <c r="AB226" s="163" t="str">
        <f>IFERROR(VLOOKUP(AA226,TD!$N$51:$O$66,2,0)," ")</f>
        <v>Servicio de atención a emergencias y desastres</v>
      </c>
      <c r="AC226" s="164" t="str">
        <f>CONCATENATE(AA226,"_",AB226)</f>
        <v>004_Servicio de atención a emergencias y desastres</v>
      </c>
      <c r="AD226" s="164" t="str">
        <f>CONCATENATE(Z226," ",AC226)</f>
        <v>12-Servicio de apoyo   logístico  en eventos operativos y/o emergencias. 004_Servicio de atención a emergencias y desastres</v>
      </c>
      <c r="AE226" s="163" t="str">
        <f>CONCATENATE(U226,V226,W226,X226,AA226)</f>
        <v>O23011745032024025512004</v>
      </c>
      <c r="AF226" s="163" t="str">
        <f>IFERROR(VLOOKUP(AD226,TD!$J$66:$K$89,2,0)," ")</f>
        <v>PM/0131/0112/45030040255</v>
      </c>
      <c r="AG226" s="118" t="s">
        <v>385</v>
      </c>
      <c r="AH226" s="162" t="s">
        <v>193</v>
      </c>
      <c r="AI226" s="165" t="str">
        <f>CONCATENATE(PAA[[#This Row],[Id Interno]],"-",PAA[[#This Row],[tipo de Contrato (TH talento humano - B/S bienes y/o servicios)]],"-",S226,"-",T226,"-",PAA[[#This Row],[Objeto de la contratación]])</f>
        <v>20260204-TH-8173-4-Prestar servicios profesionales para apoyar el seguimiento y garantizar la adecuada ejecución presupuestal y financiera de los diferentes planes, programas, proyectos administrativos y financieros a cargo de la Subdirección Logística- SBLG</v>
      </c>
    </row>
    <row r="227" spans="2:35" ht="70" x14ac:dyDescent="0.35">
      <c r="B227" s="23">
        <v>20260205</v>
      </c>
      <c r="C227" s="99" t="s">
        <v>653</v>
      </c>
      <c r="D227" s="23" t="s">
        <v>105</v>
      </c>
      <c r="E227" s="23" t="s">
        <v>363</v>
      </c>
      <c r="F227" s="159" t="s">
        <v>144</v>
      </c>
      <c r="G227" s="160" t="s">
        <v>373</v>
      </c>
      <c r="H227" s="161">
        <v>9</v>
      </c>
      <c r="I227" s="161">
        <v>0</v>
      </c>
      <c r="J227" s="127">
        <v>40500000</v>
      </c>
      <c r="K227" s="88" t="s">
        <v>398</v>
      </c>
      <c r="L227" s="159" t="s">
        <v>157</v>
      </c>
      <c r="M227" s="162" t="s">
        <v>501</v>
      </c>
      <c r="N227" s="23" t="s">
        <v>198</v>
      </c>
      <c r="O227" s="151" t="s">
        <v>946</v>
      </c>
      <c r="P227" s="159" t="s">
        <v>348</v>
      </c>
      <c r="Q227" s="53">
        <v>80111600</v>
      </c>
      <c r="R227" s="162" t="s">
        <v>213</v>
      </c>
      <c r="S227" s="162" t="str">
        <f>MID(PAA[[#This Row],[Meta Proyecto de Inversión]],1,4)</f>
        <v>8173</v>
      </c>
      <c r="T227" s="162" t="str">
        <f>MID(PAA[[#This Row],[Meta Proyecto de Inversión]],6,1)</f>
        <v>4</v>
      </c>
      <c r="U227" s="163" t="str">
        <f>IFERROR(VLOOKUP(N227,TD!$B$50:$F$54,2,0)," ")</f>
        <v>O230117</v>
      </c>
      <c r="V227" s="163" t="str">
        <f>IFERROR(VLOOKUP(N227,TD!$B$50:$F$54,3,0)," ")</f>
        <v>4503</v>
      </c>
      <c r="W227" s="163">
        <f>IFERROR(VLOOKUP(N227,TD!$B$50:$F$54,4,0)," ")</f>
        <v>20240255</v>
      </c>
      <c r="X227" s="162" t="s">
        <v>180</v>
      </c>
      <c r="Y227" s="163" t="str">
        <f>IFERROR(VLOOKUP(X227,TD!$J$51:$K$64,2,0)," ")</f>
        <v>Servicio de apoyo   logístico  en eventos operativos y/o emergencias.</v>
      </c>
      <c r="Z227" s="164" t="str">
        <f>CONCATENATE(X227,"-",Y227)</f>
        <v>12-Servicio de apoyo   logístico  en eventos operativos y/o emergencias.</v>
      </c>
      <c r="AA227" s="162" t="s">
        <v>221</v>
      </c>
      <c r="AB227" s="163" t="str">
        <f>IFERROR(VLOOKUP(AA227,TD!$N$51:$O$66,2,0)," ")</f>
        <v>Servicio de atención a emergencias y desastres</v>
      </c>
      <c r="AC227" s="164" t="str">
        <f>CONCATENATE(AA227,"_",AB227)</f>
        <v>004_Servicio de atención a emergencias y desastres</v>
      </c>
      <c r="AD227" s="164" t="str">
        <f>CONCATENATE(Z227," ",AC227)</f>
        <v>12-Servicio de apoyo   logístico  en eventos operativos y/o emergencias. 004_Servicio de atención a emergencias y desastres</v>
      </c>
      <c r="AE227" s="163" t="str">
        <f>CONCATENATE(U227,V227,W227,X227,AA227)</f>
        <v>O23011745032024025512004</v>
      </c>
      <c r="AF227" s="163" t="str">
        <f>IFERROR(VLOOKUP(AD227,TD!$J$66:$K$89,2,0)," ")</f>
        <v>PM/0131/0112/45030040255</v>
      </c>
      <c r="AG227" s="118" t="s">
        <v>385</v>
      </c>
      <c r="AH227" s="162" t="s">
        <v>193</v>
      </c>
      <c r="AI227" s="165" t="str">
        <f>CONCATENATE(PAA[[#This Row],[Id Interno]],"-",PAA[[#This Row],[tipo de Contrato (TH talento humano - B/S bienes y/o servicios)]],"-",S227,"-",T227,"-",PAA[[#This Row],[Objeto de la contratación]])</f>
        <v>20260205-TH-8173-4-Prestar los servicios profesionales para la gestión, financiera de los proyectos y procesos para el fortalecimiento de las estrategías de la Subdirección Logística - SBLG.</v>
      </c>
    </row>
    <row r="228" spans="2:35" ht="56" customHeight="1" x14ac:dyDescent="0.3">
      <c r="B228" s="23">
        <v>20260206</v>
      </c>
      <c r="C228" s="146" t="s">
        <v>941</v>
      </c>
      <c r="D228" s="23" t="s">
        <v>105</v>
      </c>
      <c r="E228" s="23" t="s">
        <v>363</v>
      </c>
      <c r="F228" s="159" t="s">
        <v>144</v>
      </c>
      <c r="G228" s="160" t="s">
        <v>373</v>
      </c>
      <c r="H228" s="161">
        <v>7</v>
      </c>
      <c r="I228" s="161">
        <v>15</v>
      </c>
      <c r="J228" s="127">
        <v>45000000</v>
      </c>
      <c r="K228" s="88" t="s">
        <v>398</v>
      </c>
      <c r="L228" s="159" t="s">
        <v>157</v>
      </c>
      <c r="M228" s="162" t="s">
        <v>501</v>
      </c>
      <c r="N228" s="23" t="s">
        <v>198</v>
      </c>
      <c r="O228" s="151" t="s">
        <v>946</v>
      </c>
      <c r="P228" s="159" t="s">
        <v>348</v>
      </c>
      <c r="Q228" s="53">
        <v>80111600</v>
      </c>
      <c r="R228" s="162" t="s">
        <v>213</v>
      </c>
      <c r="S228" s="162" t="str">
        <f>MID(PAA[[#This Row],[Meta Proyecto de Inversión]],1,4)</f>
        <v>8173</v>
      </c>
      <c r="T228" s="162" t="str">
        <f>MID(PAA[[#This Row],[Meta Proyecto de Inversión]],6,1)</f>
        <v>4</v>
      </c>
      <c r="U228" s="163" t="str">
        <f>IFERROR(VLOOKUP(N228,TD!$B$50:$F$54,2,0)," ")</f>
        <v>O230117</v>
      </c>
      <c r="V228" s="163" t="str">
        <f>IFERROR(VLOOKUP(N228,TD!$B$50:$F$54,3,0)," ")</f>
        <v>4503</v>
      </c>
      <c r="W228" s="163">
        <f>IFERROR(VLOOKUP(N228,TD!$B$50:$F$54,4,0)," ")</f>
        <v>20240255</v>
      </c>
      <c r="X228" s="162" t="s">
        <v>180</v>
      </c>
      <c r="Y228" s="163" t="str">
        <f>IFERROR(VLOOKUP(X228,TD!$J$51:$K$64,2,0)," ")</f>
        <v>Servicio de apoyo   logístico  en eventos operativos y/o emergencias.</v>
      </c>
      <c r="Z228" s="164" t="str">
        <f>CONCATENATE(X228,"-",Y228)</f>
        <v>12-Servicio de apoyo   logístico  en eventos operativos y/o emergencias.</v>
      </c>
      <c r="AA228" s="162" t="s">
        <v>221</v>
      </c>
      <c r="AB228" s="163" t="str">
        <f>IFERROR(VLOOKUP(AA228,TD!$N$51:$O$66,2,0)," ")</f>
        <v>Servicio de atención a emergencias y desastres</v>
      </c>
      <c r="AC228" s="164" t="str">
        <f>CONCATENATE(AA228,"_",AB228)</f>
        <v>004_Servicio de atención a emergencias y desastres</v>
      </c>
      <c r="AD228" s="164" t="str">
        <f>CONCATENATE(Z228," ",AC228)</f>
        <v>12-Servicio de apoyo   logístico  en eventos operativos y/o emergencias. 004_Servicio de atención a emergencias y desastres</v>
      </c>
      <c r="AE228" s="163" t="str">
        <f>CONCATENATE(U228,V228,W228,X228,AA228)</f>
        <v>O23011745032024025512004</v>
      </c>
      <c r="AF228" s="163" t="str">
        <f>IFERROR(VLOOKUP(AD228,TD!$J$66:$K$89,2,0)," ")</f>
        <v>PM/0131/0112/45030040255</v>
      </c>
      <c r="AG228" s="118" t="s">
        <v>385</v>
      </c>
      <c r="AH228" s="162" t="s">
        <v>193</v>
      </c>
      <c r="AI228" s="165" t="str">
        <f>CONCATENATE(PAA[[#This Row],[Id Interno]],"-",PAA[[#This Row],[tipo de Contrato (TH talento humano - B/S bienes y/o servicios)]],"-",S228,"-",T228,"-",PAA[[#This Row],[Objeto de la contratación]])</f>
        <v>20260206-TH-8173-4-Prestación de servicios profesionales para apoyar la gestión financiera y presupuestal de los proyectos, planes y estrategias a cargo de la Subdirección Logística - SBLG</v>
      </c>
    </row>
    <row r="229" spans="2:35" ht="70" customHeight="1" x14ac:dyDescent="0.35">
      <c r="B229" s="23">
        <v>20260207</v>
      </c>
      <c r="C229" s="99" t="s">
        <v>654</v>
      </c>
      <c r="D229" s="23" t="s">
        <v>105</v>
      </c>
      <c r="E229" s="23" t="s">
        <v>363</v>
      </c>
      <c r="F229" s="159" t="s">
        <v>145</v>
      </c>
      <c r="G229" s="160" t="s">
        <v>373</v>
      </c>
      <c r="H229" s="161">
        <v>7</v>
      </c>
      <c r="I229" s="161">
        <v>15</v>
      </c>
      <c r="J229" s="127">
        <v>30000000</v>
      </c>
      <c r="K229" s="88" t="s">
        <v>398</v>
      </c>
      <c r="L229" s="159" t="s">
        <v>157</v>
      </c>
      <c r="M229" s="162" t="s">
        <v>501</v>
      </c>
      <c r="N229" s="23" t="s">
        <v>198</v>
      </c>
      <c r="O229" s="151" t="s">
        <v>946</v>
      </c>
      <c r="P229" s="159" t="s">
        <v>348</v>
      </c>
      <c r="Q229" s="53">
        <v>80111600</v>
      </c>
      <c r="R229" s="162" t="s">
        <v>213</v>
      </c>
      <c r="S229" s="162" t="str">
        <f>MID(PAA[[#This Row],[Meta Proyecto de Inversión]],1,4)</f>
        <v>8173</v>
      </c>
      <c r="T229" s="162" t="str">
        <f>MID(PAA[[#This Row],[Meta Proyecto de Inversión]],6,1)</f>
        <v>4</v>
      </c>
      <c r="U229" s="163" t="str">
        <f>IFERROR(VLOOKUP(N229,TD!$B$50:$F$54,2,0)," ")</f>
        <v>O230117</v>
      </c>
      <c r="V229" s="163" t="str">
        <f>IFERROR(VLOOKUP(N229,TD!$B$50:$F$54,3,0)," ")</f>
        <v>4503</v>
      </c>
      <c r="W229" s="163">
        <f>IFERROR(VLOOKUP(N229,TD!$B$50:$F$54,4,0)," ")</f>
        <v>20240255</v>
      </c>
      <c r="X229" s="162" t="s">
        <v>180</v>
      </c>
      <c r="Y229" s="163" t="str">
        <f>IFERROR(VLOOKUP(X229,TD!$J$51:$K$64,2,0)," ")</f>
        <v>Servicio de apoyo   logístico  en eventos operativos y/o emergencias.</v>
      </c>
      <c r="Z229" s="164" t="str">
        <f>CONCATENATE(X229,"-",Y229)</f>
        <v>12-Servicio de apoyo   logístico  en eventos operativos y/o emergencias.</v>
      </c>
      <c r="AA229" s="166" t="s">
        <v>221</v>
      </c>
      <c r="AB229" s="163" t="str">
        <f>IFERROR(VLOOKUP(AA229,TD!$N$51:$O$66,2,0)," ")</f>
        <v>Servicio de atención a emergencias y desastres</v>
      </c>
      <c r="AC229" s="164" t="str">
        <f>CONCATENATE(AA229,"_",AB229)</f>
        <v>004_Servicio de atención a emergencias y desastres</v>
      </c>
      <c r="AD229" s="164" t="str">
        <f>CONCATENATE(Z229," ",AC229)</f>
        <v>12-Servicio de apoyo   logístico  en eventos operativos y/o emergencias. 004_Servicio de atención a emergencias y desastres</v>
      </c>
      <c r="AE229" s="163" t="str">
        <f>CONCATENATE(U229,V229,W229,X229,AA229)</f>
        <v>O23011745032024025512004</v>
      </c>
      <c r="AF229" s="163" t="str">
        <f>IFERROR(VLOOKUP(AD229,TD!$J$66:$K$89,2,0)," ")</f>
        <v>PM/0131/0112/45030040255</v>
      </c>
      <c r="AG229" s="118" t="s">
        <v>385</v>
      </c>
      <c r="AH229" s="162" t="s">
        <v>193</v>
      </c>
      <c r="AI229" s="165" t="str">
        <f>CONCATENATE(PAA[[#This Row],[Id Interno]],"-",PAA[[#This Row],[tipo de Contrato (TH talento humano - B/S bienes y/o servicios)]],"-",S229,"-",T229,"-",PAA[[#This Row],[Objeto de la contratación]])</f>
        <v>20260207-TH-8173-4-Prestar servicios de apoyo técnico en asuntos administrativos, financieros, documentales y emisión de informes para el desarrollo de las estrategías de la Subdireccion Logística-SBLG</v>
      </c>
    </row>
    <row r="230" spans="2:35" ht="56" customHeight="1" x14ac:dyDescent="0.35">
      <c r="B230" s="23">
        <v>20260208</v>
      </c>
      <c r="C230" s="99" t="s">
        <v>825</v>
      </c>
      <c r="D230" s="23" t="s">
        <v>105</v>
      </c>
      <c r="E230" s="23" t="s">
        <v>363</v>
      </c>
      <c r="F230" s="159" t="s">
        <v>144</v>
      </c>
      <c r="G230" s="160" t="s">
        <v>373</v>
      </c>
      <c r="H230" s="161">
        <v>10</v>
      </c>
      <c r="I230" s="161">
        <v>0</v>
      </c>
      <c r="J230" s="127">
        <v>68000000</v>
      </c>
      <c r="K230" s="88" t="s">
        <v>398</v>
      </c>
      <c r="L230" s="159" t="s">
        <v>157</v>
      </c>
      <c r="M230" s="162" t="s">
        <v>501</v>
      </c>
      <c r="N230" s="23" t="s">
        <v>198</v>
      </c>
      <c r="O230" s="151" t="s">
        <v>946</v>
      </c>
      <c r="P230" s="159" t="s">
        <v>348</v>
      </c>
      <c r="Q230" s="53">
        <v>80111600</v>
      </c>
      <c r="R230" s="162" t="s">
        <v>213</v>
      </c>
      <c r="S230" s="162" t="str">
        <f>MID(PAA[[#This Row],[Meta Proyecto de Inversión]],1,4)</f>
        <v>8173</v>
      </c>
      <c r="T230" s="162" t="str">
        <f>MID(PAA[[#This Row],[Meta Proyecto de Inversión]],6,1)</f>
        <v>4</v>
      </c>
      <c r="U230" s="163" t="str">
        <f>IFERROR(VLOOKUP(N230,TD!$B$50:$F$54,2,0)," ")</f>
        <v>O230117</v>
      </c>
      <c r="V230" s="163" t="str">
        <f>IFERROR(VLOOKUP(N230,TD!$B$50:$F$54,3,0)," ")</f>
        <v>4503</v>
      </c>
      <c r="W230" s="163">
        <f>IFERROR(VLOOKUP(N230,TD!$B$50:$F$54,4,0)," ")</f>
        <v>20240255</v>
      </c>
      <c r="X230" s="162" t="s">
        <v>180</v>
      </c>
      <c r="Y230" s="163" t="str">
        <f>IFERROR(VLOOKUP(X230,TD!$J$51:$K$64,2,0)," ")</f>
        <v>Servicio de apoyo   logístico  en eventos operativos y/o emergencias.</v>
      </c>
      <c r="Z230" s="164" t="str">
        <f>CONCATENATE(X230,"-",Y230)</f>
        <v>12-Servicio de apoyo   logístico  en eventos operativos y/o emergencias.</v>
      </c>
      <c r="AA230" s="162" t="s">
        <v>221</v>
      </c>
      <c r="AB230" s="163" t="str">
        <f>IFERROR(VLOOKUP(AA230,TD!$N$51:$O$66,2,0)," ")</f>
        <v>Servicio de atención a emergencias y desastres</v>
      </c>
      <c r="AC230" s="164" t="str">
        <f>CONCATENATE(AA230,"_",AB230)</f>
        <v>004_Servicio de atención a emergencias y desastres</v>
      </c>
      <c r="AD230" s="164" t="str">
        <f>CONCATENATE(Z230," ",AC230)</f>
        <v>12-Servicio de apoyo   logístico  en eventos operativos y/o emergencias. 004_Servicio de atención a emergencias y desastres</v>
      </c>
      <c r="AE230" s="163" t="str">
        <f>CONCATENATE(U230,V230,W230,X230,AA230)</f>
        <v>O23011745032024025512004</v>
      </c>
      <c r="AF230" s="163" t="str">
        <f>IFERROR(VLOOKUP(AD230,TD!$J$66:$K$89,2,0)," ")</f>
        <v>PM/0131/0112/45030040255</v>
      </c>
      <c r="AG230" s="118" t="s">
        <v>385</v>
      </c>
      <c r="AH230" s="162" t="s">
        <v>193</v>
      </c>
      <c r="AI230" s="165" t="str">
        <f>CONCATENATE(PAA[[#This Row],[Id Interno]],"-",PAA[[#This Row],[tipo de Contrato (TH talento humano - B/S bienes y/o servicios)]],"-",S230,"-",T230,"-",PAA[[#This Row],[Objeto de la contratación]])</f>
        <v>20260208-TH-8173-4-Prestar servicios profesionales para realizar el seguimiento, revisión y validación de los asuntos presupuestales, financieros y administrativos necesarios para la gestión de pagos de los contratos a cargo de la subdirección logística. - SBLG</v>
      </c>
    </row>
    <row r="231" spans="2:35" ht="56" customHeight="1" x14ac:dyDescent="0.35">
      <c r="B231" s="23">
        <v>20260209</v>
      </c>
      <c r="C231" s="99" t="s">
        <v>525</v>
      </c>
      <c r="D231" s="23" t="s">
        <v>105</v>
      </c>
      <c r="E231" s="23" t="s">
        <v>363</v>
      </c>
      <c r="F231" s="159" t="s">
        <v>144</v>
      </c>
      <c r="G231" s="160" t="s">
        <v>373</v>
      </c>
      <c r="H231" s="161">
        <v>10</v>
      </c>
      <c r="I231" s="161">
        <v>0</v>
      </c>
      <c r="J231" s="127">
        <v>93000000</v>
      </c>
      <c r="K231" s="88" t="s">
        <v>398</v>
      </c>
      <c r="L231" s="159" t="s">
        <v>157</v>
      </c>
      <c r="M231" s="162" t="s">
        <v>501</v>
      </c>
      <c r="N231" s="23" t="s">
        <v>198</v>
      </c>
      <c r="O231" s="151" t="s">
        <v>946</v>
      </c>
      <c r="P231" s="159" t="s">
        <v>348</v>
      </c>
      <c r="Q231" s="53">
        <v>80111600</v>
      </c>
      <c r="R231" s="162" t="s">
        <v>213</v>
      </c>
      <c r="S231" s="162" t="str">
        <f>MID(PAA[[#This Row],[Meta Proyecto de Inversión]],1,4)</f>
        <v>8173</v>
      </c>
      <c r="T231" s="162" t="str">
        <f>MID(PAA[[#This Row],[Meta Proyecto de Inversión]],6,1)</f>
        <v>4</v>
      </c>
      <c r="U231" s="163" t="str">
        <f>IFERROR(VLOOKUP(N231,TD!$B$50:$F$54,2,0)," ")</f>
        <v>O230117</v>
      </c>
      <c r="V231" s="163" t="str">
        <f>IFERROR(VLOOKUP(N231,TD!$B$50:$F$54,3,0)," ")</f>
        <v>4503</v>
      </c>
      <c r="W231" s="163">
        <f>IFERROR(VLOOKUP(N231,TD!$B$50:$F$54,4,0)," ")</f>
        <v>20240255</v>
      </c>
      <c r="X231" s="162" t="s">
        <v>176</v>
      </c>
      <c r="Y231" s="163" t="str">
        <f>IFERROR(VLOOKUP(X231,TD!$J$51:$K$64,2,0)," ")</f>
        <v>Servicio de mantenimiento, dotación (HEA´s y equipo menor) y adquisición de vehiculos   especializados para la atención de emergencias.</v>
      </c>
      <c r="Z231" s="164" t="str">
        <f>CONCATENATE(X231,"-",Y231)</f>
        <v>09-Servicio de mantenimiento, dotación (HEA´s y equipo menor) y adquisición de vehiculos   especializados para la atención de emergencias.</v>
      </c>
      <c r="AA231" s="162" t="s">
        <v>221</v>
      </c>
      <c r="AB231" s="163" t="str">
        <f>IFERROR(VLOOKUP(AA231,TD!$N$51:$O$66,2,0)," ")</f>
        <v>Servicio de atención a emergencias y desastres</v>
      </c>
      <c r="AC231" s="164" t="str">
        <f>CONCATENATE(AA231,"_",AB231)</f>
        <v>004_Servicio de atención a emergencias y desastres</v>
      </c>
      <c r="AD231" s="164" t="str">
        <f>CONCATENATE(Z231," ",AC231)</f>
        <v>09-Servicio de mantenimiento, dotación (HEA´s y equipo menor) y adquisición de vehiculos   especializados para la atención de emergencias. 004_Servicio de atención a emergencias y desastres</v>
      </c>
      <c r="AE231" s="163" t="str">
        <f>CONCATENATE(U231,V231,W231,X231,AA231)</f>
        <v>O23011745032024025509004</v>
      </c>
      <c r="AF231" s="163" t="str">
        <f>IFERROR(VLOOKUP(AD231,TD!$J$66:$K$89,2,0)," ")</f>
        <v>PM/0131/0109/45030040255</v>
      </c>
      <c r="AG231" s="118" t="s">
        <v>385</v>
      </c>
      <c r="AH231" s="162" t="s">
        <v>193</v>
      </c>
      <c r="AI231" s="165" t="str">
        <f>CONCATENATE(PAA[[#This Row],[Id Interno]],"-",PAA[[#This Row],[tipo de Contrato (TH talento humano - B/S bienes y/o servicios)]],"-",S231,"-",T231,"-",PAA[[#This Row],[Objeto de la contratación]])</f>
        <v>20260209-TH-8173-4-Prestación de servicios profesionales para la gestión, seguimiento y control administrativo, técnico y operativo del proceso de mantenimiento del parque automotor a cargo de la Subdirección Logística - SBLG.</v>
      </c>
    </row>
    <row r="232" spans="2:35" ht="56" x14ac:dyDescent="0.35">
      <c r="B232" s="23">
        <v>20260210</v>
      </c>
      <c r="C232" s="99" t="s">
        <v>525</v>
      </c>
      <c r="D232" s="23" t="s">
        <v>105</v>
      </c>
      <c r="E232" s="23" t="s">
        <v>363</v>
      </c>
      <c r="F232" s="159" t="s">
        <v>144</v>
      </c>
      <c r="G232" s="160" t="s">
        <v>373</v>
      </c>
      <c r="H232" s="161">
        <v>9</v>
      </c>
      <c r="I232" s="161">
        <v>0</v>
      </c>
      <c r="J232" s="127">
        <v>72000000</v>
      </c>
      <c r="K232" s="88" t="s">
        <v>398</v>
      </c>
      <c r="L232" s="159" t="s">
        <v>157</v>
      </c>
      <c r="M232" s="162" t="s">
        <v>501</v>
      </c>
      <c r="N232" s="23" t="s">
        <v>198</v>
      </c>
      <c r="O232" s="151" t="s">
        <v>946</v>
      </c>
      <c r="P232" s="159" t="s">
        <v>348</v>
      </c>
      <c r="Q232" s="53">
        <v>80111600</v>
      </c>
      <c r="R232" s="162" t="s">
        <v>213</v>
      </c>
      <c r="S232" s="162" t="str">
        <f>MID(PAA[[#This Row],[Meta Proyecto de Inversión]],1,4)</f>
        <v>8173</v>
      </c>
      <c r="T232" s="162" t="str">
        <f>MID(PAA[[#This Row],[Meta Proyecto de Inversión]],6,1)</f>
        <v>4</v>
      </c>
      <c r="U232" s="163" t="str">
        <f>IFERROR(VLOOKUP(N232,TD!$B$50:$F$54,2,0)," ")</f>
        <v>O230117</v>
      </c>
      <c r="V232" s="163" t="str">
        <f>IFERROR(VLOOKUP(N232,TD!$B$50:$F$54,3,0)," ")</f>
        <v>4503</v>
      </c>
      <c r="W232" s="163">
        <f>IFERROR(VLOOKUP(N232,TD!$B$50:$F$54,4,0)," ")</f>
        <v>20240255</v>
      </c>
      <c r="X232" s="162" t="s">
        <v>176</v>
      </c>
      <c r="Y232" s="163" t="str">
        <f>IFERROR(VLOOKUP(X232,TD!$J$51:$K$64,2,0)," ")</f>
        <v>Servicio de mantenimiento, dotación (HEA´s y equipo menor) y adquisición de vehiculos   especializados para la atención de emergencias.</v>
      </c>
      <c r="Z232" s="164" t="str">
        <f>CONCATENATE(X232,"-",Y232)</f>
        <v>09-Servicio de mantenimiento, dotación (HEA´s y equipo menor) y adquisición de vehiculos   especializados para la atención de emergencias.</v>
      </c>
      <c r="AA232" s="162" t="s">
        <v>221</v>
      </c>
      <c r="AB232" s="163" t="str">
        <f>IFERROR(VLOOKUP(AA232,TD!$N$51:$O$66,2,0)," ")</f>
        <v>Servicio de atención a emergencias y desastres</v>
      </c>
      <c r="AC232" s="164" t="str">
        <f>CONCATENATE(AA232,"_",AB232)</f>
        <v>004_Servicio de atención a emergencias y desastres</v>
      </c>
      <c r="AD232" s="164" t="str">
        <f>CONCATENATE(Z232," ",AC232)</f>
        <v>09-Servicio de mantenimiento, dotación (HEA´s y equipo menor) y adquisición de vehiculos   especializados para la atención de emergencias. 004_Servicio de atención a emergencias y desastres</v>
      </c>
      <c r="AE232" s="163" t="str">
        <f>CONCATENATE(U232,V232,W232,X232,AA232)</f>
        <v>O23011745032024025509004</v>
      </c>
      <c r="AF232" s="163" t="str">
        <f>IFERROR(VLOOKUP(AD232,TD!$J$66:$K$89,2,0)," ")</f>
        <v>PM/0131/0109/45030040255</v>
      </c>
      <c r="AG232" s="118" t="s">
        <v>385</v>
      </c>
      <c r="AH232" s="162" t="s">
        <v>193</v>
      </c>
      <c r="AI232" s="165" t="str">
        <f>CONCATENATE(PAA[[#This Row],[Id Interno]],"-",PAA[[#This Row],[tipo de Contrato (TH talento humano - B/S bienes y/o servicios)]],"-",S232,"-",T232,"-",PAA[[#This Row],[Objeto de la contratación]])</f>
        <v>20260210-TH-8173-4-Prestación de servicios profesionales para la gestión, seguimiento y control administrativo, técnico y operativo del proceso de mantenimiento del parque automotor a cargo de la Subdirección Logística - SBLG.</v>
      </c>
    </row>
    <row r="233" spans="2:35" ht="56" x14ac:dyDescent="0.35">
      <c r="B233" s="23">
        <v>20260211</v>
      </c>
      <c r="C233" s="99" t="s">
        <v>826</v>
      </c>
      <c r="D233" s="23" t="s">
        <v>105</v>
      </c>
      <c r="E233" s="23" t="s">
        <v>363</v>
      </c>
      <c r="F233" s="159" t="s">
        <v>144</v>
      </c>
      <c r="G233" s="160" t="s">
        <v>373</v>
      </c>
      <c r="H233" s="161">
        <v>7</v>
      </c>
      <c r="I233" s="161">
        <v>0</v>
      </c>
      <c r="J233" s="127">
        <v>52500000</v>
      </c>
      <c r="K233" s="88" t="s">
        <v>398</v>
      </c>
      <c r="L233" s="159" t="s">
        <v>157</v>
      </c>
      <c r="M233" s="162" t="s">
        <v>501</v>
      </c>
      <c r="N233" s="23" t="s">
        <v>198</v>
      </c>
      <c r="O233" s="151" t="s">
        <v>946</v>
      </c>
      <c r="P233" s="159" t="s">
        <v>348</v>
      </c>
      <c r="Q233" s="53">
        <v>80111600</v>
      </c>
      <c r="R233" s="162" t="s">
        <v>213</v>
      </c>
      <c r="S233" s="162" t="str">
        <f>MID(PAA[[#This Row],[Meta Proyecto de Inversión]],1,4)</f>
        <v>8173</v>
      </c>
      <c r="T233" s="162" t="str">
        <f>MID(PAA[[#This Row],[Meta Proyecto de Inversión]],6,1)</f>
        <v>4</v>
      </c>
      <c r="U233" s="163" t="str">
        <f>IFERROR(VLOOKUP(N233,TD!$B$50:$F$54,2,0)," ")</f>
        <v>O230117</v>
      </c>
      <c r="V233" s="163" t="str">
        <f>IFERROR(VLOOKUP(N233,TD!$B$50:$F$54,3,0)," ")</f>
        <v>4503</v>
      </c>
      <c r="W233" s="163">
        <f>IFERROR(VLOOKUP(N233,TD!$B$50:$F$54,4,0)," ")</f>
        <v>20240255</v>
      </c>
      <c r="X233" s="162" t="s">
        <v>176</v>
      </c>
      <c r="Y233" s="163" t="str">
        <f>IFERROR(VLOOKUP(X233,TD!$J$51:$K$64,2,0)," ")</f>
        <v>Servicio de mantenimiento, dotación (HEA´s y equipo menor) y adquisición de vehiculos   especializados para la atención de emergencias.</v>
      </c>
      <c r="Z233" s="164" t="str">
        <f>CONCATENATE(X233,"-",Y233)</f>
        <v>09-Servicio de mantenimiento, dotación (HEA´s y equipo menor) y adquisición de vehiculos   especializados para la atención de emergencias.</v>
      </c>
      <c r="AA233" s="162" t="s">
        <v>221</v>
      </c>
      <c r="AB233" s="163" t="str">
        <f>IFERROR(VLOOKUP(AA233,TD!$N$51:$O$66,2,0)," ")</f>
        <v>Servicio de atención a emergencias y desastres</v>
      </c>
      <c r="AC233" s="164" t="str">
        <f>CONCATENATE(AA233,"_",AB233)</f>
        <v>004_Servicio de atención a emergencias y desastres</v>
      </c>
      <c r="AD233" s="164" t="str">
        <f>CONCATENATE(Z233," ",AC233)</f>
        <v>09-Servicio de mantenimiento, dotación (HEA´s y equipo menor) y adquisición de vehiculos   especializados para la atención de emergencias. 004_Servicio de atención a emergencias y desastres</v>
      </c>
      <c r="AE233" s="163" t="str">
        <f>CONCATENATE(U233,V233,W233,X233,AA233)</f>
        <v>O23011745032024025509004</v>
      </c>
      <c r="AF233" s="163" t="str">
        <f>IFERROR(VLOOKUP(AD233,TD!$J$66:$K$89,2,0)," ")</f>
        <v>PM/0131/0109/45030040255</v>
      </c>
      <c r="AG233" s="118" t="s">
        <v>385</v>
      </c>
      <c r="AH233" s="162" t="s">
        <v>193</v>
      </c>
      <c r="AI233" s="165" t="str">
        <f>CONCATENATE(PAA[[#This Row],[Id Interno]],"-",PAA[[#This Row],[tipo de Contrato (TH talento humano - B/S bienes y/o servicios)]],"-",S233,"-",T233,"-",PAA[[#This Row],[Objeto de la contratación]])</f>
        <v>20260211-TH-8173-4-Prestación de servicios profesionales en la gestión, seguimiento y control administrativo, financiero, presupuestal y contractual del proceso de mantenimiento del parque automotor a cargo de la Subdirección Logística - SBLG.</v>
      </c>
    </row>
    <row r="234" spans="2:35" ht="56" customHeight="1" x14ac:dyDescent="0.35">
      <c r="B234" s="23">
        <v>20260212</v>
      </c>
      <c r="C234" s="99" t="s">
        <v>827</v>
      </c>
      <c r="D234" s="23" t="s">
        <v>105</v>
      </c>
      <c r="E234" s="23" t="s">
        <v>363</v>
      </c>
      <c r="F234" s="159" t="s">
        <v>144</v>
      </c>
      <c r="G234" s="160" t="s">
        <v>373</v>
      </c>
      <c r="H234" s="161">
        <v>10</v>
      </c>
      <c r="I234" s="161">
        <v>0</v>
      </c>
      <c r="J234" s="127">
        <v>80000000</v>
      </c>
      <c r="K234" s="88" t="s">
        <v>398</v>
      </c>
      <c r="L234" s="159" t="s">
        <v>157</v>
      </c>
      <c r="M234" s="162" t="s">
        <v>501</v>
      </c>
      <c r="N234" s="23" t="s">
        <v>198</v>
      </c>
      <c r="O234" s="151" t="s">
        <v>946</v>
      </c>
      <c r="P234" s="159" t="s">
        <v>348</v>
      </c>
      <c r="Q234" s="53">
        <v>80111600</v>
      </c>
      <c r="R234" s="162" t="s">
        <v>213</v>
      </c>
      <c r="S234" s="162" t="str">
        <f>MID(PAA[[#This Row],[Meta Proyecto de Inversión]],1,4)</f>
        <v>8173</v>
      </c>
      <c r="T234" s="162" t="str">
        <f>MID(PAA[[#This Row],[Meta Proyecto de Inversión]],6,1)</f>
        <v>4</v>
      </c>
      <c r="U234" s="163" t="str">
        <f>IFERROR(VLOOKUP(N234,TD!$B$50:$F$54,2,0)," ")</f>
        <v>O230117</v>
      </c>
      <c r="V234" s="163" t="str">
        <f>IFERROR(VLOOKUP(N234,TD!$B$50:$F$54,3,0)," ")</f>
        <v>4503</v>
      </c>
      <c r="W234" s="163">
        <f>IFERROR(VLOOKUP(N234,TD!$B$50:$F$54,4,0)," ")</f>
        <v>20240255</v>
      </c>
      <c r="X234" s="162" t="s">
        <v>176</v>
      </c>
      <c r="Y234" s="163" t="str">
        <f>IFERROR(VLOOKUP(X234,TD!$J$51:$K$64,2,0)," ")</f>
        <v>Servicio de mantenimiento, dotación (HEA´s y equipo menor) y adquisición de vehiculos   especializados para la atención de emergencias.</v>
      </c>
      <c r="Z234" s="164" t="str">
        <f>CONCATENATE(X234,"-",Y234)</f>
        <v>09-Servicio de mantenimiento, dotación (HEA´s y equipo menor) y adquisición de vehiculos   especializados para la atención de emergencias.</v>
      </c>
      <c r="AA234" s="162" t="s">
        <v>221</v>
      </c>
      <c r="AB234" s="163" t="str">
        <f>IFERROR(VLOOKUP(AA234,TD!$N$51:$O$66,2,0)," ")</f>
        <v>Servicio de atención a emergencias y desastres</v>
      </c>
      <c r="AC234" s="164" t="str">
        <f>CONCATENATE(AA234,"_",AB234)</f>
        <v>004_Servicio de atención a emergencias y desastres</v>
      </c>
      <c r="AD234" s="164" t="str">
        <f>CONCATENATE(Z234," ",AC234)</f>
        <v>09-Servicio de mantenimiento, dotación (HEA´s y equipo menor) y adquisición de vehiculos   especializados para la atención de emergencias. 004_Servicio de atención a emergencias y desastres</v>
      </c>
      <c r="AE234" s="163" t="str">
        <f>CONCATENATE(U234,V234,W234,X234,AA234)</f>
        <v>O23011745032024025509004</v>
      </c>
      <c r="AF234" s="163" t="str">
        <f>IFERROR(VLOOKUP(AD234,TD!$J$66:$K$89,2,0)," ")</f>
        <v>PM/0131/0109/45030040255</v>
      </c>
      <c r="AG234" s="118" t="s">
        <v>385</v>
      </c>
      <c r="AH234" s="162" t="s">
        <v>193</v>
      </c>
      <c r="AI234" s="165" t="str">
        <f>CONCATENATE(PAA[[#This Row],[Id Interno]],"-",PAA[[#This Row],[tipo de Contrato (TH talento humano - B/S bienes y/o servicios)]],"-",S234,"-",T234,"-",PAA[[#This Row],[Objeto de la contratación]])</f>
        <v>20260212-TH-8173-4-Prestación de servicios profesionales para la gestión, seguimiento y control  técnico y operativo del proceso de mantenimiento del parque automotor a cargo de la Subdirección Logística - SBLG.</v>
      </c>
    </row>
    <row r="235" spans="2:35" ht="84" x14ac:dyDescent="0.35">
      <c r="B235" s="23">
        <v>20260213</v>
      </c>
      <c r="C235" s="99" t="s">
        <v>655</v>
      </c>
      <c r="D235" s="23" t="s">
        <v>105</v>
      </c>
      <c r="E235" s="23" t="s">
        <v>363</v>
      </c>
      <c r="F235" s="159" t="s">
        <v>144</v>
      </c>
      <c r="G235" s="160" t="s">
        <v>373</v>
      </c>
      <c r="H235" s="161">
        <v>9</v>
      </c>
      <c r="I235" s="161">
        <v>0</v>
      </c>
      <c r="J235" s="127">
        <v>40500000</v>
      </c>
      <c r="K235" s="88" t="s">
        <v>398</v>
      </c>
      <c r="L235" s="159" t="s">
        <v>157</v>
      </c>
      <c r="M235" s="162" t="s">
        <v>501</v>
      </c>
      <c r="N235" s="23" t="s">
        <v>198</v>
      </c>
      <c r="O235" s="151" t="s">
        <v>946</v>
      </c>
      <c r="P235" s="159" t="s">
        <v>348</v>
      </c>
      <c r="Q235" s="53">
        <v>80111600</v>
      </c>
      <c r="R235" s="162" t="s">
        <v>213</v>
      </c>
      <c r="S235" s="162" t="str">
        <f>MID(PAA[[#This Row],[Meta Proyecto de Inversión]],1,4)</f>
        <v>8173</v>
      </c>
      <c r="T235" s="162" t="str">
        <f>MID(PAA[[#This Row],[Meta Proyecto de Inversión]],6,1)</f>
        <v>4</v>
      </c>
      <c r="U235" s="163" t="str">
        <f>IFERROR(VLOOKUP(N235,TD!$B$50:$F$54,2,0)," ")</f>
        <v>O230117</v>
      </c>
      <c r="V235" s="163" t="str">
        <f>IFERROR(VLOOKUP(N235,TD!$B$50:$F$54,3,0)," ")</f>
        <v>4503</v>
      </c>
      <c r="W235" s="163">
        <f>IFERROR(VLOOKUP(N235,TD!$B$50:$F$54,4,0)," ")</f>
        <v>20240255</v>
      </c>
      <c r="X235" s="162" t="s">
        <v>176</v>
      </c>
      <c r="Y235" s="163" t="str">
        <f>IFERROR(VLOOKUP(X235,TD!$J$51:$K$64,2,0)," ")</f>
        <v>Servicio de mantenimiento, dotación (HEA´s y equipo menor) y adquisición de vehiculos   especializados para la atención de emergencias.</v>
      </c>
      <c r="Z235" s="164" t="str">
        <f>CONCATENATE(X235,"-",Y235)</f>
        <v>09-Servicio de mantenimiento, dotación (HEA´s y equipo menor) y adquisición de vehiculos   especializados para la atención de emergencias.</v>
      </c>
      <c r="AA235" s="162" t="s">
        <v>221</v>
      </c>
      <c r="AB235" s="163" t="str">
        <f>IFERROR(VLOOKUP(AA235,TD!$N$51:$O$66,2,0)," ")</f>
        <v>Servicio de atención a emergencias y desastres</v>
      </c>
      <c r="AC235" s="164" t="str">
        <f>CONCATENATE(AA235,"_",AB235)</f>
        <v>004_Servicio de atención a emergencias y desastres</v>
      </c>
      <c r="AD235" s="164" t="str">
        <f>CONCATENATE(Z235," ",AC235)</f>
        <v>09-Servicio de mantenimiento, dotación (HEA´s y equipo menor) y adquisición de vehiculos   especializados para la atención de emergencias. 004_Servicio de atención a emergencias y desastres</v>
      </c>
      <c r="AE235" s="163" t="str">
        <f>CONCATENATE(U235,V235,W235,X235,AA235)</f>
        <v>O23011745032024025509004</v>
      </c>
      <c r="AF235" s="163" t="str">
        <f>IFERROR(VLOOKUP(AD235,TD!$J$66:$K$89,2,0)," ")</f>
        <v>PM/0131/0109/45030040255</v>
      </c>
      <c r="AG235" s="118" t="s">
        <v>385</v>
      </c>
      <c r="AH235" s="162" t="s">
        <v>193</v>
      </c>
      <c r="AI235" s="165" t="str">
        <f>CONCATENATE(PAA[[#This Row],[Id Interno]],"-",PAA[[#This Row],[tipo de Contrato (TH talento humano - B/S bienes y/o servicios)]],"-",S235,"-",T235,"-",PAA[[#This Row],[Objeto de la contratación]])</f>
        <v>20260213-TH-8173-4-Prestar servicios profesionales en las actividades administrativas y financieras que requieran los procesos para el desarrollo de las estrategías de la Subdirección Logística- SBLG</v>
      </c>
    </row>
    <row r="236" spans="2:35" ht="56" x14ac:dyDescent="0.35">
      <c r="B236" s="23">
        <v>20260214</v>
      </c>
      <c r="C236" s="99" t="s">
        <v>942</v>
      </c>
      <c r="D236" s="23" t="s">
        <v>105</v>
      </c>
      <c r="E236" s="23" t="s">
        <v>363</v>
      </c>
      <c r="F236" s="159" t="s">
        <v>145</v>
      </c>
      <c r="G236" s="160" t="s">
        <v>373</v>
      </c>
      <c r="H236" s="161">
        <v>5</v>
      </c>
      <c r="I236" s="161">
        <v>0</v>
      </c>
      <c r="J236" s="127">
        <v>16400000</v>
      </c>
      <c r="K236" s="88" t="s">
        <v>398</v>
      </c>
      <c r="L236" s="159" t="s">
        <v>157</v>
      </c>
      <c r="M236" s="162" t="s">
        <v>501</v>
      </c>
      <c r="N236" s="23" t="s">
        <v>198</v>
      </c>
      <c r="O236" s="151" t="s">
        <v>946</v>
      </c>
      <c r="P236" s="159" t="s">
        <v>348</v>
      </c>
      <c r="Q236" s="53">
        <v>80111600</v>
      </c>
      <c r="R236" s="162" t="s">
        <v>213</v>
      </c>
      <c r="S236" s="162" t="str">
        <f>MID(PAA[[#This Row],[Meta Proyecto de Inversión]],1,4)</f>
        <v>8173</v>
      </c>
      <c r="T236" s="162" t="str">
        <f>MID(PAA[[#This Row],[Meta Proyecto de Inversión]],6,1)</f>
        <v>4</v>
      </c>
      <c r="U236" s="163" t="str">
        <f>IFERROR(VLOOKUP(N236,TD!$B$50:$F$54,2,0)," ")</f>
        <v>O230117</v>
      </c>
      <c r="V236" s="163" t="str">
        <f>IFERROR(VLOOKUP(N236,TD!$B$50:$F$54,3,0)," ")</f>
        <v>4503</v>
      </c>
      <c r="W236" s="163">
        <f>IFERROR(VLOOKUP(N236,TD!$B$50:$F$54,4,0)," ")</f>
        <v>20240255</v>
      </c>
      <c r="X236" s="162" t="s">
        <v>176</v>
      </c>
      <c r="Y236" s="163" t="str">
        <f>IFERROR(VLOOKUP(X236,TD!$J$51:$K$64,2,0)," ")</f>
        <v>Servicio de mantenimiento, dotación (HEA´s y equipo menor) y adquisición de vehiculos   especializados para la atención de emergencias.</v>
      </c>
      <c r="Z236" s="164" t="str">
        <f>CONCATENATE(X236,"-",Y236)</f>
        <v>09-Servicio de mantenimiento, dotación (HEA´s y equipo menor) y adquisición de vehiculos   especializados para la atención de emergencias.</v>
      </c>
      <c r="AA236" s="162" t="s">
        <v>221</v>
      </c>
      <c r="AB236" s="163" t="str">
        <f>IFERROR(VLOOKUP(AA236,TD!$N$51:$O$66,2,0)," ")</f>
        <v>Servicio de atención a emergencias y desastres</v>
      </c>
      <c r="AC236" s="164" t="str">
        <f>CONCATENATE(AA236,"_",AB236)</f>
        <v>004_Servicio de atención a emergencias y desastres</v>
      </c>
      <c r="AD236" s="164" t="str">
        <f>CONCATENATE(Z236," ",AC236)</f>
        <v>09-Servicio de mantenimiento, dotación (HEA´s y equipo menor) y adquisición de vehiculos   especializados para la atención de emergencias. 004_Servicio de atención a emergencias y desastres</v>
      </c>
      <c r="AE236" s="163" t="str">
        <f>CONCATENATE(U236,V236,W236,X236,AA236)</f>
        <v>O23011745032024025509004</v>
      </c>
      <c r="AF236" s="163" t="str">
        <f>IFERROR(VLOOKUP(AD236,TD!$J$66:$K$89,2,0)," ")</f>
        <v>PM/0131/0109/45030040255</v>
      </c>
      <c r="AG236" s="118" t="s">
        <v>385</v>
      </c>
      <c r="AH236" s="162" t="s">
        <v>193</v>
      </c>
      <c r="AI236" s="165" t="str">
        <f>CONCATENATE(PAA[[#This Row],[Id Interno]],"-",PAA[[#This Row],[tipo de Contrato (TH talento humano - B/S bienes y/o servicios)]],"-",S236,"-",T236,"-",PAA[[#This Row],[Objeto de la contratación]])</f>
        <v>20260214-TH-8173-4-Prestar servicios de apoyo a la gestión en el manejo de las herramientas tecnológicas en la recepción diligenciamiento y trámite asociadas a la mesa logística. – SBLG</v>
      </c>
    </row>
    <row r="237" spans="2:35" ht="56" x14ac:dyDescent="0.35">
      <c r="B237" s="23">
        <v>20260215</v>
      </c>
      <c r="C237" s="99" t="s">
        <v>828</v>
      </c>
      <c r="D237" s="23" t="s">
        <v>105</v>
      </c>
      <c r="E237" s="23" t="s">
        <v>363</v>
      </c>
      <c r="F237" s="159" t="s">
        <v>145</v>
      </c>
      <c r="G237" s="160" t="s">
        <v>373</v>
      </c>
      <c r="H237" s="161">
        <v>8</v>
      </c>
      <c r="I237" s="161">
        <v>0</v>
      </c>
      <c r="J237" s="127">
        <v>28800000</v>
      </c>
      <c r="K237" s="88" t="s">
        <v>398</v>
      </c>
      <c r="L237" s="159" t="s">
        <v>157</v>
      </c>
      <c r="M237" s="162" t="s">
        <v>501</v>
      </c>
      <c r="N237" s="23" t="s">
        <v>198</v>
      </c>
      <c r="O237" s="151" t="s">
        <v>946</v>
      </c>
      <c r="P237" s="159" t="s">
        <v>348</v>
      </c>
      <c r="Q237" s="53">
        <v>80111600</v>
      </c>
      <c r="R237" s="162" t="s">
        <v>213</v>
      </c>
      <c r="S237" s="162" t="str">
        <f>MID(PAA[[#This Row],[Meta Proyecto de Inversión]],1,4)</f>
        <v>8173</v>
      </c>
      <c r="T237" s="162" t="str">
        <f>MID(PAA[[#This Row],[Meta Proyecto de Inversión]],6,1)</f>
        <v>4</v>
      </c>
      <c r="U237" s="163" t="str">
        <f>IFERROR(VLOOKUP(N237,TD!$B$50:$F$54,2,0)," ")</f>
        <v>O230117</v>
      </c>
      <c r="V237" s="163" t="str">
        <f>IFERROR(VLOOKUP(N237,TD!$B$50:$F$54,3,0)," ")</f>
        <v>4503</v>
      </c>
      <c r="W237" s="163">
        <f>IFERROR(VLOOKUP(N237,TD!$B$50:$F$54,4,0)," ")</f>
        <v>20240255</v>
      </c>
      <c r="X237" s="162" t="s">
        <v>176</v>
      </c>
      <c r="Y237" s="163" t="str">
        <f>IFERROR(VLOOKUP(X237,TD!$J$51:$K$64,2,0)," ")</f>
        <v>Servicio de mantenimiento, dotación (HEA´s y equipo menor) y adquisición de vehiculos   especializados para la atención de emergencias.</v>
      </c>
      <c r="Z237" s="164" t="str">
        <f>CONCATENATE(X237,"-",Y237)</f>
        <v>09-Servicio de mantenimiento, dotación (HEA´s y equipo menor) y adquisición de vehiculos   especializados para la atención de emergencias.</v>
      </c>
      <c r="AA237" s="162" t="s">
        <v>221</v>
      </c>
      <c r="AB237" s="163" t="str">
        <f>IFERROR(VLOOKUP(AA237,TD!$N$51:$O$66,2,0)," ")</f>
        <v>Servicio de atención a emergencias y desastres</v>
      </c>
      <c r="AC237" s="164" t="str">
        <f>CONCATENATE(AA237,"_",AB237)</f>
        <v>004_Servicio de atención a emergencias y desastres</v>
      </c>
      <c r="AD237" s="164" t="str">
        <f>CONCATENATE(Z237," ",AC237)</f>
        <v>09-Servicio de mantenimiento, dotación (HEA´s y equipo menor) y adquisición de vehiculos   especializados para la atención de emergencias. 004_Servicio de atención a emergencias y desastres</v>
      </c>
      <c r="AE237" s="163" t="str">
        <f>CONCATENATE(U237,V237,W237,X237,AA237)</f>
        <v>O23011745032024025509004</v>
      </c>
      <c r="AF237" s="163" t="str">
        <f>IFERROR(VLOOKUP(AD237,TD!$J$66:$K$89,2,0)," ")</f>
        <v>PM/0131/0109/45030040255</v>
      </c>
      <c r="AG237" s="118" t="s">
        <v>385</v>
      </c>
      <c r="AH237" s="162" t="s">
        <v>193</v>
      </c>
      <c r="AI237" s="165" t="str">
        <f>CONCATENATE(PAA[[#This Row],[Id Interno]],"-",PAA[[#This Row],[tipo de Contrato (TH talento humano - B/S bienes y/o servicios)]],"-",S237,"-",T237,"-",PAA[[#This Row],[Objeto de la contratación]])</f>
        <v>20260215-TH-8173-4-Prestar servicios de apoyo técnico en la gestión documental, administrando y diligenciando las bases de datos, y demás documentos para el desarrollo de las estrategias de la Subdirección logística. -SBLG</v>
      </c>
    </row>
    <row r="238" spans="2:35" ht="70" x14ac:dyDescent="0.35">
      <c r="B238" s="23">
        <v>20260216</v>
      </c>
      <c r="C238" s="99" t="s">
        <v>526</v>
      </c>
      <c r="D238" s="23" t="s">
        <v>105</v>
      </c>
      <c r="E238" s="23" t="s">
        <v>363</v>
      </c>
      <c r="F238" s="159" t="s">
        <v>145</v>
      </c>
      <c r="G238" s="160" t="s">
        <v>373</v>
      </c>
      <c r="H238" s="161">
        <v>9</v>
      </c>
      <c r="I238" s="161">
        <v>0</v>
      </c>
      <c r="J238" s="127">
        <v>32400000</v>
      </c>
      <c r="K238" s="88" t="s">
        <v>398</v>
      </c>
      <c r="L238" s="159" t="s">
        <v>157</v>
      </c>
      <c r="M238" s="162" t="s">
        <v>501</v>
      </c>
      <c r="N238" s="23" t="s">
        <v>198</v>
      </c>
      <c r="O238" s="151" t="s">
        <v>946</v>
      </c>
      <c r="P238" s="159" t="s">
        <v>348</v>
      </c>
      <c r="Q238" s="53">
        <v>80111600</v>
      </c>
      <c r="R238" s="162" t="s">
        <v>213</v>
      </c>
      <c r="S238" s="162" t="str">
        <f>MID(PAA[[#This Row],[Meta Proyecto de Inversión]],1,4)</f>
        <v>8173</v>
      </c>
      <c r="T238" s="162" t="str">
        <f>MID(PAA[[#This Row],[Meta Proyecto de Inversión]],6,1)</f>
        <v>4</v>
      </c>
      <c r="U238" s="163" t="str">
        <f>IFERROR(VLOOKUP(N238,TD!$B$50:$F$54,2,0)," ")</f>
        <v>O230117</v>
      </c>
      <c r="V238" s="163" t="str">
        <f>IFERROR(VLOOKUP(N238,TD!$B$50:$F$54,3,0)," ")</f>
        <v>4503</v>
      </c>
      <c r="W238" s="163">
        <f>IFERROR(VLOOKUP(N238,TD!$B$50:$F$54,4,0)," ")</f>
        <v>20240255</v>
      </c>
      <c r="X238" s="162" t="s">
        <v>176</v>
      </c>
      <c r="Y238" s="163" t="str">
        <f>IFERROR(VLOOKUP(X238,TD!$J$51:$K$64,2,0)," ")</f>
        <v>Servicio de mantenimiento, dotación (HEA´s y equipo menor) y adquisición de vehiculos   especializados para la atención de emergencias.</v>
      </c>
      <c r="Z238" s="164" t="str">
        <f>CONCATENATE(X238,"-",Y238)</f>
        <v>09-Servicio de mantenimiento, dotación (HEA´s y equipo menor) y adquisición de vehiculos   especializados para la atención de emergencias.</v>
      </c>
      <c r="AA238" s="162" t="s">
        <v>221</v>
      </c>
      <c r="AB238" s="163" t="str">
        <f>IFERROR(VLOOKUP(AA238,TD!$N$51:$O$66,2,0)," ")</f>
        <v>Servicio de atención a emergencias y desastres</v>
      </c>
      <c r="AC238" s="164" t="str">
        <f>CONCATENATE(AA238,"_",AB238)</f>
        <v>004_Servicio de atención a emergencias y desastres</v>
      </c>
      <c r="AD238" s="164" t="str">
        <f>CONCATENATE(Z238," ",AC238)</f>
        <v>09-Servicio de mantenimiento, dotación (HEA´s y equipo menor) y adquisición de vehiculos   especializados para la atención de emergencias. 004_Servicio de atención a emergencias y desastres</v>
      </c>
      <c r="AE238" s="163" t="str">
        <f>CONCATENATE(U238,V238,W238,X238,AA238)</f>
        <v>O23011745032024025509004</v>
      </c>
      <c r="AF238" s="163" t="str">
        <f>IFERROR(VLOOKUP(AD238,TD!$J$66:$K$89,2,0)," ")</f>
        <v>PM/0131/0109/45030040255</v>
      </c>
      <c r="AG238" s="118" t="s">
        <v>385</v>
      </c>
      <c r="AH238" s="162" t="s">
        <v>193</v>
      </c>
      <c r="AI238" s="165" t="str">
        <f>CONCATENATE(PAA[[#This Row],[Id Interno]],"-",PAA[[#This Row],[tipo de Contrato (TH talento humano - B/S bienes y/o servicios)]],"-",S238,"-",T238,"-",PAA[[#This Row],[Objeto de la contratación]])</f>
        <v>20260216-TH-8173-4-Prestar servicio de apoyo a la gestión para asistir a la Subdirección Logística en el seguimiento técnico y administrativo de los mantenimientos requeridos en la Subdirección Logística - SBLG</v>
      </c>
    </row>
    <row r="239" spans="2:35" ht="84" customHeight="1" x14ac:dyDescent="0.35">
      <c r="B239" s="23">
        <v>20260217</v>
      </c>
      <c r="C239" s="99" t="s">
        <v>829</v>
      </c>
      <c r="D239" s="23" t="s">
        <v>105</v>
      </c>
      <c r="E239" s="23" t="s">
        <v>363</v>
      </c>
      <c r="F239" s="159" t="s">
        <v>144</v>
      </c>
      <c r="G239" s="160" t="s">
        <v>373</v>
      </c>
      <c r="H239" s="161">
        <v>11</v>
      </c>
      <c r="I239" s="161">
        <v>0</v>
      </c>
      <c r="J239" s="127">
        <v>99000000</v>
      </c>
      <c r="K239" s="88" t="s">
        <v>398</v>
      </c>
      <c r="L239" s="159" t="s">
        <v>157</v>
      </c>
      <c r="M239" s="162" t="s">
        <v>501</v>
      </c>
      <c r="N239" s="23" t="s">
        <v>198</v>
      </c>
      <c r="O239" s="151" t="s">
        <v>946</v>
      </c>
      <c r="P239" s="159" t="s">
        <v>161</v>
      </c>
      <c r="Q239" s="53">
        <v>80111600</v>
      </c>
      <c r="R239" s="162" t="s">
        <v>213</v>
      </c>
      <c r="S239" s="162" t="str">
        <f>MID(PAA[[#This Row],[Meta Proyecto de Inversión]],1,4)</f>
        <v>8173</v>
      </c>
      <c r="T239" s="162" t="str">
        <f>MID(PAA[[#This Row],[Meta Proyecto de Inversión]],6,1)</f>
        <v>4</v>
      </c>
      <c r="U239" s="163" t="str">
        <f>IFERROR(VLOOKUP(N239,TD!$B$50:$F$54,2,0)," ")</f>
        <v>O230117</v>
      </c>
      <c r="V239" s="163" t="str">
        <f>IFERROR(VLOOKUP(N239,TD!$B$50:$F$54,3,0)," ")</f>
        <v>4503</v>
      </c>
      <c r="W239" s="163">
        <f>IFERROR(VLOOKUP(N239,TD!$B$50:$F$54,4,0)," ")</f>
        <v>20240255</v>
      </c>
      <c r="X239" s="162" t="s">
        <v>180</v>
      </c>
      <c r="Y239" s="163" t="str">
        <f>IFERROR(VLOOKUP(X239,TD!$J$51:$K$64,2,0)," ")</f>
        <v>Servicio de apoyo   logístico  en eventos operativos y/o emergencias.</v>
      </c>
      <c r="Z239" s="164" t="str">
        <f>CONCATENATE(X239,"-",Y239)</f>
        <v>12-Servicio de apoyo   logístico  en eventos operativos y/o emergencias.</v>
      </c>
      <c r="AA239" s="162" t="s">
        <v>221</v>
      </c>
      <c r="AB239" s="163" t="str">
        <f>IFERROR(VLOOKUP(AA239,TD!$N$51:$O$66,2,0)," ")</f>
        <v>Servicio de atención a emergencias y desastres</v>
      </c>
      <c r="AC239" s="164" t="str">
        <f>CONCATENATE(AA239,"_",AB239)</f>
        <v>004_Servicio de atención a emergencias y desastres</v>
      </c>
      <c r="AD239" s="164" t="str">
        <f>CONCATENATE(Z239," ",AC239)</f>
        <v>12-Servicio de apoyo   logístico  en eventos operativos y/o emergencias. 004_Servicio de atención a emergencias y desastres</v>
      </c>
      <c r="AE239" s="163" t="str">
        <f>CONCATENATE(U239,V239,W239,X239,AA239)</f>
        <v>O23011745032024025512004</v>
      </c>
      <c r="AF239" s="163" t="str">
        <f>IFERROR(VLOOKUP(AD239,TD!$J$66:$K$89,2,0)," ")</f>
        <v>PM/0131/0112/45030040255</v>
      </c>
      <c r="AG239" s="118" t="s">
        <v>385</v>
      </c>
      <c r="AH239" s="162" t="s">
        <v>193</v>
      </c>
      <c r="AI239" s="165" t="str">
        <f>CONCATENATE(PAA[[#This Row],[Id Interno]],"-",PAA[[#This Row],[tipo de Contrato (TH talento humano - B/S bienes y/o servicios)]],"-",S239,"-",T239,"-",PAA[[#This Row],[Objeto de la contratación]])</f>
        <v>20260217-TH-8173-4-Prestar servicios profesionales en las diferentes estrategias adelantadas por la subdirección Logistica en los procesos de planeación, logísticos, administrativos y financieros que se deriven de las competencias propias del area - SBLG</v>
      </c>
    </row>
    <row r="240" spans="2:35" ht="84" customHeight="1" x14ac:dyDescent="0.35">
      <c r="B240" s="23">
        <v>20260218</v>
      </c>
      <c r="C240" s="99" t="s">
        <v>830</v>
      </c>
      <c r="D240" s="23" t="s">
        <v>105</v>
      </c>
      <c r="E240" s="23" t="s">
        <v>363</v>
      </c>
      <c r="F240" s="159" t="s">
        <v>145</v>
      </c>
      <c r="G240" s="160" t="s">
        <v>373</v>
      </c>
      <c r="H240" s="161">
        <v>4</v>
      </c>
      <c r="I240" s="161">
        <v>0</v>
      </c>
      <c r="J240" s="127">
        <v>13120000</v>
      </c>
      <c r="K240" s="88" t="s">
        <v>398</v>
      </c>
      <c r="L240" s="159" t="s">
        <v>157</v>
      </c>
      <c r="M240" s="162" t="s">
        <v>501</v>
      </c>
      <c r="N240" s="23" t="s">
        <v>198</v>
      </c>
      <c r="O240" s="151" t="s">
        <v>946</v>
      </c>
      <c r="P240" s="159" t="s">
        <v>348</v>
      </c>
      <c r="Q240" s="53">
        <v>80111600</v>
      </c>
      <c r="R240" s="162" t="s">
        <v>213</v>
      </c>
      <c r="S240" s="162" t="str">
        <f>MID(PAA[[#This Row],[Meta Proyecto de Inversión]],1,4)</f>
        <v>8173</v>
      </c>
      <c r="T240" s="162" t="str">
        <f>MID(PAA[[#This Row],[Meta Proyecto de Inversión]],6,1)</f>
        <v>4</v>
      </c>
      <c r="U240" s="163" t="str">
        <f>IFERROR(VLOOKUP(N240,TD!$B$50:$F$54,2,0)," ")</f>
        <v>O230117</v>
      </c>
      <c r="V240" s="163" t="str">
        <f>IFERROR(VLOOKUP(N240,TD!$B$50:$F$54,3,0)," ")</f>
        <v>4503</v>
      </c>
      <c r="W240" s="163">
        <f>IFERROR(VLOOKUP(N240,TD!$B$50:$F$54,4,0)," ")</f>
        <v>20240255</v>
      </c>
      <c r="X240" s="162" t="s">
        <v>180</v>
      </c>
      <c r="Y240" s="163" t="str">
        <f>IFERROR(VLOOKUP(X240,TD!$J$51:$K$64,2,0)," ")</f>
        <v>Servicio de apoyo   logístico  en eventos operativos y/o emergencias.</v>
      </c>
      <c r="Z240" s="164" t="str">
        <f>CONCATENATE(X240,"-",Y240)</f>
        <v>12-Servicio de apoyo   logístico  en eventos operativos y/o emergencias.</v>
      </c>
      <c r="AA240" s="162" t="s">
        <v>221</v>
      </c>
      <c r="AB240" s="163" t="str">
        <f>IFERROR(VLOOKUP(AA240,TD!$N$51:$O$66,2,0)," ")</f>
        <v>Servicio de atención a emergencias y desastres</v>
      </c>
      <c r="AC240" s="164" t="str">
        <f>CONCATENATE(AA240,"_",AB240)</f>
        <v>004_Servicio de atención a emergencias y desastres</v>
      </c>
      <c r="AD240" s="164" t="str">
        <f>CONCATENATE(Z240," ",AC240)</f>
        <v>12-Servicio de apoyo   logístico  en eventos operativos y/o emergencias. 004_Servicio de atención a emergencias y desastres</v>
      </c>
      <c r="AE240" s="163" t="str">
        <f>CONCATENATE(U240,V240,W240,X240,AA240)</f>
        <v>O23011745032024025512004</v>
      </c>
      <c r="AF240" s="163" t="str">
        <f>IFERROR(VLOOKUP(AD240,TD!$J$66:$K$89,2,0)," ")</f>
        <v>PM/0131/0112/45030040255</v>
      </c>
      <c r="AG240" s="118" t="s">
        <v>385</v>
      </c>
      <c r="AH240" s="162" t="s">
        <v>193</v>
      </c>
      <c r="AI240" s="165" t="str">
        <f>CONCATENATE(PAA[[#This Row],[Id Interno]],"-",PAA[[#This Row],[tipo de Contrato (TH talento humano - B/S bienes y/o servicios)]],"-",S240,"-",T240,"-",PAA[[#This Row],[Objeto de la contratación]])</f>
        <v>20260218-TH-8173-4-Prestar servicios de apoyo a la gestión en actividades administrativas y documentales para el desarrollo de las estrategías de la Subdirección Logística - SBLG</v>
      </c>
    </row>
    <row r="241" spans="2:35" ht="84" x14ac:dyDescent="0.35">
      <c r="B241" s="23">
        <v>20260219</v>
      </c>
      <c r="C241" s="99" t="s">
        <v>831</v>
      </c>
      <c r="D241" s="23" t="s">
        <v>105</v>
      </c>
      <c r="E241" s="23" t="s">
        <v>363</v>
      </c>
      <c r="F241" s="159" t="s">
        <v>144</v>
      </c>
      <c r="G241" s="160" t="s">
        <v>373</v>
      </c>
      <c r="H241" s="161">
        <v>8</v>
      </c>
      <c r="I241" s="161">
        <v>0</v>
      </c>
      <c r="J241" s="127">
        <v>36000000</v>
      </c>
      <c r="K241" s="88" t="s">
        <v>398</v>
      </c>
      <c r="L241" s="159" t="s">
        <v>157</v>
      </c>
      <c r="M241" s="162" t="s">
        <v>501</v>
      </c>
      <c r="N241" s="23" t="s">
        <v>198</v>
      </c>
      <c r="O241" s="151" t="s">
        <v>946</v>
      </c>
      <c r="P241" s="159" t="s">
        <v>348</v>
      </c>
      <c r="Q241" s="53">
        <v>80111600</v>
      </c>
      <c r="R241" s="162" t="s">
        <v>213</v>
      </c>
      <c r="S241" s="162" t="str">
        <f>MID(PAA[[#This Row],[Meta Proyecto de Inversión]],1,4)</f>
        <v>8173</v>
      </c>
      <c r="T241" s="162" t="str">
        <f>MID(PAA[[#This Row],[Meta Proyecto de Inversión]],6,1)</f>
        <v>4</v>
      </c>
      <c r="U241" s="163" t="str">
        <f>IFERROR(VLOOKUP(N241,TD!$B$50:$F$54,2,0)," ")</f>
        <v>O230117</v>
      </c>
      <c r="V241" s="163" t="str">
        <f>IFERROR(VLOOKUP(N241,TD!$B$50:$F$54,3,0)," ")</f>
        <v>4503</v>
      </c>
      <c r="W241" s="163">
        <f>IFERROR(VLOOKUP(N241,TD!$B$50:$F$54,4,0)," ")</f>
        <v>20240255</v>
      </c>
      <c r="X241" s="162" t="s">
        <v>180</v>
      </c>
      <c r="Y241" s="163" t="str">
        <f>IFERROR(VLOOKUP(X241,TD!$J$51:$K$64,2,0)," ")</f>
        <v>Servicio de apoyo   logístico  en eventos operativos y/o emergencias.</v>
      </c>
      <c r="Z241" s="164" t="str">
        <f>CONCATENATE(X241,"-",Y241)</f>
        <v>12-Servicio de apoyo   logístico  en eventos operativos y/o emergencias.</v>
      </c>
      <c r="AA241" s="162" t="s">
        <v>221</v>
      </c>
      <c r="AB241" s="163" t="str">
        <f>IFERROR(VLOOKUP(AA241,TD!$N$51:$O$66,2,0)," ")</f>
        <v>Servicio de atención a emergencias y desastres</v>
      </c>
      <c r="AC241" s="164" t="str">
        <f>CONCATENATE(AA241,"_",AB241)</f>
        <v>004_Servicio de atención a emergencias y desastres</v>
      </c>
      <c r="AD241" s="164" t="str">
        <f>CONCATENATE(Z241," ",AC241)</f>
        <v>12-Servicio de apoyo   logístico  en eventos operativos y/o emergencias. 004_Servicio de atención a emergencias y desastres</v>
      </c>
      <c r="AE241" s="163" t="str">
        <f>CONCATENATE(U241,V241,W241,X241,AA241)</f>
        <v>O23011745032024025512004</v>
      </c>
      <c r="AF241" s="163" t="str">
        <f>IFERROR(VLOOKUP(AD241,TD!$J$66:$K$89,2,0)," ")</f>
        <v>PM/0131/0112/45030040255</v>
      </c>
      <c r="AG241" s="118" t="s">
        <v>385</v>
      </c>
      <c r="AH241" s="162" t="s">
        <v>193</v>
      </c>
      <c r="AI241" s="165" t="str">
        <f>CONCATENATE(PAA[[#This Row],[Id Interno]],"-",PAA[[#This Row],[tipo de Contrato (TH talento humano - B/S bienes y/o servicios)]],"-",S241,"-",T241,"-",PAA[[#This Row],[Objeto de la contratación]])</f>
        <v>20260219-TH-8173-4-Prestar servicios profesionales de caracter tecnologico apoyando la estructuración, elaboración, manejo y optimización de las herramientas tecnológicas a cargo de la Subdirección Logística – SBLG.</v>
      </c>
    </row>
    <row r="242" spans="2:35" ht="84" customHeight="1" x14ac:dyDescent="0.35">
      <c r="B242" s="23">
        <v>20260220</v>
      </c>
      <c r="C242" s="99" t="s">
        <v>832</v>
      </c>
      <c r="D242" s="23" t="s">
        <v>105</v>
      </c>
      <c r="E242" s="23" t="s">
        <v>363</v>
      </c>
      <c r="F242" s="159" t="s">
        <v>145</v>
      </c>
      <c r="G242" s="160" t="s">
        <v>373</v>
      </c>
      <c r="H242" s="161">
        <v>5</v>
      </c>
      <c r="I242" s="161">
        <v>0</v>
      </c>
      <c r="J242" s="127">
        <v>20600000</v>
      </c>
      <c r="K242" s="88" t="s">
        <v>398</v>
      </c>
      <c r="L242" s="159" t="s">
        <v>157</v>
      </c>
      <c r="M242" s="162" t="s">
        <v>501</v>
      </c>
      <c r="N242" s="23" t="s">
        <v>198</v>
      </c>
      <c r="O242" s="151" t="s">
        <v>946</v>
      </c>
      <c r="P242" s="159" t="s">
        <v>348</v>
      </c>
      <c r="Q242" s="53">
        <v>80111600</v>
      </c>
      <c r="R242" s="162" t="s">
        <v>213</v>
      </c>
      <c r="S242" s="162" t="str">
        <f>MID(PAA[[#This Row],[Meta Proyecto de Inversión]],1,4)</f>
        <v>8173</v>
      </c>
      <c r="T242" s="162" t="str">
        <f>MID(PAA[[#This Row],[Meta Proyecto de Inversión]],6,1)</f>
        <v>4</v>
      </c>
      <c r="U242" s="163" t="str">
        <f>IFERROR(VLOOKUP(N242,TD!$B$50:$F$54,2,0)," ")</f>
        <v>O230117</v>
      </c>
      <c r="V242" s="163" t="str">
        <f>IFERROR(VLOOKUP(N242,TD!$B$50:$F$54,3,0)," ")</f>
        <v>4503</v>
      </c>
      <c r="W242" s="163">
        <f>IFERROR(VLOOKUP(N242,TD!$B$50:$F$54,4,0)," ")</f>
        <v>20240255</v>
      </c>
      <c r="X242" s="162" t="s">
        <v>180</v>
      </c>
      <c r="Y242" s="163" t="str">
        <f>IFERROR(VLOOKUP(X242,TD!$J$51:$K$64,2,0)," ")</f>
        <v>Servicio de apoyo   logístico  en eventos operativos y/o emergencias.</v>
      </c>
      <c r="Z242" s="164" t="str">
        <f>CONCATENATE(X242,"-",Y242)</f>
        <v>12-Servicio de apoyo   logístico  en eventos operativos y/o emergencias.</v>
      </c>
      <c r="AA242" s="162" t="s">
        <v>221</v>
      </c>
      <c r="AB242" s="163" t="str">
        <f>IFERROR(VLOOKUP(AA242,TD!$N$51:$O$66,2,0)," ")</f>
        <v>Servicio de atención a emergencias y desastres</v>
      </c>
      <c r="AC242" s="164" t="str">
        <f>CONCATENATE(AA242,"_",AB242)</f>
        <v>004_Servicio de atención a emergencias y desastres</v>
      </c>
      <c r="AD242" s="164" t="str">
        <f>CONCATENATE(Z242," ",AC242)</f>
        <v>12-Servicio de apoyo   logístico  en eventos operativos y/o emergencias. 004_Servicio de atención a emergencias y desastres</v>
      </c>
      <c r="AE242" s="163" t="str">
        <f>CONCATENATE(U242,V242,W242,X242,AA242)</f>
        <v>O23011745032024025512004</v>
      </c>
      <c r="AF242" s="163" t="str">
        <f>IFERROR(VLOOKUP(AD242,TD!$J$66:$K$89,2,0)," ")</f>
        <v>PM/0131/0112/45030040255</v>
      </c>
      <c r="AG242" s="118" t="s">
        <v>385</v>
      </c>
      <c r="AH242" s="162" t="s">
        <v>193</v>
      </c>
      <c r="AI242" s="165" t="str">
        <f>CONCATENATE(PAA[[#This Row],[Id Interno]],"-",PAA[[#This Row],[tipo de Contrato (TH talento humano - B/S bienes y/o servicios)]],"-",S242,"-",T242,"-",PAA[[#This Row],[Objeto de la contratación]])</f>
        <v>20260220-TH-8173-4-Prestar servicios como conductor para apoyar en la gestiónes tecnicas y operativas para la Subdirección Logistica- SBLG.</v>
      </c>
    </row>
    <row r="243" spans="2:35" ht="84" x14ac:dyDescent="0.35">
      <c r="B243" s="23">
        <v>20260221</v>
      </c>
      <c r="C243" s="99" t="s">
        <v>832</v>
      </c>
      <c r="D243" s="23" t="s">
        <v>105</v>
      </c>
      <c r="E243" s="23" t="s">
        <v>363</v>
      </c>
      <c r="F243" s="159" t="s">
        <v>145</v>
      </c>
      <c r="G243" s="160" t="s">
        <v>373</v>
      </c>
      <c r="H243" s="161">
        <v>8</v>
      </c>
      <c r="I243" s="161">
        <v>0</v>
      </c>
      <c r="J243" s="127">
        <v>28000000</v>
      </c>
      <c r="K243" s="88" t="s">
        <v>398</v>
      </c>
      <c r="L243" s="159" t="s">
        <v>157</v>
      </c>
      <c r="M243" s="162" t="s">
        <v>501</v>
      </c>
      <c r="N243" s="23" t="s">
        <v>198</v>
      </c>
      <c r="O243" s="151" t="s">
        <v>946</v>
      </c>
      <c r="P243" s="159" t="s">
        <v>348</v>
      </c>
      <c r="Q243" s="53">
        <v>80111600</v>
      </c>
      <c r="R243" s="162" t="s">
        <v>213</v>
      </c>
      <c r="S243" s="162" t="str">
        <f>MID(PAA[[#This Row],[Meta Proyecto de Inversión]],1,4)</f>
        <v>8173</v>
      </c>
      <c r="T243" s="162" t="str">
        <f>MID(PAA[[#This Row],[Meta Proyecto de Inversión]],6,1)</f>
        <v>4</v>
      </c>
      <c r="U243" s="163" t="str">
        <f>IFERROR(VLOOKUP(N243,TD!$B$50:$F$54,2,0)," ")</f>
        <v>O230117</v>
      </c>
      <c r="V243" s="163" t="str">
        <f>IFERROR(VLOOKUP(N243,TD!$B$50:$F$54,3,0)," ")</f>
        <v>4503</v>
      </c>
      <c r="W243" s="163">
        <f>IFERROR(VLOOKUP(N243,TD!$B$50:$F$54,4,0)," ")</f>
        <v>20240255</v>
      </c>
      <c r="X243" s="162" t="s">
        <v>180</v>
      </c>
      <c r="Y243" s="163" t="str">
        <f>IFERROR(VLOOKUP(X243,TD!$J$51:$K$64,2,0)," ")</f>
        <v>Servicio de apoyo   logístico  en eventos operativos y/o emergencias.</v>
      </c>
      <c r="Z243" s="164" t="str">
        <f>CONCATENATE(X243,"-",Y243)</f>
        <v>12-Servicio de apoyo   logístico  en eventos operativos y/o emergencias.</v>
      </c>
      <c r="AA243" s="162" t="s">
        <v>221</v>
      </c>
      <c r="AB243" s="163" t="str">
        <f>IFERROR(VLOOKUP(AA243,TD!$N$51:$O$66,2,0)," ")</f>
        <v>Servicio de atención a emergencias y desastres</v>
      </c>
      <c r="AC243" s="164" t="str">
        <f>CONCATENATE(AA243,"_",AB243)</f>
        <v>004_Servicio de atención a emergencias y desastres</v>
      </c>
      <c r="AD243" s="164" t="str">
        <f>CONCATENATE(Z243," ",AC243)</f>
        <v>12-Servicio de apoyo   logístico  en eventos operativos y/o emergencias. 004_Servicio de atención a emergencias y desastres</v>
      </c>
      <c r="AE243" s="163" t="str">
        <f>CONCATENATE(U243,V243,W243,X243,AA243)</f>
        <v>O23011745032024025512004</v>
      </c>
      <c r="AF243" s="163" t="str">
        <f>IFERROR(VLOOKUP(AD243,TD!$J$66:$K$89,2,0)," ")</f>
        <v>PM/0131/0112/45030040255</v>
      </c>
      <c r="AG243" s="118" t="s">
        <v>385</v>
      </c>
      <c r="AH243" s="162" t="s">
        <v>193</v>
      </c>
      <c r="AI243" s="165" t="str">
        <f>CONCATENATE(PAA[[#This Row],[Id Interno]],"-",PAA[[#This Row],[tipo de Contrato (TH talento humano - B/S bienes y/o servicios)]],"-",S243,"-",T243,"-",PAA[[#This Row],[Objeto de la contratación]])</f>
        <v>20260221-TH-8173-4-Prestar servicios como conductor para apoyar en la gestiónes tecnicas y operativas para la Subdirección Logistica- SBLG.</v>
      </c>
    </row>
    <row r="244" spans="2:35" ht="84" x14ac:dyDescent="0.35">
      <c r="B244" s="23">
        <v>20260222</v>
      </c>
      <c r="C244" s="99" t="s">
        <v>833</v>
      </c>
      <c r="D244" s="23" t="s">
        <v>105</v>
      </c>
      <c r="E244" s="23" t="s">
        <v>363</v>
      </c>
      <c r="F244" s="159" t="s">
        <v>144</v>
      </c>
      <c r="G244" s="160" t="s">
        <v>373</v>
      </c>
      <c r="H244" s="161">
        <v>10</v>
      </c>
      <c r="I244" s="161">
        <v>0</v>
      </c>
      <c r="J244" s="127">
        <v>55000000</v>
      </c>
      <c r="K244" s="88" t="s">
        <v>398</v>
      </c>
      <c r="L244" s="159" t="s">
        <v>157</v>
      </c>
      <c r="M244" s="162" t="s">
        <v>501</v>
      </c>
      <c r="N244" s="23" t="s">
        <v>198</v>
      </c>
      <c r="O244" s="151" t="s">
        <v>946</v>
      </c>
      <c r="P244" s="159" t="s">
        <v>348</v>
      </c>
      <c r="Q244" s="53">
        <v>80111600</v>
      </c>
      <c r="R244" s="162" t="s">
        <v>213</v>
      </c>
      <c r="S244" s="162" t="str">
        <f>MID(PAA[[#This Row],[Meta Proyecto de Inversión]],1,4)</f>
        <v>8173</v>
      </c>
      <c r="T244" s="162" t="str">
        <f>MID(PAA[[#This Row],[Meta Proyecto de Inversión]],6,1)</f>
        <v>4</v>
      </c>
      <c r="U244" s="163" t="str">
        <f>IFERROR(VLOOKUP(N244,TD!$B$50:$F$54,2,0)," ")</f>
        <v>O230117</v>
      </c>
      <c r="V244" s="163" t="str">
        <f>IFERROR(VLOOKUP(N244,TD!$B$50:$F$54,3,0)," ")</f>
        <v>4503</v>
      </c>
      <c r="W244" s="163">
        <f>IFERROR(VLOOKUP(N244,TD!$B$50:$F$54,4,0)," ")</f>
        <v>20240255</v>
      </c>
      <c r="X244" s="162" t="s">
        <v>180</v>
      </c>
      <c r="Y244" s="163" t="str">
        <f>IFERROR(VLOOKUP(X244,TD!$J$51:$K$64,2,0)," ")</f>
        <v>Servicio de apoyo   logístico  en eventos operativos y/o emergencias.</v>
      </c>
      <c r="Z244" s="164" t="str">
        <f>CONCATENATE(X244,"-",Y244)</f>
        <v>12-Servicio de apoyo   logístico  en eventos operativos y/o emergencias.</v>
      </c>
      <c r="AA244" s="162" t="s">
        <v>221</v>
      </c>
      <c r="AB244" s="163" t="str">
        <f>IFERROR(VLOOKUP(AA244,TD!$N$51:$O$66,2,0)," ")</f>
        <v>Servicio de atención a emergencias y desastres</v>
      </c>
      <c r="AC244" s="164" t="str">
        <f>CONCATENATE(AA244,"_",AB244)</f>
        <v>004_Servicio de atención a emergencias y desastres</v>
      </c>
      <c r="AD244" s="164" t="str">
        <f>CONCATENATE(Z244," ",AC244)</f>
        <v>12-Servicio de apoyo   logístico  en eventos operativos y/o emergencias. 004_Servicio de atención a emergencias y desastres</v>
      </c>
      <c r="AE244" s="163" t="str">
        <f>CONCATENATE(U244,V244,W244,X244,AA244)</f>
        <v>O23011745032024025512004</v>
      </c>
      <c r="AF244" s="163" t="str">
        <f>IFERROR(VLOOKUP(AD244,TD!$J$66:$K$89,2,0)," ")</f>
        <v>PM/0131/0112/45030040255</v>
      </c>
      <c r="AG244" s="118" t="s">
        <v>385</v>
      </c>
      <c r="AH244" s="162" t="s">
        <v>193</v>
      </c>
      <c r="AI244" s="165" t="str">
        <f>CONCATENATE(PAA[[#This Row],[Id Interno]],"-",PAA[[#This Row],[tipo de Contrato (TH talento humano - B/S bienes y/o servicios)]],"-",S244,"-",T244,"-",PAA[[#This Row],[Objeto de la contratación]])</f>
        <v>20260222-TH-8173-4-Prestar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v>
      </c>
    </row>
    <row r="245" spans="2:35" ht="84" x14ac:dyDescent="0.35">
      <c r="B245" s="23">
        <v>20260223</v>
      </c>
      <c r="C245" s="99" t="s">
        <v>834</v>
      </c>
      <c r="D245" s="23" t="s">
        <v>105</v>
      </c>
      <c r="E245" s="23" t="s">
        <v>363</v>
      </c>
      <c r="F245" s="159" t="s">
        <v>144</v>
      </c>
      <c r="G245" s="160" t="s">
        <v>373</v>
      </c>
      <c r="H245" s="161">
        <v>6</v>
      </c>
      <c r="I245" s="161">
        <v>0</v>
      </c>
      <c r="J245" s="127">
        <v>33000000</v>
      </c>
      <c r="K245" s="88" t="s">
        <v>398</v>
      </c>
      <c r="L245" s="159" t="s">
        <v>157</v>
      </c>
      <c r="M245" s="162" t="s">
        <v>501</v>
      </c>
      <c r="N245" s="23" t="s">
        <v>198</v>
      </c>
      <c r="O245" s="151" t="s">
        <v>946</v>
      </c>
      <c r="P245" s="159" t="s">
        <v>348</v>
      </c>
      <c r="Q245" s="53">
        <v>80111600</v>
      </c>
      <c r="R245" s="162" t="s">
        <v>213</v>
      </c>
      <c r="S245" s="162" t="str">
        <f>MID(PAA[[#This Row],[Meta Proyecto de Inversión]],1,4)</f>
        <v>8173</v>
      </c>
      <c r="T245" s="162" t="str">
        <f>MID(PAA[[#This Row],[Meta Proyecto de Inversión]],6,1)</f>
        <v>4</v>
      </c>
      <c r="U245" s="163" t="str">
        <f>IFERROR(VLOOKUP(N245,TD!$B$50:$F$54,2,0)," ")</f>
        <v>O230117</v>
      </c>
      <c r="V245" s="163" t="str">
        <f>IFERROR(VLOOKUP(N245,TD!$B$50:$F$54,3,0)," ")</f>
        <v>4503</v>
      </c>
      <c r="W245" s="163">
        <f>IFERROR(VLOOKUP(N245,TD!$B$50:$F$54,4,0)," ")</f>
        <v>20240255</v>
      </c>
      <c r="X245" s="162" t="s">
        <v>180</v>
      </c>
      <c r="Y245" s="163" t="str">
        <f>IFERROR(VLOOKUP(X245,TD!$J$51:$K$64,2,0)," ")</f>
        <v>Servicio de apoyo   logístico  en eventos operativos y/o emergencias.</v>
      </c>
      <c r="Z245" s="164" t="str">
        <f>CONCATENATE(X245,"-",Y245)</f>
        <v>12-Servicio de apoyo   logístico  en eventos operativos y/o emergencias.</v>
      </c>
      <c r="AA245" s="162" t="s">
        <v>221</v>
      </c>
      <c r="AB245" s="163" t="str">
        <f>IFERROR(VLOOKUP(AA245,TD!$N$51:$O$66,2,0)," ")</f>
        <v>Servicio de atención a emergencias y desastres</v>
      </c>
      <c r="AC245" s="164" t="str">
        <f>CONCATENATE(AA245,"_",AB245)</f>
        <v>004_Servicio de atención a emergencias y desastres</v>
      </c>
      <c r="AD245" s="164" t="str">
        <f>CONCATENATE(Z245," ",AC245)</f>
        <v>12-Servicio de apoyo   logístico  en eventos operativos y/o emergencias. 004_Servicio de atención a emergencias y desastres</v>
      </c>
      <c r="AE245" s="163" t="str">
        <f>CONCATENATE(U245,V245,W245,X245,AA245)</f>
        <v>O23011745032024025512004</v>
      </c>
      <c r="AF245" s="163" t="str">
        <f>IFERROR(VLOOKUP(AD245,TD!$J$66:$K$89,2,0)," ")</f>
        <v>PM/0131/0112/45030040255</v>
      </c>
      <c r="AG245" s="118" t="s">
        <v>385</v>
      </c>
      <c r="AH245" s="162" t="s">
        <v>193</v>
      </c>
      <c r="AI245" s="165" t="str">
        <f>CONCATENATE(PAA[[#This Row],[Id Interno]],"-",PAA[[#This Row],[tipo de Contrato (TH talento humano - B/S bienes y/o servicios)]],"-",S245,"-",T245,"-",PAA[[#This Row],[Objeto de la contratación]])</f>
        <v>20260223-TH-8173-4-Prestar servicios profesionales para apoyar en las actividades administrativas y tecnicas de los elementos e inventario a cargo Subdirección Logistica  – SBLG.</v>
      </c>
    </row>
    <row r="246" spans="2:35" ht="56" x14ac:dyDescent="0.35">
      <c r="B246" s="23">
        <v>20260224</v>
      </c>
      <c r="C246" s="99" t="s">
        <v>656</v>
      </c>
      <c r="D246" s="23" t="s">
        <v>105</v>
      </c>
      <c r="E246" s="23" t="s">
        <v>363</v>
      </c>
      <c r="F246" s="159" t="s">
        <v>144</v>
      </c>
      <c r="G246" s="160" t="s">
        <v>373</v>
      </c>
      <c r="H246" s="161">
        <v>9</v>
      </c>
      <c r="I246" s="161">
        <v>0</v>
      </c>
      <c r="J246" s="127">
        <v>45000000</v>
      </c>
      <c r="K246" s="88" t="s">
        <v>398</v>
      </c>
      <c r="L246" s="159" t="s">
        <v>157</v>
      </c>
      <c r="M246" s="162" t="s">
        <v>501</v>
      </c>
      <c r="N246" s="23" t="s">
        <v>198</v>
      </c>
      <c r="O246" s="151" t="s">
        <v>946</v>
      </c>
      <c r="P246" s="159" t="s">
        <v>348</v>
      </c>
      <c r="Q246" s="53">
        <v>80111600</v>
      </c>
      <c r="R246" s="162" t="s">
        <v>213</v>
      </c>
      <c r="S246" s="162" t="str">
        <f>MID(PAA[[#This Row],[Meta Proyecto de Inversión]],1,4)</f>
        <v>8173</v>
      </c>
      <c r="T246" s="162" t="str">
        <f>MID(PAA[[#This Row],[Meta Proyecto de Inversión]],6,1)</f>
        <v>4</v>
      </c>
      <c r="U246" s="163" t="str">
        <f>IFERROR(VLOOKUP(N246,TD!$B$50:$F$54,2,0)," ")</f>
        <v>O230117</v>
      </c>
      <c r="V246" s="163" t="str">
        <f>IFERROR(VLOOKUP(N246,TD!$B$50:$F$54,3,0)," ")</f>
        <v>4503</v>
      </c>
      <c r="W246" s="163">
        <f>IFERROR(VLOOKUP(N246,TD!$B$50:$F$54,4,0)," ")</f>
        <v>20240255</v>
      </c>
      <c r="X246" s="162" t="s">
        <v>180</v>
      </c>
      <c r="Y246" s="163" t="str">
        <f>IFERROR(VLOOKUP(X246,TD!$J$51:$K$64,2,0)," ")</f>
        <v>Servicio de apoyo   logístico  en eventos operativos y/o emergencias.</v>
      </c>
      <c r="Z246" s="164" t="str">
        <f>CONCATENATE(X246,"-",Y246)</f>
        <v>12-Servicio de apoyo   logístico  en eventos operativos y/o emergencias.</v>
      </c>
      <c r="AA246" s="162" t="s">
        <v>221</v>
      </c>
      <c r="AB246" s="163" t="str">
        <f>IFERROR(VLOOKUP(AA246,TD!$N$51:$O$66,2,0)," ")</f>
        <v>Servicio de atención a emergencias y desastres</v>
      </c>
      <c r="AC246" s="164" t="str">
        <f>CONCATENATE(AA246,"_",AB246)</f>
        <v>004_Servicio de atención a emergencias y desastres</v>
      </c>
      <c r="AD246" s="164" t="str">
        <f>CONCATENATE(Z246," ",AC246)</f>
        <v>12-Servicio de apoyo   logístico  en eventos operativos y/o emergencias. 004_Servicio de atención a emergencias y desastres</v>
      </c>
      <c r="AE246" s="163" t="str">
        <f>CONCATENATE(U246,V246,W246,X246,AA246)</f>
        <v>O23011745032024025512004</v>
      </c>
      <c r="AF246" s="163" t="str">
        <f>IFERROR(VLOOKUP(AD246,TD!$J$66:$K$89,2,0)," ")</f>
        <v>PM/0131/0112/45030040255</v>
      </c>
      <c r="AG246" s="118" t="s">
        <v>385</v>
      </c>
      <c r="AH246" s="162" t="s">
        <v>193</v>
      </c>
      <c r="AI246" s="165" t="str">
        <f>CONCATENATE(PAA[[#This Row],[Id Interno]],"-",PAA[[#This Row],[tipo de Contrato (TH talento humano - B/S bienes y/o servicios)]],"-",S246,"-",T246,"-",PAA[[#This Row],[Objeto de la contratación]])</f>
        <v>20260224-TH-8173-4-Prestar servicios profesionales para la gestión del Plan Estratégico de Seguridad Vial (PESV), participación en el comité correspondiente y el desarrollo de programas y actividades asignadas para el desarrollo de las estrategías de la Subdirección Logística SBLG.</v>
      </c>
    </row>
    <row r="247" spans="2:35" ht="56" x14ac:dyDescent="0.35">
      <c r="B247" s="23">
        <v>20260225</v>
      </c>
      <c r="C247" s="99" t="s">
        <v>657</v>
      </c>
      <c r="D247" s="23" t="s">
        <v>105</v>
      </c>
      <c r="E247" s="23" t="s">
        <v>363</v>
      </c>
      <c r="F247" s="159" t="s">
        <v>145</v>
      </c>
      <c r="G247" s="160" t="s">
        <v>373</v>
      </c>
      <c r="H247" s="161">
        <v>9</v>
      </c>
      <c r="I247" s="161">
        <v>0</v>
      </c>
      <c r="J247" s="127">
        <v>29565000</v>
      </c>
      <c r="K247" s="88" t="s">
        <v>398</v>
      </c>
      <c r="L247" s="159" t="s">
        <v>157</v>
      </c>
      <c r="M247" s="162" t="s">
        <v>501</v>
      </c>
      <c r="N247" s="23" t="s">
        <v>198</v>
      </c>
      <c r="O247" s="151" t="s">
        <v>946</v>
      </c>
      <c r="P247" s="159" t="s">
        <v>348</v>
      </c>
      <c r="Q247" s="53">
        <v>80111600</v>
      </c>
      <c r="R247" s="162" t="s">
        <v>213</v>
      </c>
      <c r="S247" s="162" t="str">
        <f>MID(PAA[[#This Row],[Meta Proyecto de Inversión]],1,4)</f>
        <v>8173</v>
      </c>
      <c r="T247" s="162" t="str">
        <f>MID(PAA[[#This Row],[Meta Proyecto de Inversión]],6,1)</f>
        <v>4</v>
      </c>
      <c r="U247" s="163" t="str">
        <f>IFERROR(VLOOKUP(N247,TD!$B$50:$F$54,2,0)," ")</f>
        <v>O230117</v>
      </c>
      <c r="V247" s="163" t="str">
        <f>IFERROR(VLOOKUP(N247,TD!$B$50:$F$54,3,0)," ")</f>
        <v>4503</v>
      </c>
      <c r="W247" s="163">
        <f>IFERROR(VLOOKUP(N247,TD!$B$50:$F$54,4,0)," ")</f>
        <v>20240255</v>
      </c>
      <c r="X247" s="162" t="s">
        <v>180</v>
      </c>
      <c r="Y247" s="163" t="str">
        <f>IFERROR(VLOOKUP(X247,TD!$J$51:$K$64,2,0)," ")</f>
        <v>Servicio de apoyo   logístico  en eventos operativos y/o emergencias.</v>
      </c>
      <c r="Z247" s="164" t="str">
        <f>CONCATENATE(X247,"-",Y247)</f>
        <v>12-Servicio de apoyo   logístico  en eventos operativos y/o emergencias.</v>
      </c>
      <c r="AA247" s="162" t="s">
        <v>221</v>
      </c>
      <c r="AB247" s="163" t="str">
        <f>IFERROR(VLOOKUP(AA247,TD!$N$51:$O$66,2,0)," ")</f>
        <v>Servicio de atención a emergencias y desastres</v>
      </c>
      <c r="AC247" s="164" t="str">
        <f>CONCATENATE(AA247,"_",AB247)</f>
        <v>004_Servicio de atención a emergencias y desastres</v>
      </c>
      <c r="AD247" s="164" t="str">
        <f>CONCATENATE(Z247," ",AC247)</f>
        <v>12-Servicio de apoyo   logístico  en eventos operativos y/o emergencias. 004_Servicio de atención a emergencias y desastres</v>
      </c>
      <c r="AE247" s="163" t="str">
        <f>CONCATENATE(U247,V247,W247,X247,AA247)</f>
        <v>O23011745032024025512004</v>
      </c>
      <c r="AF247" s="163" t="str">
        <f>IFERROR(VLOOKUP(AD247,TD!$J$66:$K$89,2,0)," ")</f>
        <v>PM/0131/0112/45030040255</v>
      </c>
      <c r="AG247" s="118" t="s">
        <v>385</v>
      </c>
      <c r="AH247" s="162" t="s">
        <v>193</v>
      </c>
      <c r="AI247" s="165" t="str">
        <f>CONCATENATE(PAA[[#This Row],[Id Interno]],"-",PAA[[#This Row],[tipo de Contrato (TH talento humano - B/S bienes y/o servicios)]],"-",S247,"-",T247,"-",PAA[[#This Row],[Objeto de la contratación]])</f>
        <v>20260225-TH-8173-4-Prestar servicios de apoyo a la gestión en las actividades de soporte operacional para el desarrollo de las estrategías de la Subdirección Logística. SBLG</v>
      </c>
    </row>
    <row r="248" spans="2:35" ht="70" x14ac:dyDescent="0.35">
      <c r="B248" s="23">
        <v>20260226</v>
      </c>
      <c r="C248" s="99" t="s">
        <v>657</v>
      </c>
      <c r="D248" s="23" t="s">
        <v>105</v>
      </c>
      <c r="E248" s="23" t="s">
        <v>363</v>
      </c>
      <c r="F248" s="159" t="s">
        <v>145</v>
      </c>
      <c r="G248" s="160" t="s">
        <v>373</v>
      </c>
      <c r="H248" s="161">
        <v>10</v>
      </c>
      <c r="I248" s="161">
        <v>0</v>
      </c>
      <c r="J248" s="127">
        <v>32800000</v>
      </c>
      <c r="K248" s="88" t="s">
        <v>398</v>
      </c>
      <c r="L248" s="159" t="s">
        <v>157</v>
      </c>
      <c r="M248" s="162" t="s">
        <v>501</v>
      </c>
      <c r="N248" s="23" t="s">
        <v>198</v>
      </c>
      <c r="O248" s="151" t="s">
        <v>946</v>
      </c>
      <c r="P248" s="159" t="s">
        <v>348</v>
      </c>
      <c r="Q248" s="53">
        <v>80111600</v>
      </c>
      <c r="R248" s="162" t="s">
        <v>213</v>
      </c>
      <c r="S248" s="162" t="str">
        <f>MID(PAA[[#This Row],[Meta Proyecto de Inversión]],1,4)</f>
        <v>8173</v>
      </c>
      <c r="T248" s="162" t="str">
        <f>MID(PAA[[#This Row],[Meta Proyecto de Inversión]],6,1)</f>
        <v>4</v>
      </c>
      <c r="U248" s="163" t="str">
        <f>IFERROR(VLOOKUP(N248,TD!$B$50:$F$54,2,0)," ")</f>
        <v>O230117</v>
      </c>
      <c r="V248" s="163" t="str">
        <f>IFERROR(VLOOKUP(N248,TD!$B$50:$F$54,3,0)," ")</f>
        <v>4503</v>
      </c>
      <c r="W248" s="163">
        <f>IFERROR(VLOOKUP(N248,TD!$B$50:$F$54,4,0)," ")</f>
        <v>20240255</v>
      </c>
      <c r="X248" s="162" t="s">
        <v>180</v>
      </c>
      <c r="Y248" s="163" t="str">
        <f>IFERROR(VLOOKUP(X248,TD!$J$51:$K$64,2,0)," ")</f>
        <v>Servicio de apoyo   logístico  en eventos operativos y/o emergencias.</v>
      </c>
      <c r="Z248" s="164" t="str">
        <f>CONCATENATE(X248,"-",Y248)</f>
        <v>12-Servicio de apoyo   logístico  en eventos operativos y/o emergencias.</v>
      </c>
      <c r="AA248" s="162" t="s">
        <v>221</v>
      </c>
      <c r="AB248" s="163" t="str">
        <f>IFERROR(VLOOKUP(AA248,TD!$N$51:$O$66,2,0)," ")</f>
        <v>Servicio de atención a emergencias y desastres</v>
      </c>
      <c r="AC248" s="164" t="str">
        <f>CONCATENATE(AA248,"_",AB248)</f>
        <v>004_Servicio de atención a emergencias y desastres</v>
      </c>
      <c r="AD248" s="164" t="str">
        <f>CONCATENATE(Z248," ",AC248)</f>
        <v>12-Servicio de apoyo   logístico  en eventos operativos y/o emergencias. 004_Servicio de atención a emergencias y desastres</v>
      </c>
      <c r="AE248" s="163" t="str">
        <f>CONCATENATE(U248,V248,W248,X248,AA248)</f>
        <v>O23011745032024025512004</v>
      </c>
      <c r="AF248" s="163" t="str">
        <f>IFERROR(VLOOKUP(AD248,TD!$J$66:$K$89,2,0)," ")</f>
        <v>PM/0131/0112/45030040255</v>
      </c>
      <c r="AG248" s="118" t="s">
        <v>385</v>
      </c>
      <c r="AH248" s="162" t="s">
        <v>193</v>
      </c>
      <c r="AI248" s="165" t="str">
        <f>CONCATENATE(PAA[[#This Row],[Id Interno]],"-",PAA[[#This Row],[tipo de Contrato (TH talento humano - B/S bienes y/o servicios)]],"-",S248,"-",T248,"-",PAA[[#This Row],[Objeto de la contratación]])</f>
        <v>20260226-TH-8173-4-Prestar servicios de apoyo a la gestión en las actividades de soporte operacional para el desarrollo de las estrategías de la Subdirección Logística. SBLG</v>
      </c>
    </row>
    <row r="249" spans="2:35" ht="56" x14ac:dyDescent="0.35">
      <c r="B249" s="23">
        <v>20260227</v>
      </c>
      <c r="C249" s="99" t="s">
        <v>657</v>
      </c>
      <c r="D249" s="23" t="s">
        <v>105</v>
      </c>
      <c r="E249" s="23" t="s">
        <v>363</v>
      </c>
      <c r="F249" s="159" t="s">
        <v>145</v>
      </c>
      <c r="G249" s="160" t="s">
        <v>373</v>
      </c>
      <c r="H249" s="161">
        <v>10</v>
      </c>
      <c r="I249" s="161">
        <v>0</v>
      </c>
      <c r="J249" s="127">
        <v>32850000</v>
      </c>
      <c r="K249" s="88" t="s">
        <v>398</v>
      </c>
      <c r="L249" s="159" t="s">
        <v>157</v>
      </c>
      <c r="M249" s="162" t="s">
        <v>501</v>
      </c>
      <c r="N249" s="23" t="s">
        <v>198</v>
      </c>
      <c r="O249" s="151" t="s">
        <v>946</v>
      </c>
      <c r="P249" s="159" t="s">
        <v>348</v>
      </c>
      <c r="Q249" s="53">
        <v>80111600</v>
      </c>
      <c r="R249" s="162" t="s">
        <v>213</v>
      </c>
      <c r="S249" s="162" t="str">
        <f>MID(PAA[[#This Row],[Meta Proyecto de Inversión]],1,4)</f>
        <v>8173</v>
      </c>
      <c r="T249" s="162" t="str">
        <f>MID(PAA[[#This Row],[Meta Proyecto de Inversión]],6,1)</f>
        <v>4</v>
      </c>
      <c r="U249" s="163" t="str">
        <f>IFERROR(VLOOKUP(N249,TD!$B$50:$F$54,2,0)," ")</f>
        <v>O230117</v>
      </c>
      <c r="V249" s="163" t="str">
        <f>IFERROR(VLOOKUP(N249,TD!$B$50:$F$54,3,0)," ")</f>
        <v>4503</v>
      </c>
      <c r="W249" s="163">
        <f>IFERROR(VLOOKUP(N249,TD!$B$50:$F$54,4,0)," ")</f>
        <v>20240255</v>
      </c>
      <c r="X249" s="162" t="s">
        <v>180</v>
      </c>
      <c r="Y249" s="163" t="str">
        <f>IFERROR(VLOOKUP(X249,TD!$J$51:$K$64,2,0)," ")</f>
        <v>Servicio de apoyo   logístico  en eventos operativos y/o emergencias.</v>
      </c>
      <c r="Z249" s="164" t="str">
        <f>CONCATENATE(X249,"-",Y249)</f>
        <v>12-Servicio de apoyo   logístico  en eventos operativos y/o emergencias.</v>
      </c>
      <c r="AA249" s="162" t="s">
        <v>221</v>
      </c>
      <c r="AB249" s="163" t="str">
        <f>IFERROR(VLOOKUP(AA249,TD!$N$51:$O$66,2,0)," ")</f>
        <v>Servicio de atención a emergencias y desastres</v>
      </c>
      <c r="AC249" s="164" t="str">
        <f>CONCATENATE(AA249,"_",AB249)</f>
        <v>004_Servicio de atención a emergencias y desastres</v>
      </c>
      <c r="AD249" s="164" t="str">
        <f>CONCATENATE(Z249," ",AC249)</f>
        <v>12-Servicio de apoyo   logístico  en eventos operativos y/o emergencias. 004_Servicio de atención a emergencias y desastres</v>
      </c>
      <c r="AE249" s="163" t="str">
        <f>CONCATENATE(U249,V249,W249,X249,AA249)</f>
        <v>O23011745032024025512004</v>
      </c>
      <c r="AF249" s="163" t="str">
        <f>IFERROR(VLOOKUP(AD249,TD!$J$66:$K$89,2,0)," ")</f>
        <v>PM/0131/0112/45030040255</v>
      </c>
      <c r="AG249" s="118" t="s">
        <v>385</v>
      </c>
      <c r="AH249" s="162" t="s">
        <v>193</v>
      </c>
      <c r="AI249" s="165" t="str">
        <f>CONCATENATE(PAA[[#This Row],[Id Interno]],"-",PAA[[#This Row],[tipo de Contrato (TH talento humano - B/S bienes y/o servicios)]],"-",S249,"-",T249,"-",PAA[[#This Row],[Objeto de la contratación]])</f>
        <v>20260227-TH-8173-4-Prestar servicios de apoyo a la gestión en las actividades de soporte operacional para el desarrollo de las estrategías de la Subdirección Logística. SBLG</v>
      </c>
    </row>
    <row r="250" spans="2:35" ht="140" x14ac:dyDescent="0.35">
      <c r="B250" s="23">
        <v>20260228</v>
      </c>
      <c r="C250" s="99" t="s">
        <v>657</v>
      </c>
      <c r="D250" s="23" t="s">
        <v>105</v>
      </c>
      <c r="E250" s="23" t="s">
        <v>363</v>
      </c>
      <c r="F250" s="159" t="s">
        <v>145</v>
      </c>
      <c r="G250" s="160" t="s">
        <v>373</v>
      </c>
      <c r="H250" s="161">
        <v>10</v>
      </c>
      <c r="I250" s="161">
        <v>0</v>
      </c>
      <c r="J250" s="127">
        <v>32800000</v>
      </c>
      <c r="K250" s="88" t="s">
        <v>398</v>
      </c>
      <c r="L250" s="159" t="s">
        <v>157</v>
      </c>
      <c r="M250" s="162" t="s">
        <v>501</v>
      </c>
      <c r="N250" s="23" t="s">
        <v>198</v>
      </c>
      <c r="O250" s="151" t="s">
        <v>946</v>
      </c>
      <c r="P250" s="159" t="s">
        <v>348</v>
      </c>
      <c r="Q250" s="53">
        <v>80111600</v>
      </c>
      <c r="R250" s="162" t="s">
        <v>213</v>
      </c>
      <c r="S250" s="162" t="str">
        <f>MID(PAA[[#This Row],[Meta Proyecto de Inversión]],1,4)</f>
        <v>8173</v>
      </c>
      <c r="T250" s="162" t="str">
        <f>MID(PAA[[#This Row],[Meta Proyecto de Inversión]],6,1)</f>
        <v>4</v>
      </c>
      <c r="U250" s="163" t="str">
        <f>IFERROR(VLOOKUP(N250,TD!$B$50:$F$54,2,0)," ")</f>
        <v>O230117</v>
      </c>
      <c r="V250" s="163" t="str">
        <f>IFERROR(VLOOKUP(N250,TD!$B$50:$F$54,3,0)," ")</f>
        <v>4503</v>
      </c>
      <c r="W250" s="163">
        <f>IFERROR(VLOOKUP(N250,TD!$B$50:$F$54,4,0)," ")</f>
        <v>20240255</v>
      </c>
      <c r="X250" s="162" t="s">
        <v>180</v>
      </c>
      <c r="Y250" s="163" t="str">
        <f>IFERROR(VLOOKUP(X250,TD!$J$51:$K$64,2,0)," ")</f>
        <v>Servicio de apoyo   logístico  en eventos operativos y/o emergencias.</v>
      </c>
      <c r="Z250" s="164" t="str">
        <f>CONCATENATE(X250,"-",Y250)</f>
        <v>12-Servicio de apoyo   logístico  en eventos operativos y/o emergencias.</v>
      </c>
      <c r="AA250" s="162" t="s">
        <v>221</v>
      </c>
      <c r="AB250" s="163" t="str">
        <f>IFERROR(VLOOKUP(AA250,TD!$N$51:$O$66,2,0)," ")</f>
        <v>Servicio de atención a emergencias y desastres</v>
      </c>
      <c r="AC250" s="164" t="str">
        <f>CONCATENATE(AA250,"_",AB250)</f>
        <v>004_Servicio de atención a emergencias y desastres</v>
      </c>
      <c r="AD250" s="164" t="str">
        <f>CONCATENATE(Z250," ",AC250)</f>
        <v>12-Servicio de apoyo   logístico  en eventos operativos y/o emergencias. 004_Servicio de atención a emergencias y desastres</v>
      </c>
      <c r="AE250" s="163" t="str">
        <f>CONCATENATE(U250,V250,W250,X250,AA250)</f>
        <v>O23011745032024025512004</v>
      </c>
      <c r="AF250" s="163" t="str">
        <f>IFERROR(VLOOKUP(AD250,TD!$J$66:$K$89,2,0)," ")</f>
        <v>PM/0131/0112/45030040255</v>
      </c>
      <c r="AG250" s="118" t="s">
        <v>385</v>
      </c>
      <c r="AH250" s="162" t="s">
        <v>193</v>
      </c>
      <c r="AI250" s="165" t="str">
        <f>CONCATENATE(PAA[[#This Row],[Id Interno]],"-",PAA[[#This Row],[tipo de Contrato (TH talento humano - B/S bienes y/o servicios)]],"-",S250,"-",T250,"-",PAA[[#This Row],[Objeto de la contratación]])</f>
        <v>20260228-TH-8173-4-Prestar servicios de apoyo a la gestión en las actividades de soporte operacional para el desarrollo de las estrategías de la Subdirección Logística. SBLG</v>
      </c>
    </row>
    <row r="251" spans="2:35" ht="56" x14ac:dyDescent="0.35">
      <c r="B251" s="23">
        <v>20260229</v>
      </c>
      <c r="C251" s="99" t="s">
        <v>830</v>
      </c>
      <c r="D251" s="23" t="s">
        <v>105</v>
      </c>
      <c r="E251" s="23" t="s">
        <v>363</v>
      </c>
      <c r="F251" s="159" t="s">
        <v>145</v>
      </c>
      <c r="G251" s="160" t="s">
        <v>373</v>
      </c>
      <c r="H251" s="161">
        <v>8</v>
      </c>
      <c r="I251" s="161">
        <v>0</v>
      </c>
      <c r="J251" s="127">
        <v>32000000</v>
      </c>
      <c r="K251" s="88" t="s">
        <v>398</v>
      </c>
      <c r="L251" s="159" t="s">
        <v>157</v>
      </c>
      <c r="M251" s="162" t="s">
        <v>501</v>
      </c>
      <c r="N251" s="23" t="s">
        <v>198</v>
      </c>
      <c r="O251" s="151" t="s">
        <v>946</v>
      </c>
      <c r="P251" s="159" t="s">
        <v>348</v>
      </c>
      <c r="Q251" s="53">
        <v>80111600</v>
      </c>
      <c r="R251" s="162" t="s">
        <v>213</v>
      </c>
      <c r="S251" s="162" t="str">
        <f>MID(PAA[[#This Row],[Meta Proyecto de Inversión]],1,4)</f>
        <v>8173</v>
      </c>
      <c r="T251" s="162" t="str">
        <f>MID(PAA[[#This Row],[Meta Proyecto de Inversión]],6,1)</f>
        <v>4</v>
      </c>
      <c r="U251" s="163" t="str">
        <f>IFERROR(VLOOKUP(N251,TD!$B$50:$F$54,2,0)," ")</f>
        <v>O230117</v>
      </c>
      <c r="V251" s="163" t="str">
        <f>IFERROR(VLOOKUP(N251,TD!$B$50:$F$54,3,0)," ")</f>
        <v>4503</v>
      </c>
      <c r="W251" s="163">
        <f>IFERROR(VLOOKUP(N251,TD!$B$50:$F$54,4,0)," ")</f>
        <v>20240255</v>
      </c>
      <c r="X251" s="162" t="s">
        <v>180</v>
      </c>
      <c r="Y251" s="163" t="str">
        <f>IFERROR(VLOOKUP(X251,TD!$J$51:$K$64,2,0)," ")</f>
        <v>Servicio de apoyo   logístico  en eventos operativos y/o emergencias.</v>
      </c>
      <c r="Z251" s="164" t="str">
        <f>CONCATENATE(X251,"-",Y251)</f>
        <v>12-Servicio de apoyo   logístico  en eventos operativos y/o emergencias.</v>
      </c>
      <c r="AA251" s="162" t="s">
        <v>221</v>
      </c>
      <c r="AB251" s="163" t="str">
        <f>IFERROR(VLOOKUP(AA251,TD!$N$51:$O$66,2,0)," ")</f>
        <v>Servicio de atención a emergencias y desastres</v>
      </c>
      <c r="AC251" s="164" t="str">
        <f>CONCATENATE(AA251,"_",AB251)</f>
        <v>004_Servicio de atención a emergencias y desastres</v>
      </c>
      <c r="AD251" s="164" t="str">
        <f>CONCATENATE(Z251," ",AC251)</f>
        <v>12-Servicio de apoyo   logístico  en eventos operativos y/o emergencias. 004_Servicio de atención a emergencias y desastres</v>
      </c>
      <c r="AE251" s="163" t="str">
        <f>CONCATENATE(U251,V251,W251,X251,AA251)</f>
        <v>O23011745032024025512004</v>
      </c>
      <c r="AF251" s="163" t="str">
        <f>IFERROR(VLOOKUP(AD251,TD!$J$66:$K$89,2,0)," ")</f>
        <v>PM/0131/0112/45030040255</v>
      </c>
      <c r="AG251" s="118" t="s">
        <v>385</v>
      </c>
      <c r="AH251" s="162" t="s">
        <v>193</v>
      </c>
      <c r="AI251" s="165" t="str">
        <f>CONCATENATE(PAA[[#This Row],[Id Interno]],"-",PAA[[#This Row],[tipo de Contrato (TH talento humano - B/S bienes y/o servicios)]],"-",S251,"-",T251,"-",PAA[[#This Row],[Objeto de la contratación]])</f>
        <v>20260229-TH-8173-4-Prestar servicios de apoyo a la gestión en actividades administrativas y documentales para el desarrollo de las estrategías de la Subdirección Logística - SBLG</v>
      </c>
    </row>
    <row r="252" spans="2:35" ht="70" x14ac:dyDescent="0.35">
      <c r="B252" s="23">
        <v>20260230</v>
      </c>
      <c r="C252" s="99" t="s">
        <v>835</v>
      </c>
      <c r="D252" s="23" t="s">
        <v>105</v>
      </c>
      <c r="E252" s="23" t="s">
        <v>363</v>
      </c>
      <c r="F252" s="159" t="s">
        <v>144</v>
      </c>
      <c r="G252" s="160" t="s">
        <v>373</v>
      </c>
      <c r="H252" s="161">
        <v>9</v>
      </c>
      <c r="I252" s="161">
        <v>0</v>
      </c>
      <c r="J252" s="127">
        <v>81000000</v>
      </c>
      <c r="K252" s="88" t="s">
        <v>398</v>
      </c>
      <c r="L252" s="159" t="s">
        <v>157</v>
      </c>
      <c r="M252" s="162" t="s">
        <v>501</v>
      </c>
      <c r="N252" s="23" t="s">
        <v>198</v>
      </c>
      <c r="O252" s="151" t="s">
        <v>946</v>
      </c>
      <c r="P252" s="159" t="s">
        <v>348</v>
      </c>
      <c r="Q252" s="53">
        <v>80111600</v>
      </c>
      <c r="R252" s="162" t="s">
        <v>213</v>
      </c>
      <c r="S252" s="162" t="str">
        <f>MID(PAA[[#This Row],[Meta Proyecto de Inversión]],1,4)</f>
        <v>8173</v>
      </c>
      <c r="T252" s="162" t="str">
        <f>MID(PAA[[#This Row],[Meta Proyecto de Inversión]],6,1)</f>
        <v>4</v>
      </c>
      <c r="U252" s="163" t="str">
        <f>IFERROR(VLOOKUP(N252,TD!$B$50:$F$54,2,0)," ")</f>
        <v>O230117</v>
      </c>
      <c r="V252" s="163" t="str">
        <f>IFERROR(VLOOKUP(N252,TD!$B$50:$F$54,3,0)," ")</f>
        <v>4503</v>
      </c>
      <c r="W252" s="163">
        <f>IFERROR(VLOOKUP(N252,TD!$B$50:$F$54,4,0)," ")</f>
        <v>20240255</v>
      </c>
      <c r="X252" s="162" t="s">
        <v>180</v>
      </c>
      <c r="Y252" s="163" t="str">
        <f>IFERROR(VLOOKUP(X252,TD!$J$51:$K$64,2,0)," ")</f>
        <v>Servicio de apoyo   logístico  en eventos operativos y/o emergencias.</v>
      </c>
      <c r="Z252" s="164" t="str">
        <f>CONCATENATE(X252,"-",Y252)</f>
        <v>12-Servicio de apoyo   logístico  en eventos operativos y/o emergencias.</v>
      </c>
      <c r="AA252" s="162" t="s">
        <v>221</v>
      </c>
      <c r="AB252" s="163" t="str">
        <f>IFERROR(VLOOKUP(AA252,TD!$N$51:$O$66,2,0)," ")</f>
        <v>Servicio de atención a emergencias y desastres</v>
      </c>
      <c r="AC252" s="164" t="str">
        <f>CONCATENATE(AA252,"_",AB252)</f>
        <v>004_Servicio de atención a emergencias y desastres</v>
      </c>
      <c r="AD252" s="164" t="str">
        <f>CONCATENATE(Z252," ",AC252)</f>
        <v>12-Servicio de apoyo   logístico  en eventos operativos y/o emergencias. 004_Servicio de atención a emergencias y desastres</v>
      </c>
      <c r="AE252" s="163" t="str">
        <f>CONCATENATE(U252,V252,W252,X252,AA252)</f>
        <v>O23011745032024025512004</v>
      </c>
      <c r="AF252" s="163" t="str">
        <f>IFERROR(VLOOKUP(AD252,TD!$J$66:$K$89,2,0)," ")</f>
        <v>PM/0131/0112/45030040255</v>
      </c>
      <c r="AG252" s="118" t="s">
        <v>385</v>
      </c>
      <c r="AH252" s="162" t="s">
        <v>193</v>
      </c>
      <c r="AI252" s="165" t="str">
        <f>CONCATENATE(PAA[[#This Row],[Id Interno]],"-",PAA[[#This Row],[tipo de Contrato (TH talento humano - B/S bienes y/o servicios)]],"-",S252,"-",T252,"-",PAA[[#This Row],[Objeto de la contratación]])</f>
        <v>20260230-TH-8173-4-Prestar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v>
      </c>
    </row>
    <row r="253" spans="2:35" ht="84" x14ac:dyDescent="0.35">
      <c r="B253" s="23">
        <v>20260231</v>
      </c>
      <c r="C253" s="99" t="s">
        <v>836</v>
      </c>
      <c r="D253" s="23" t="s">
        <v>105</v>
      </c>
      <c r="E253" s="23" t="s">
        <v>363</v>
      </c>
      <c r="F253" s="159" t="s">
        <v>145</v>
      </c>
      <c r="G253" s="160" t="s">
        <v>373</v>
      </c>
      <c r="H253" s="161">
        <v>6</v>
      </c>
      <c r="I253" s="161">
        <v>0</v>
      </c>
      <c r="J253" s="127">
        <v>21600000</v>
      </c>
      <c r="K253" s="88" t="s">
        <v>398</v>
      </c>
      <c r="L253" s="159" t="s">
        <v>157</v>
      </c>
      <c r="M253" s="162" t="s">
        <v>501</v>
      </c>
      <c r="N253" s="23" t="s">
        <v>198</v>
      </c>
      <c r="O253" s="151" t="s">
        <v>946</v>
      </c>
      <c r="P253" s="159" t="s">
        <v>348</v>
      </c>
      <c r="Q253" s="53">
        <v>80111600</v>
      </c>
      <c r="R253" s="162" t="s">
        <v>213</v>
      </c>
      <c r="S253" s="162" t="str">
        <f>MID(PAA[[#This Row],[Meta Proyecto de Inversión]],1,4)</f>
        <v>8173</v>
      </c>
      <c r="T253" s="162" t="str">
        <f>MID(PAA[[#This Row],[Meta Proyecto de Inversión]],6,1)</f>
        <v>4</v>
      </c>
      <c r="U253" s="163" t="str">
        <f>IFERROR(VLOOKUP(N253,TD!$B$50:$F$54,2,0)," ")</f>
        <v>O230117</v>
      </c>
      <c r="V253" s="163" t="str">
        <f>IFERROR(VLOOKUP(N253,TD!$B$50:$F$54,3,0)," ")</f>
        <v>4503</v>
      </c>
      <c r="W253" s="163">
        <f>IFERROR(VLOOKUP(N253,TD!$B$50:$F$54,4,0)," ")</f>
        <v>20240255</v>
      </c>
      <c r="X253" s="162" t="s">
        <v>180</v>
      </c>
      <c r="Y253" s="163" t="str">
        <f>IFERROR(VLOOKUP(X253,TD!$J$51:$K$64,2,0)," ")</f>
        <v>Servicio de apoyo   logístico  en eventos operativos y/o emergencias.</v>
      </c>
      <c r="Z253" s="164" t="str">
        <f>CONCATENATE(X253,"-",Y253)</f>
        <v>12-Servicio de apoyo   logístico  en eventos operativos y/o emergencias.</v>
      </c>
      <c r="AA253" s="162" t="s">
        <v>221</v>
      </c>
      <c r="AB253" s="163" t="str">
        <f>IFERROR(VLOOKUP(AA253,TD!$N$51:$O$66,2,0)," ")</f>
        <v>Servicio de atención a emergencias y desastres</v>
      </c>
      <c r="AC253" s="164" t="str">
        <f>CONCATENATE(AA253,"_",AB253)</f>
        <v>004_Servicio de atención a emergencias y desastres</v>
      </c>
      <c r="AD253" s="164" t="str">
        <f>CONCATENATE(Z253," ",AC253)</f>
        <v>12-Servicio de apoyo   logístico  en eventos operativos y/o emergencias. 004_Servicio de atención a emergencias y desastres</v>
      </c>
      <c r="AE253" s="163" t="str">
        <f>CONCATENATE(U253,V253,W253,X253,AA253)</f>
        <v>O23011745032024025512004</v>
      </c>
      <c r="AF253" s="163" t="str">
        <f>IFERROR(VLOOKUP(AD253,TD!$J$66:$K$89,2,0)," ")</f>
        <v>PM/0131/0112/45030040255</v>
      </c>
      <c r="AG253" s="118" t="s">
        <v>385</v>
      </c>
      <c r="AH253" s="162" t="s">
        <v>193</v>
      </c>
      <c r="AI253" s="165" t="str">
        <f>CONCATENATE(PAA[[#This Row],[Id Interno]],"-",PAA[[#This Row],[tipo de Contrato (TH talento humano - B/S bienes y/o servicios)]],"-",S253,"-",T253,"-",PAA[[#This Row],[Objeto de la contratación]])</f>
        <v>20260231-TH-8173-4-Prestar servicios de apoyo a la gestión para el seguimiento y control de los suministros y consumibles  necesarios para la oportuna disponibilidad en la atención de emergencias -SBLG</v>
      </c>
    </row>
    <row r="254" spans="2:35" ht="70" x14ac:dyDescent="0.35">
      <c r="B254" s="23">
        <v>20260232</v>
      </c>
      <c r="C254" s="99" t="s">
        <v>837</v>
      </c>
      <c r="D254" s="23" t="s">
        <v>105</v>
      </c>
      <c r="E254" s="23" t="s">
        <v>363</v>
      </c>
      <c r="F254" s="159" t="s">
        <v>144</v>
      </c>
      <c r="G254" s="160" t="s">
        <v>373</v>
      </c>
      <c r="H254" s="161">
        <v>6</v>
      </c>
      <c r="I254" s="161">
        <v>0</v>
      </c>
      <c r="J254" s="127">
        <v>35000000</v>
      </c>
      <c r="K254" s="88" t="s">
        <v>398</v>
      </c>
      <c r="L254" s="159" t="s">
        <v>157</v>
      </c>
      <c r="M254" s="162" t="s">
        <v>501</v>
      </c>
      <c r="N254" s="23" t="s">
        <v>198</v>
      </c>
      <c r="O254" s="151" t="s">
        <v>946</v>
      </c>
      <c r="P254" s="159" t="s">
        <v>348</v>
      </c>
      <c r="Q254" s="53">
        <v>80111600</v>
      </c>
      <c r="R254" s="162" t="s">
        <v>213</v>
      </c>
      <c r="S254" s="162" t="str">
        <f>MID(PAA[[#This Row],[Meta Proyecto de Inversión]],1,4)</f>
        <v>8173</v>
      </c>
      <c r="T254" s="162" t="str">
        <f>MID(PAA[[#This Row],[Meta Proyecto de Inversión]],6,1)</f>
        <v>4</v>
      </c>
      <c r="U254" s="163" t="str">
        <f>IFERROR(VLOOKUP(N254,TD!$B$50:$F$54,2,0)," ")</f>
        <v>O230117</v>
      </c>
      <c r="V254" s="163" t="str">
        <f>IFERROR(VLOOKUP(N254,TD!$B$50:$F$54,3,0)," ")</f>
        <v>4503</v>
      </c>
      <c r="W254" s="163">
        <f>IFERROR(VLOOKUP(N254,TD!$B$50:$F$54,4,0)," ")</f>
        <v>20240255</v>
      </c>
      <c r="X254" s="162" t="s">
        <v>180</v>
      </c>
      <c r="Y254" s="163" t="str">
        <f>IFERROR(VLOOKUP(X254,TD!$J$51:$K$64,2,0)," ")</f>
        <v>Servicio de apoyo   logístico  en eventos operativos y/o emergencias.</v>
      </c>
      <c r="Z254" s="164" t="str">
        <f>CONCATENATE(X254,"-",Y254)</f>
        <v>12-Servicio de apoyo   logístico  en eventos operativos y/o emergencias.</v>
      </c>
      <c r="AA254" s="162" t="s">
        <v>221</v>
      </c>
      <c r="AB254" s="163" t="str">
        <f>IFERROR(VLOOKUP(AA254,TD!$N$51:$O$66,2,0)," ")</f>
        <v>Servicio de atención a emergencias y desastres</v>
      </c>
      <c r="AC254" s="164" t="str">
        <f>CONCATENATE(AA254,"_",AB254)</f>
        <v>004_Servicio de atención a emergencias y desastres</v>
      </c>
      <c r="AD254" s="164" t="str">
        <f>CONCATENATE(Z254," ",AC254)</f>
        <v>12-Servicio de apoyo   logístico  en eventos operativos y/o emergencias. 004_Servicio de atención a emergencias y desastres</v>
      </c>
      <c r="AE254" s="163" t="str">
        <f>CONCATENATE(U254,V254,W254,X254,AA254)</f>
        <v>O23011745032024025512004</v>
      </c>
      <c r="AF254" s="163" t="str">
        <f>IFERROR(VLOOKUP(AD254,TD!$J$66:$K$89,2,0)," ")</f>
        <v>PM/0131/0112/45030040255</v>
      </c>
      <c r="AG254" s="118" t="s">
        <v>385</v>
      </c>
      <c r="AH254" s="162" t="s">
        <v>193</v>
      </c>
      <c r="AI254" s="165" t="str">
        <f>CONCATENATE(PAA[[#This Row],[Id Interno]],"-",PAA[[#This Row],[tipo de Contrato (TH talento humano - B/S bienes y/o servicios)]],"-",S254,"-",T254,"-",PAA[[#This Row],[Objeto de la contratación]])</f>
        <v>20260232-TH-8173-4-Prestar servicios profesionales para el seguimiento y control en la cadena de suministros e insumos para la atención de emergencias garantizando la entrega oportuna de los bienes y servicios de la Subdirección Logística. SBLG</v>
      </c>
    </row>
    <row r="255" spans="2:35" ht="84" x14ac:dyDescent="0.35">
      <c r="B255" s="23">
        <v>20260233</v>
      </c>
      <c r="C255" s="99" t="s">
        <v>838</v>
      </c>
      <c r="D255" s="23" t="s">
        <v>105</v>
      </c>
      <c r="E255" s="23" t="s">
        <v>363</v>
      </c>
      <c r="F255" s="159" t="s">
        <v>144</v>
      </c>
      <c r="G255" s="160" t="s">
        <v>373</v>
      </c>
      <c r="H255" s="161">
        <v>8</v>
      </c>
      <c r="I255" s="161">
        <v>0</v>
      </c>
      <c r="J255" s="127">
        <v>52000000</v>
      </c>
      <c r="K255" s="88" t="s">
        <v>398</v>
      </c>
      <c r="L255" s="159" t="s">
        <v>157</v>
      </c>
      <c r="M255" s="162" t="s">
        <v>501</v>
      </c>
      <c r="N255" s="23" t="s">
        <v>198</v>
      </c>
      <c r="O255" s="151" t="s">
        <v>946</v>
      </c>
      <c r="P255" s="159" t="s">
        <v>348</v>
      </c>
      <c r="Q255" s="53">
        <v>80111600</v>
      </c>
      <c r="R255" s="162" t="s">
        <v>213</v>
      </c>
      <c r="S255" s="162" t="str">
        <f>MID(PAA[[#This Row],[Meta Proyecto de Inversión]],1,4)</f>
        <v>8173</v>
      </c>
      <c r="T255" s="162" t="str">
        <f>MID(PAA[[#This Row],[Meta Proyecto de Inversión]],6,1)</f>
        <v>4</v>
      </c>
      <c r="U255" s="163" t="str">
        <f>IFERROR(VLOOKUP(N255,TD!$B$50:$F$54,2,0)," ")</f>
        <v>O230117</v>
      </c>
      <c r="V255" s="163" t="str">
        <f>IFERROR(VLOOKUP(N255,TD!$B$50:$F$54,3,0)," ")</f>
        <v>4503</v>
      </c>
      <c r="W255" s="163">
        <f>IFERROR(VLOOKUP(N255,TD!$B$50:$F$54,4,0)," ")</f>
        <v>20240255</v>
      </c>
      <c r="X255" s="162" t="s">
        <v>180</v>
      </c>
      <c r="Y255" s="163" t="str">
        <f>IFERROR(VLOOKUP(X255,TD!$J$51:$K$64,2,0)," ")</f>
        <v>Servicio de apoyo   logístico  en eventos operativos y/o emergencias.</v>
      </c>
      <c r="Z255" s="164" t="str">
        <f>CONCATENATE(X255,"-",Y255)</f>
        <v>12-Servicio de apoyo   logístico  en eventos operativos y/o emergencias.</v>
      </c>
      <c r="AA255" s="162" t="s">
        <v>221</v>
      </c>
      <c r="AB255" s="163" t="str">
        <f>IFERROR(VLOOKUP(AA255,TD!$N$51:$O$66,2,0)," ")</f>
        <v>Servicio de atención a emergencias y desastres</v>
      </c>
      <c r="AC255" s="164" t="str">
        <f>CONCATENATE(AA255,"_",AB255)</f>
        <v>004_Servicio de atención a emergencias y desastres</v>
      </c>
      <c r="AD255" s="164" t="str">
        <f>CONCATENATE(Z255," ",AC255)</f>
        <v>12-Servicio de apoyo   logístico  en eventos operativos y/o emergencias. 004_Servicio de atención a emergencias y desastres</v>
      </c>
      <c r="AE255" s="163" t="str">
        <f>CONCATENATE(U255,V255,W255,X255,AA255)</f>
        <v>O23011745032024025512004</v>
      </c>
      <c r="AF255" s="163" t="str">
        <f>IFERROR(VLOOKUP(AD255,TD!$J$66:$K$89,2,0)," ")</f>
        <v>PM/0131/0112/45030040255</v>
      </c>
      <c r="AG255" s="118" t="s">
        <v>385</v>
      </c>
      <c r="AH255" s="162" t="s">
        <v>193</v>
      </c>
      <c r="AI255" s="165" t="str">
        <f>CONCATENATE(PAA[[#This Row],[Id Interno]],"-",PAA[[#This Row],[tipo de Contrato (TH talento humano - B/S bienes y/o servicios)]],"-",S255,"-",T255,"-",PAA[[#This Row],[Objeto de la contratación]])</f>
        <v>20260233-TH-8173-4-Prestar servicios profesionales para el seguimiento administrativo, financiero y de control en la cadena de suministros e insumos en la atención de emergencias garantizando la entrega de los bienes y servicios de la Subdirección Logística. SBLG</v>
      </c>
    </row>
    <row r="256" spans="2:35" ht="84" x14ac:dyDescent="0.35">
      <c r="B256" s="23">
        <v>20260234</v>
      </c>
      <c r="C256" s="99" t="s">
        <v>658</v>
      </c>
      <c r="D256" s="23" t="s">
        <v>105</v>
      </c>
      <c r="E256" s="23" t="s">
        <v>363</v>
      </c>
      <c r="F256" s="159" t="s">
        <v>144</v>
      </c>
      <c r="G256" s="160" t="s">
        <v>373</v>
      </c>
      <c r="H256" s="161">
        <v>10</v>
      </c>
      <c r="I256" s="161">
        <v>0</v>
      </c>
      <c r="J256" s="127">
        <v>90000000</v>
      </c>
      <c r="K256" s="88" t="s">
        <v>398</v>
      </c>
      <c r="L256" s="159" t="s">
        <v>157</v>
      </c>
      <c r="M256" s="162" t="s">
        <v>501</v>
      </c>
      <c r="N256" s="23" t="s">
        <v>198</v>
      </c>
      <c r="O256" s="151" t="s">
        <v>946</v>
      </c>
      <c r="P256" s="159" t="s">
        <v>348</v>
      </c>
      <c r="Q256" s="53">
        <v>80111600</v>
      </c>
      <c r="R256" s="162" t="s">
        <v>213</v>
      </c>
      <c r="S256" s="162" t="str">
        <f>MID(PAA[[#This Row],[Meta Proyecto de Inversión]],1,4)</f>
        <v>8173</v>
      </c>
      <c r="T256" s="162" t="str">
        <f>MID(PAA[[#This Row],[Meta Proyecto de Inversión]],6,1)</f>
        <v>4</v>
      </c>
      <c r="U256" s="163" t="str">
        <f>IFERROR(VLOOKUP(N256,TD!$B$50:$F$54,2,0)," ")</f>
        <v>O230117</v>
      </c>
      <c r="V256" s="163" t="str">
        <f>IFERROR(VLOOKUP(N256,TD!$B$50:$F$54,3,0)," ")</f>
        <v>4503</v>
      </c>
      <c r="W256" s="163">
        <f>IFERROR(VLOOKUP(N256,TD!$B$50:$F$54,4,0)," ")</f>
        <v>20240255</v>
      </c>
      <c r="X256" s="162" t="s">
        <v>176</v>
      </c>
      <c r="Y256" s="163" t="str">
        <f>IFERROR(VLOOKUP(X256,TD!$J$51:$K$64,2,0)," ")</f>
        <v>Servicio de mantenimiento, dotación (HEA´s y equipo menor) y adquisición de vehiculos   especializados para la atención de emergencias.</v>
      </c>
      <c r="Z256" s="164" t="str">
        <f>CONCATENATE(X256,"-",Y256)</f>
        <v>09-Servicio de mantenimiento, dotación (HEA´s y equipo menor) y adquisición de vehiculos   especializados para la atención de emergencias.</v>
      </c>
      <c r="AA256" s="162" t="s">
        <v>221</v>
      </c>
      <c r="AB256" s="163" t="str">
        <f>IFERROR(VLOOKUP(AA256,TD!$N$51:$O$66,2,0)," ")</f>
        <v>Servicio de atención a emergencias y desastres</v>
      </c>
      <c r="AC256" s="164" t="str">
        <f>CONCATENATE(AA256,"_",AB256)</f>
        <v>004_Servicio de atención a emergencias y desastres</v>
      </c>
      <c r="AD256" s="164" t="str">
        <f>CONCATENATE(Z256," ",AC256)</f>
        <v>09-Servicio de mantenimiento, dotación (HEA´s y equipo menor) y adquisición de vehiculos   especializados para la atención de emergencias. 004_Servicio de atención a emergencias y desastres</v>
      </c>
      <c r="AE256" s="163" t="str">
        <f>CONCATENATE(U256,V256,W256,X256,AA256)</f>
        <v>O23011745032024025509004</v>
      </c>
      <c r="AF256" s="163" t="str">
        <f>IFERROR(VLOOKUP(AD256,TD!$J$66:$K$89,2,0)," ")</f>
        <v>PM/0131/0109/45030040255</v>
      </c>
      <c r="AG256" s="118" t="s">
        <v>385</v>
      </c>
      <c r="AH256" s="162" t="s">
        <v>193</v>
      </c>
      <c r="AI256" s="165" t="str">
        <f>CONCATENATE(PAA[[#This Row],[Id Interno]],"-",PAA[[#This Row],[tipo de Contrato (TH talento humano - B/S bienes y/o servicios)]],"-",S256,"-",T256,"-",PAA[[#This Row],[Objeto de la contratación]])</f>
        <v>20260234-TH-8173-4-Prestación de servicios profesionales para la gestión, seguimiento y control administrativo, técnico y operativo del equipo menor a cargo de la Subdirección Logística. SBLG.</v>
      </c>
    </row>
    <row r="257" spans="2:35" ht="84" x14ac:dyDescent="0.35">
      <c r="B257" s="23">
        <v>20260235</v>
      </c>
      <c r="C257" s="99" t="s">
        <v>839</v>
      </c>
      <c r="D257" s="23" t="s">
        <v>105</v>
      </c>
      <c r="E257" s="23" t="s">
        <v>363</v>
      </c>
      <c r="F257" s="159" t="s">
        <v>145</v>
      </c>
      <c r="G257" s="160" t="s">
        <v>373</v>
      </c>
      <c r="H257" s="161">
        <v>10</v>
      </c>
      <c r="I257" s="161">
        <v>0</v>
      </c>
      <c r="J257" s="127">
        <v>36000000</v>
      </c>
      <c r="K257" s="88" t="s">
        <v>398</v>
      </c>
      <c r="L257" s="159" t="s">
        <v>157</v>
      </c>
      <c r="M257" s="162" t="s">
        <v>501</v>
      </c>
      <c r="N257" s="23" t="s">
        <v>198</v>
      </c>
      <c r="O257" s="151" t="s">
        <v>946</v>
      </c>
      <c r="P257" s="159" t="s">
        <v>348</v>
      </c>
      <c r="Q257" s="53">
        <v>80111600</v>
      </c>
      <c r="R257" s="162" t="s">
        <v>213</v>
      </c>
      <c r="S257" s="162" t="str">
        <f>MID(PAA[[#This Row],[Meta Proyecto de Inversión]],1,4)</f>
        <v>8173</v>
      </c>
      <c r="T257" s="162" t="str">
        <f>MID(PAA[[#This Row],[Meta Proyecto de Inversión]],6,1)</f>
        <v>4</v>
      </c>
      <c r="U257" s="163" t="str">
        <f>IFERROR(VLOOKUP(N257,TD!$B$50:$F$54,2,0)," ")</f>
        <v>O230117</v>
      </c>
      <c r="V257" s="163" t="str">
        <f>IFERROR(VLOOKUP(N257,TD!$B$50:$F$54,3,0)," ")</f>
        <v>4503</v>
      </c>
      <c r="W257" s="163">
        <f>IFERROR(VLOOKUP(N257,TD!$B$50:$F$54,4,0)," ")</f>
        <v>20240255</v>
      </c>
      <c r="X257" s="162" t="s">
        <v>176</v>
      </c>
      <c r="Y257" s="163" t="str">
        <f>IFERROR(VLOOKUP(X257,TD!$J$51:$K$64,2,0)," ")</f>
        <v>Servicio de mantenimiento, dotación (HEA´s y equipo menor) y adquisición de vehiculos   especializados para la atención de emergencias.</v>
      </c>
      <c r="Z257" s="164" t="str">
        <f>CONCATENATE(X257,"-",Y257)</f>
        <v>09-Servicio de mantenimiento, dotación (HEA´s y equipo menor) y adquisición de vehiculos   especializados para la atención de emergencias.</v>
      </c>
      <c r="AA257" s="162" t="s">
        <v>221</v>
      </c>
      <c r="AB257" s="163" t="str">
        <f>IFERROR(VLOOKUP(AA257,TD!$N$51:$O$66,2,0)," ")</f>
        <v>Servicio de atención a emergencias y desastres</v>
      </c>
      <c r="AC257" s="164" t="str">
        <f>CONCATENATE(AA257,"_",AB257)</f>
        <v>004_Servicio de atención a emergencias y desastres</v>
      </c>
      <c r="AD257" s="164" t="str">
        <f>CONCATENATE(Z257," ",AC257)</f>
        <v>09-Servicio de mantenimiento, dotación (HEA´s y equipo menor) y adquisición de vehiculos   especializados para la atención de emergencias. 004_Servicio de atención a emergencias y desastres</v>
      </c>
      <c r="AE257" s="163" t="str">
        <f>CONCATENATE(U257,V257,W257,X257,AA257)</f>
        <v>O23011745032024025509004</v>
      </c>
      <c r="AF257" s="163" t="str">
        <f>IFERROR(VLOOKUP(AD257,TD!$J$66:$K$89,2,0)," ")</f>
        <v>PM/0131/0109/45030040255</v>
      </c>
      <c r="AG257" s="118" t="s">
        <v>385</v>
      </c>
      <c r="AH257" s="162" t="s">
        <v>193</v>
      </c>
      <c r="AI257" s="165" t="str">
        <f>CONCATENATE(PAA[[#This Row],[Id Interno]],"-",PAA[[#This Row],[tipo de Contrato (TH talento humano - B/S bienes y/o servicios)]],"-",S257,"-",T257,"-",PAA[[#This Row],[Objeto de la contratación]])</f>
        <v>20260235-TH-8173-4-Prestar servicio de apoyo a la gestión para asistir a la Subdirección Logística en el seguimiento técnico y administrativo de los mantenimientos minimos requeridos en la Subdirección Logística - SBLG</v>
      </c>
    </row>
    <row r="258" spans="2:35" ht="112" x14ac:dyDescent="0.35">
      <c r="B258" s="23">
        <v>20260236</v>
      </c>
      <c r="C258" s="99" t="s">
        <v>839</v>
      </c>
      <c r="D258" s="23" t="s">
        <v>105</v>
      </c>
      <c r="E258" s="23" t="s">
        <v>363</v>
      </c>
      <c r="F258" s="159" t="s">
        <v>145</v>
      </c>
      <c r="G258" s="160" t="s">
        <v>373</v>
      </c>
      <c r="H258" s="161">
        <v>9</v>
      </c>
      <c r="I258" s="161">
        <v>0</v>
      </c>
      <c r="J258" s="127">
        <v>32400000</v>
      </c>
      <c r="K258" s="88" t="s">
        <v>398</v>
      </c>
      <c r="L258" s="159" t="s">
        <v>157</v>
      </c>
      <c r="M258" s="162" t="s">
        <v>501</v>
      </c>
      <c r="N258" s="23" t="s">
        <v>198</v>
      </c>
      <c r="O258" s="151" t="s">
        <v>946</v>
      </c>
      <c r="P258" s="159" t="s">
        <v>348</v>
      </c>
      <c r="Q258" s="53">
        <v>80111600</v>
      </c>
      <c r="R258" s="162" t="s">
        <v>213</v>
      </c>
      <c r="S258" s="162" t="str">
        <f>MID(PAA[[#This Row],[Meta Proyecto de Inversión]],1,4)</f>
        <v>8173</v>
      </c>
      <c r="T258" s="162" t="str">
        <f>MID(PAA[[#This Row],[Meta Proyecto de Inversión]],6,1)</f>
        <v>4</v>
      </c>
      <c r="U258" s="163" t="str">
        <f>IFERROR(VLOOKUP(N258,TD!$B$50:$F$54,2,0)," ")</f>
        <v>O230117</v>
      </c>
      <c r="V258" s="163" t="str">
        <f>IFERROR(VLOOKUP(N258,TD!$B$50:$F$54,3,0)," ")</f>
        <v>4503</v>
      </c>
      <c r="W258" s="163">
        <f>IFERROR(VLOOKUP(N258,TD!$B$50:$F$54,4,0)," ")</f>
        <v>20240255</v>
      </c>
      <c r="X258" s="162" t="s">
        <v>176</v>
      </c>
      <c r="Y258" s="163" t="str">
        <f>IFERROR(VLOOKUP(X258,TD!$J$51:$K$64,2,0)," ")</f>
        <v>Servicio de mantenimiento, dotación (HEA´s y equipo menor) y adquisición de vehiculos   especializados para la atención de emergencias.</v>
      </c>
      <c r="Z258" s="164" t="str">
        <f>CONCATENATE(X258,"-",Y258)</f>
        <v>09-Servicio de mantenimiento, dotación (HEA´s y equipo menor) y adquisición de vehiculos   especializados para la atención de emergencias.</v>
      </c>
      <c r="AA258" s="162" t="s">
        <v>221</v>
      </c>
      <c r="AB258" s="163" t="str">
        <f>IFERROR(VLOOKUP(AA258,TD!$N$51:$O$66,2,0)," ")</f>
        <v>Servicio de atención a emergencias y desastres</v>
      </c>
      <c r="AC258" s="164" t="str">
        <f>CONCATENATE(AA258,"_",AB258)</f>
        <v>004_Servicio de atención a emergencias y desastres</v>
      </c>
      <c r="AD258" s="164" t="str">
        <f>CONCATENATE(Z258," ",AC258)</f>
        <v>09-Servicio de mantenimiento, dotación (HEA´s y equipo menor) y adquisición de vehiculos   especializados para la atención de emergencias. 004_Servicio de atención a emergencias y desastres</v>
      </c>
      <c r="AE258" s="163" t="str">
        <f>CONCATENATE(U258,V258,W258,X258,AA258)</f>
        <v>O23011745032024025509004</v>
      </c>
      <c r="AF258" s="163" t="str">
        <f>IFERROR(VLOOKUP(AD258,TD!$J$66:$K$89,2,0)," ")</f>
        <v>PM/0131/0109/45030040255</v>
      </c>
      <c r="AG258" s="118" t="s">
        <v>385</v>
      </c>
      <c r="AH258" s="162" t="s">
        <v>193</v>
      </c>
      <c r="AI258" s="165" t="str">
        <f>CONCATENATE(PAA[[#This Row],[Id Interno]],"-",PAA[[#This Row],[tipo de Contrato (TH talento humano - B/S bienes y/o servicios)]],"-",S258,"-",T258,"-",PAA[[#This Row],[Objeto de la contratación]])</f>
        <v>20260236-TH-8173-4-Prestar servicio de apoyo a la gestión para asistir a la Subdirección Logística en el seguimiento técnico y administrativo de los mantenimientos minimos requeridos en la Subdirección Logística - SBLG</v>
      </c>
    </row>
    <row r="259" spans="2:35" ht="84" x14ac:dyDescent="0.35">
      <c r="B259" s="23">
        <v>20260237</v>
      </c>
      <c r="C259" s="99" t="s">
        <v>527</v>
      </c>
      <c r="D259" s="23" t="s">
        <v>105</v>
      </c>
      <c r="E259" s="23" t="s">
        <v>363</v>
      </c>
      <c r="F259" s="159" t="s">
        <v>144</v>
      </c>
      <c r="G259" s="160" t="s">
        <v>373</v>
      </c>
      <c r="H259" s="161">
        <v>6</v>
      </c>
      <c r="I259" s="161">
        <v>0</v>
      </c>
      <c r="J259" s="127">
        <v>42000000</v>
      </c>
      <c r="K259" s="88" t="s">
        <v>398</v>
      </c>
      <c r="L259" s="159" t="s">
        <v>157</v>
      </c>
      <c r="M259" s="162" t="s">
        <v>501</v>
      </c>
      <c r="N259" s="23" t="s">
        <v>198</v>
      </c>
      <c r="O259" s="151" t="s">
        <v>946</v>
      </c>
      <c r="P259" s="159" t="s">
        <v>348</v>
      </c>
      <c r="Q259" s="53">
        <v>80111600</v>
      </c>
      <c r="R259" s="162" t="s">
        <v>213</v>
      </c>
      <c r="S259" s="162" t="str">
        <f>MID(PAA[[#This Row],[Meta Proyecto de Inversión]],1,4)</f>
        <v>8173</v>
      </c>
      <c r="T259" s="162" t="str">
        <f>MID(PAA[[#This Row],[Meta Proyecto de Inversión]],6,1)</f>
        <v>4</v>
      </c>
      <c r="U259" s="163" t="str">
        <f>IFERROR(VLOOKUP(N259,TD!$B$50:$F$54,2,0)," ")</f>
        <v>O230117</v>
      </c>
      <c r="V259" s="163" t="str">
        <f>IFERROR(VLOOKUP(N259,TD!$B$50:$F$54,3,0)," ")</f>
        <v>4503</v>
      </c>
      <c r="W259" s="163">
        <f>IFERROR(VLOOKUP(N259,TD!$B$50:$F$54,4,0)," ")</f>
        <v>20240255</v>
      </c>
      <c r="X259" s="162" t="s">
        <v>176</v>
      </c>
      <c r="Y259" s="163" t="str">
        <f>IFERROR(VLOOKUP(X259,TD!$J$51:$K$64,2,0)," ")</f>
        <v>Servicio de mantenimiento, dotación (HEA´s y equipo menor) y adquisición de vehiculos   especializados para la atención de emergencias.</v>
      </c>
      <c r="Z259" s="164" t="str">
        <f>CONCATENATE(X259,"-",Y259)</f>
        <v>09-Servicio de mantenimiento, dotación (HEA´s y equipo menor) y adquisición de vehiculos   especializados para la atención de emergencias.</v>
      </c>
      <c r="AA259" s="162" t="s">
        <v>221</v>
      </c>
      <c r="AB259" s="163" t="str">
        <f>IFERROR(VLOOKUP(AA259,TD!$N$51:$O$66,2,0)," ")</f>
        <v>Servicio de atención a emergencias y desastres</v>
      </c>
      <c r="AC259" s="164" t="str">
        <f>CONCATENATE(AA259,"_",AB259)</f>
        <v>004_Servicio de atención a emergencias y desastres</v>
      </c>
      <c r="AD259" s="164" t="str">
        <f>CONCATENATE(Z259," ",AC259)</f>
        <v>09-Servicio de mantenimiento, dotación (HEA´s y equipo menor) y adquisición de vehiculos   especializados para la atención de emergencias. 004_Servicio de atención a emergencias y desastres</v>
      </c>
      <c r="AE259" s="163" t="str">
        <f>CONCATENATE(U259,V259,W259,X259,AA259)</f>
        <v>O23011745032024025509004</v>
      </c>
      <c r="AF259" s="163" t="str">
        <f>IFERROR(VLOOKUP(AD259,TD!$J$66:$K$89,2,0)," ")</f>
        <v>PM/0131/0109/45030040255</v>
      </c>
      <c r="AG259" s="118" t="s">
        <v>385</v>
      </c>
      <c r="AH259" s="162" t="s">
        <v>193</v>
      </c>
      <c r="AI259" s="165" t="str">
        <f>CONCATENATE(PAA[[#This Row],[Id Interno]],"-",PAA[[#This Row],[tipo de Contrato (TH talento humano - B/S bienes y/o servicios)]],"-",S259,"-",T259,"-",PAA[[#This Row],[Objeto de la contratación]])</f>
        <v>20260237-TH-8173-4-Prestación de servicios profesionales para realizar el seguimiento y monitoreo a los diferentes procesos y procedimientos del equipo menor a cargo de la Subdirección Logística - SBLG</v>
      </c>
    </row>
    <row r="260" spans="2:35" ht="84" x14ac:dyDescent="0.35">
      <c r="B260" s="23">
        <v>20260238</v>
      </c>
      <c r="C260" s="99" t="s">
        <v>840</v>
      </c>
      <c r="D260" s="23" t="s">
        <v>105</v>
      </c>
      <c r="E260" s="23" t="s">
        <v>363</v>
      </c>
      <c r="F260" s="159" t="s">
        <v>145</v>
      </c>
      <c r="G260" s="160" t="s">
        <v>373</v>
      </c>
      <c r="H260" s="161">
        <v>9</v>
      </c>
      <c r="I260" s="161">
        <v>0</v>
      </c>
      <c r="J260" s="127">
        <v>32400000</v>
      </c>
      <c r="K260" s="88" t="s">
        <v>398</v>
      </c>
      <c r="L260" s="159" t="s">
        <v>157</v>
      </c>
      <c r="M260" s="162" t="s">
        <v>501</v>
      </c>
      <c r="N260" s="23" t="s">
        <v>198</v>
      </c>
      <c r="O260" s="151" t="s">
        <v>946</v>
      </c>
      <c r="P260" s="159" t="s">
        <v>348</v>
      </c>
      <c r="Q260" s="53">
        <v>80111600</v>
      </c>
      <c r="R260" s="162" t="s">
        <v>213</v>
      </c>
      <c r="S260" s="162" t="str">
        <f>MID(PAA[[#This Row],[Meta Proyecto de Inversión]],1,4)</f>
        <v>8173</v>
      </c>
      <c r="T260" s="162" t="str">
        <f>MID(PAA[[#This Row],[Meta Proyecto de Inversión]],6,1)</f>
        <v>4</v>
      </c>
      <c r="U260" s="163" t="str">
        <f>IFERROR(VLOOKUP(N260,TD!$B$50:$F$54,2,0)," ")</f>
        <v>O230117</v>
      </c>
      <c r="V260" s="163" t="str">
        <f>IFERROR(VLOOKUP(N260,TD!$B$50:$F$54,3,0)," ")</f>
        <v>4503</v>
      </c>
      <c r="W260" s="163">
        <f>IFERROR(VLOOKUP(N260,TD!$B$50:$F$54,4,0)," ")</f>
        <v>20240255</v>
      </c>
      <c r="X260" s="162" t="s">
        <v>176</v>
      </c>
      <c r="Y260" s="163" t="str">
        <f>IFERROR(VLOOKUP(X260,TD!$J$51:$K$64,2,0)," ")</f>
        <v>Servicio de mantenimiento, dotación (HEA´s y equipo menor) y adquisición de vehiculos   especializados para la atención de emergencias.</v>
      </c>
      <c r="Z260" s="164" t="str">
        <f>CONCATENATE(X260,"-",Y260)</f>
        <v>09-Servicio de mantenimiento, dotación (HEA´s y equipo menor) y adquisición de vehiculos   especializados para la atención de emergencias.</v>
      </c>
      <c r="AA260" s="162" t="s">
        <v>221</v>
      </c>
      <c r="AB260" s="163" t="str">
        <f>IFERROR(VLOOKUP(AA260,TD!$N$51:$O$66,2,0)," ")</f>
        <v>Servicio de atención a emergencias y desastres</v>
      </c>
      <c r="AC260" s="164" t="str">
        <f>CONCATENATE(AA260,"_",AB260)</f>
        <v>004_Servicio de atención a emergencias y desastres</v>
      </c>
      <c r="AD260" s="164" t="str">
        <f>CONCATENATE(Z260," ",AC260)</f>
        <v>09-Servicio de mantenimiento, dotación (HEA´s y equipo menor) y adquisición de vehiculos   especializados para la atención de emergencias. 004_Servicio de atención a emergencias y desastres</v>
      </c>
      <c r="AE260" s="163" t="str">
        <f>CONCATENATE(U260,V260,W260,X260,AA260)</f>
        <v>O23011745032024025509004</v>
      </c>
      <c r="AF260" s="163" t="str">
        <f>IFERROR(VLOOKUP(AD260,TD!$J$66:$K$89,2,0)," ")</f>
        <v>PM/0131/0109/45030040255</v>
      </c>
      <c r="AG260" s="118" t="s">
        <v>385</v>
      </c>
      <c r="AH260" s="162" t="s">
        <v>193</v>
      </c>
      <c r="AI260" s="165" t="str">
        <f>CONCATENATE(PAA[[#This Row],[Id Interno]],"-",PAA[[#This Row],[tipo de Contrato (TH talento humano - B/S bienes y/o servicios)]],"-",S260,"-",T260,"-",PAA[[#This Row],[Objeto de la contratación]])</f>
        <v>20260238-TH-8173-4-Prestar servicios de apoyo a la gestión en actividades administrativas y documentales en el procedimiento de equipo menor desarrollo de las estrategías de la Subdirección Logística - SBLG - SBLG</v>
      </c>
    </row>
    <row r="261" spans="2:35" ht="84" x14ac:dyDescent="0.35">
      <c r="B261" s="23">
        <v>20260239</v>
      </c>
      <c r="C261" s="99" t="s">
        <v>527</v>
      </c>
      <c r="D261" s="23" t="s">
        <v>105</v>
      </c>
      <c r="E261" s="23" t="s">
        <v>363</v>
      </c>
      <c r="F261" s="159" t="s">
        <v>144</v>
      </c>
      <c r="G261" s="160" t="s">
        <v>373</v>
      </c>
      <c r="H261" s="161">
        <v>9</v>
      </c>
      <c r="I261" s="161">
        <v>0</v>
      </c>
      <c r="J261" s="127">
        <v>49500000</v>
      </c>
      <c r="K261" s="88" t="s">
        <v>398</v>
      </c>
      <c r="L261" s="159" t="s">
        <v>157</v>
      </c>
      <c r="M261" s="162" t="s">
        <v>501</v>
      </c>
      <c r="N261" s="23" t="s">
        <v>198</v>
      </c>
      <c r="O261" s="151" t="s">
        <v>946</v>
      </c>
      <c r="P261" s="159" t="s">
        <v>348</v>
      </c>
      <c r="Q261" s="53">
        <v>80111600</v>
      </c>
      <c r="R261" s="162" t="s">
        <v>213</v>
      </c>
      <c r="S261" s="162" t="str">
        <f>MID(PAA[[#This Row],[Meta Proyecto de Inversión]],1,4)</f>
        <v>8173</v>
      </c>
      <c r="T261" s="162" t="str">
        <f>MID(PAA[[#This Row],[Meta Proyecto de Inversión]],6,1)</f>
        <v>4</v>
      </c>
      <c r="U261" s="163" t="str">
        <f>IFERROR(VLOOKUP(N261,TD!$B$50:$F$54,2,0)," ")</f>
        <v>O230117</v>
      </c>
      <c r="V261" s="163" t="str">
        <f>IFERROR(VLOOKUP(N261,TD!$B$50:$F$54,3,0)," ")</f>
        <v>4503</v>
      </c>
      <c r="W261" s="163">
        <f>IFERROR(VLOOKUP(N261,TD!$B$50:$F$54,4,0)," ")</f>
        <v>20240255</v>
      </c>
      <c r="X261" s="162" t="s">
        <v>176</v>
      </c>
      <c r="Y261" s="163" t="str">
        <f>IFERROR(VLOOKUP(X261,TD!$J$51:$K$64,2,0)," ")</f>
        <v>Servicio de mantenimiento, dotación (HEA´s y equipo menor) y adquisición de vehiculos   especializados para la atención de emergencias.</v>
      </c>
      <c r="Z261" s="164" t="str">
        <f>CONCATENATE(X261,"-",Y261)</f>
        <v>09-Servicio de mantenimiento, dotación (HEA´s y equipo menor) y adquisición de vehiculos   especializados para la atención de emergencias.</v>
      </c>
      <c r="AA261" s="162" t="s">
        <v>221</v>
      </c>
      <c r="AB261" s="163" t="str">
        <f>IFERROR(VLOOKUP(AA261,TD!$N$51:$O$66,2,0)," ")</f>
        <v>Servicio de atención a emergencias y desastres</v>
      </c>
      <c r="AC261" s="164" t="str">
        <f>CONCATENATE(AA261,"_",AB261)</f>
        <v>004_Servicio de atención a emergencias y desastres</v>
      </c>
      <c r="AD261" s="164" t="str">
        <f>CONCATENATE(Z261," ",AC261)</f>
        <v>09-Servicio de mantenimiento, dotación (HEA´s y equipo menor) y adquisición de vehiculos   especializados para la atención de emergencias. 004_Servicio de atención a emergencias y desastres</v>
      </c>
      <c r="AE261" s="163" t="str">
        <f>CONCATENATE(U261,V261,W261,X261,AA261)</f>
        <v>O23011745032024025509004</v>
      </c>
      <c r="AF261" s="163" t="str">
        <f>IFERROR(VLOOKUP(AD261,TD!$J$66:$K$89,2,0)," ")</f>
        <v>PM/0131/0109/45030040255</v>
      </c>
      <c r="AG261" s="118" t="s">
        <v>385</v>
      </c>
      <c r="AH261" s="162" t="s">
        <v>193</v>
      </c>
      <c r="AI261" s="165" t="str">
        <f>CONCATENATE(PAA[[#This Row],[Id Interno]],"-",PAA[[#This Row],[tipo de Contrato (TH talento humano - B/S bienes y/o servicios)]],"-",S261,"-",T261,"-",PAA[[#This Row],[Objeto de la contratación]])</f>
        <v>20260239-TH-8173-4-Prestación de servicios profesionales para realizar el seguimiento y monitoreo a los diferentes procesos y procedimientos del equipo menor a cargo de la Subdirección Logística - SBLG</v>
      </c>
    </row>
    <row r="262" spans="2:35" ht="56" x14ac:dyDescent="0.35">
      <c r="B262" s="23">
        <v>20260240</v>
      </c>
      <c r="C262" s="99" t="s">
        <v>839</v>
      </c>
      <c r="D262" s="23" t="s">
        <v>105</v>
      </c>
      <c r="E262" s="23" t="s">
        <v>363</v>
      </c>
      <c r="F262" s="159" t="s">
        <v>145</v>
      </c>
      <c r="G262" s="160" t="s">
        <v>373</v>
      </c>
      <c r="H262" s="161">
        <v>7</v>
      </c>
      <c r="I262" s="161">
        <v>0</v>
      </c>
      <c r="J262" s="127">
        <v>25200000</v>
      </c>
      <c r="K262" s="88" t="s">
        <v>398</v>
      </c>
      <c r="L262" s="159" t="s">
        <v>157</v>
      </c>
      <c r="M262" s="162" t="s">
        <v>501</v>
      </c>
      <c r="N262" s="23" t="s">
        <v>198</v>
      </c>
      <c r="O262" s="151" t="s">
        <v>946</v>
      </c>
      <c r="P262" s="159" t="s">
        <v>348</v>
      </c>
      <c r="Q262" s="53">
        <v>80111600</v>
      </c>
      <c r="R262" s="162" t="s">
        <v>213</v>
      </c>
      <c r="S262" s="162" t="str">
        <f>MID(PAA[[#This Row],[Meta Proyecto de Inversión]],1,4)</f>
        <v>8173</v>
      </c>
      <c r="T262" s="162" t="str">
        <f>MID(PAA[[#This Row],[Meta Proyecto de Inversión]],6,1)</f>
        <v>4</v>
      </c>
      <c r="U262" s="163" t="str">
        <f>IFERROR(VLOOKUP(N262,TD!$B$50:$F$54,2,0)," ")</f>
        <v>O230117</v>
      </c>
      <c r="V262" s="163" t="str">
        <f>IFERROR(VLOOKUP(N262,TD!$B$50:$F$54,3,0)," ")</f>
        <v>4503</v>
      </c>
      <c r="W262" s="163">
        <f>IFERROR(VLOOKUP(N262,TD!$B$50:$F$54,4,0)," ")</f>
        <v>20240255</v>
      </c>
      <c r="X262" s="162" t="s">
        <v>176</v>
      </c>
      <c r="Y262" s="163" t="str">
        <f>IFERROR(VLOOKUP(X262,TD!$J$51:$K$64,2,0)," ")</f>
        <v>Servicio de mantenimiento, dotación (HEA´s y equipo menor) y adquisición de vehiculos   especializados para la atención de emergencias.</v>
      </c>
      <c r="Z262" s="164" t="str">
        <f>CONCATENATE(X262,"-",Y262)</f>
        <v>09-Servicio de mantenimiento, dotación (HEA´s y equipo menor) y adquisición de vehiculos   especializados para la atención de emergencias.</v>
      </c>
      <c r="AA262" s="162" t="s">
        <v>221</v>
      </c>
      <c r="AB262" s="163" t="str">
        <f>IFERROR(VLOOKUP(AA262,TD!$N$51:$O$66,2,0)," ")</f>
        <v>Servicio de atención a emergencias y desastres</v>
      </c>
      <c r="AC262" s="164" t="str">
        <f>CONCATENATE(AA262,"_",AB262)</f>
        <v>004_Servicio de atención a emergencias y desastres</v>
      </c>
      <c r="AD262" s="164" t="str">
        <f>CONCATENATE(Z262," ",AC262)</f>
        <v>09-Servicio de mantenimiento, dotación (HEA´s y equipo menor) y adquisición de vehiculos   especializados para la atención de emergencias. 004_Servicio de atención a emergencias y desastres</v>
      </c>
      <c r="AE262" s="163" t="str">
        <f>CONCATENATE(U262,V262,W262,X262,AA262)</f>
        <v>O23011745032024025509004</v>
      </c>
      <c r="AF262" s="163" t="str">
        <f>IFERROR(VLOOKUP(AD262,TD!$J$66:$K$89,2,0)," ")</f>
        <v>PM/0131/0109/45030040255</v>
      </c>
      <c r="AG262" s="118" t="s">
        <v>385</v>
      </c>
      <c r="AH262" s="162" t="s">
        <v>193</v>
      </c>
      <c r="AI262" s="165" t="str">
        <f>CONCATENATE(PAA[[#This Row],[Id Interno]],"-",PAA[[#This Row],[tipo de Contrato (TH talento humano - B/S bienes y/o servicios)]],"-",S262,"-",T262,"-",PAA[[#This Row],[Objeto de la contratación]])</f>
        <v>20260240-TH-8173-4-Prestar servicio de apoyo a la gestión para asistir a la Subdirección Logística en el seguimiento técnico y administrativo de los mantenimientos minimos requeridos en la Subdirección Logística - SBLG</v>
      </c>
    </row>
    <row r="263" spans="2:35" ht="56" x14ac:dyDescent="0.35">
      <c r="B263" s="23">
        <v>20260241</v>
      </c>
      <c r="C263" s="99" t="s">
        <v>841</v>
      </c>
      <c r="D263" s="23" t="s">
        <v>105</v>
      </c>
      <c r="E263" s="23" t="s">
        <v>363</v>
      </c>
      <c r="F263" s="159" t="s">
        <v>144</v>
      </c>
      <c r="G263" s="160" t="s">
        <v>373</v>
      </c>
      <c r="H263" s="161">
        <v>7</v>
      </c>
      <c r="I263" s="161">
        <v>15</v>
      </c>
      <c r="J263" s="127">
        <v>60000000</v>
      </c>
      <c r="K263" s="88" t="s">
        <v>398</v>
      </c>
      <c r="L263" s="159" t="s">
        <v>157</v>
      </c>
      <c r="M263" s="162" t="s">
        <v>501</v>
      </c>
      <c r="N263" s="23" t="s">
        <v>198</v>
      </c>
      <c r="O263" s="151" t="s">
        <v>946</v>
      </c>
      <c r="P263" s="159" t="s">
        <v>348</v>
      </c>
      <c r="Q263" s="53">
        <v>80111600</v>
      </c>
      <c r="R263" s="162" t="s">
        <v>213</v>
      </c>
      <c r="S263" s="162" t="str">
        <f>MID(PAA[[#This Row],[Meta Proyecto de Inversión]],1,4)</f>
        <v>8173</v>
      </c>
      <c r="T263" s="162" t="str">
        <f>MID(PAA[[#This Row],[Meta Proyecto de Inversión]],6,1)</f>
        <v>4</v>
      </c>
      <c r="U263" s="163" t="str">
        <f>IFERROR(VLOOKUP(N263,TD!$B$50:$F$54,2,0)," ")</f>
        <v>O230117</v>
      </c>
      <c r="V263" s="163" t="str">
        <f>IFERROR(VLOOKUP(N263,TD!$B$50:$F$54,3,0)," ")</f>
        <v>4503</v>
      </c>
      <c r="W263" s="163">
        <f>IFERROR(VLOOKUP(N263,TD!$B$50:$F$54,4,0)," ")</f>
        <v>20240255</v>
      </c>
      <c r="X263" s="162" t="s">
        <v>180</v>
      </c>
      <c r="Y263" s="163" t="str">
        <f>IFERROR(VLOOKUP(X263,TD!$J$51:$K$64,2,0)," ")</f>
        <v>Servicio de apoyo   logístico  en eventos operativos y/o emergencias.</v>
      </c>
      <c r="Z263" s="164" t="str">
        <f>CONCATENATE(X263,"-",Y263)</f>
        <v>12-Servicio de apoyo   logístico  en eventos operativos y/o emergencias.</v>
      </c>
      <c r="AA263" s="162" t="s">
        <v>221</v>
      </c>
      <c r="AB263" s="163" t="str">
        <f>IFERROR(VLOOKUP(AA263,TD!$N$51:$O$66,2,0)," ")</f>
        <v>Servicio de atención a emergencias y desastres</v>
      </c>
      <c r="AC263" s="164" t="str">
        <f>CONCATENATE(AA263,"_",AB263)</f>
        <v>004_Servicio de atención a emergencias y desastres</v>
      </c>
      <c r="AD263" s="164" t="str">
        <f>CONCATENATE(Z263," ",AC263)</f>
        <v>12-Servicio de apoyo   logístico  en eventos operativos y/o emergencias. 004_Servicio de atención a emergencias y desastres</v>
      </c>
      <c r="AE263" s="163" t="str">
        <f>CONCATENATE(U263,V263,W263,X263,AA263)</f>
        <v>O23011745032024025512004</v>
      </c>
      <c r="AF263" s="163" t="str">
        <f>IFERROR(VLOOKUP(AD263,TD!$J$66:$K$89,2,0)," ")</f>
        <v>PM/0131/0112/45030040255</v>
      </c>
      <c r="AG263" s="118" t="s">
        <v>385</v>
      </c>
      <c r="AH263" s="162" t="s">
        <v>193</v>
      </c>
      <c r="AI263" s="165" t="str">
        <f>CONCATENATE(PAA[[#This Row],[Id Interno]],"-",PAA[[#This Row],[tipo de Contrato (TH talento humano - B/S bienes y/o servicios)]],"-",S263,"-",T263,"-",PAA[[#This Row],[Objeto de la contratación]])</f>
        <v>20260241-TH-8173-4-Prestación de servicios profesionales para realizar el seguimiento, verificación y asignación de las solicitudes recepcionadas atraves de las herramientas tecnológicas  asociadas a la Subdirección Logística - SBLG</v>
      </c>
    </row>
    <row r="264" spans="2:35" ht="56.15" customHeight="1" x14ac:dyDescent="0.35">
      <c r="B264" s="23">
        <v>20260242</v>
      </c>
      <c r="C264" s="99" t="s">
        <v>916</v>
      </c>
      <c r="D264" s="23" t="s">
        <v>105</v>
      </c>
      <c r="E264" s="23" t="s">
        <v>363</v>
      </c>
      <c r="F264" s="159" t="s">
        <v>144</v>
      </c>
      <c r="G264" s="160" t="s">
        <v>373</v>
      </c>
      <c r="H264" s="161">
        <v>7</v>
      </c>
      <c r="I264" s="161">
        <v>0</v>
      </c>
      <c r="J264" s="127">
        <v>31500000</v>
      </c>
      <c r="K264" s="88" t="s">
        <v>398</v>
      </c>
      <c r="L264" s="159" t="s">
        <v>157</v>
      </c>
      <c r="M264" s="162" t="s">
        <v>501</v>
      </c>
      <c r="N264" s="23" t="s">
        <v>198</v>
      </c>
      <c r="O264" s="151" t="s">
        <v>946</v>
      </c>
      <c r="P264" s="159" t="s">
        <v>348</v>
      </c>
      <c r="Q264" s="53">
        <v>80111600</v>
      </c>
      <c r="R264" s="162" t="s">
        <v>213</v>
      </c>
      <c r="S264" s="162" t="str">
        <f>MID(PAA[[#This Row],[Meta Proyecto de Inversión]],1,4)</f>
        <v>8173</v>
      </c>
      <c r="T264" s="162" t="str">
        <f>MID(PAA[[#This Row],[Meta Proyecto de Inversión]],6,1)</f>
        <v>4</v>
      </c>
      <c r="U264" s="163" t="str">
        <f>IFERROR(VLOOKUP(N264,TD!$B$50:$F$54,2,0)," ")</f>
        <v>O230117</v>
      </c>
      <c r="V264" s="163" t="str">
        <f>IFERROR(VLOOKUP(N264,TD!$B$50:$F$54,3,0)," ")</f>
        <v>4503</v>
      </c>
      <c r="W264" s="163">
        <f>IFERROR(VLOOKUP(N264,TD!$B$50:$F$54,4,0)," ")</f>
        <v>20240255</v>
      </c>
      <c r="X264" s="162" t="s">
        <v>180</v>
      </c>
      <c r="Y264" s="163" t="str">
        <f>IFERROR(VLOOKUP(X264,TD!$J$51:$K$64,2,0)," ")</f>
        <v>Servicio de apoyo   logístico  en eventos operativos y/o emergencias.</v>
      </c>
      <c r="Z264" s="164" t="str">
        <f>CONCATENATE(X264,"-",Y264)</f>
        <v>12-Servicio de apoyo   logístico  en eventos operativos y/o emergencias.</v>
      </c>
      <c r="AA264" s="162" t="s">
        <v>221</v>
      </c>
      <c r="AB264" s="163" t="str">
        <f>IFERROR(VLOOKUP(AA264,TD!$N$51:$O$66,2,0)," ")</f>
        <v>Servicio de atención a emergencias y desastres</v>
      </c>
      <c r="AC264" s="164" t="str">
        <f>CONCATENATE(AA264,"_",AB264)</f>
        <v>004_Servicio de atención a emergencias y desastres</v>
      </c>
      <c r="AD264" s="164" t="str">
        <f>CONCATENATE(Z264," ",AC264)</f>
        <v>12-Servicio de apoyo   logístico  en eventos operativos y/o emergencias. 004_Servicio de atención a emergencias y desastres</v>
      </c>
      <c r="AE264" s="163" t="str">
        <f>CONCATENATE(U264,V264,W264,X264,AA264)</f>
        <v>O23011745032024025512004</v>
      </c>
      <c r="AF264" s="163" t="str">
        <f>IFERROR(VLOOKUP(AD264,TD!$J$66:$K$89,2,0)," ")</f>
        <v>PM/0131/0112/45030040255</v>
      </c>
      <c r="AG264" s="118" t="s">
        <v>385</v>
      </c>
      <c r="AH264" s="162" t="s">
        <v>193</v>
      </c>
      <c r="AI264" s="165" t="str">
        <f>CONCATENATE(PAA[[#This Row],[Id Interno]],"-",PAA[[#This Row],[tipo de Contrato (TH talento humano - B/S bienes y/o servicios)]],"-",S264,"-",T264,"-",PAA[[#This Row],[Objeto de la contratación]])</f>
        <v>20260242-TH-8173-4-Prestar servicios profesionales para el seguimiento y gestión de las actividades establecidas en los planes de acción y estratégicos; así como, de los procesos de planeación y administrativos propios de Subdirección Logística - SBLG"</v>
      </c>
    </row>
    <row r="265" spans="2:35" ht="56" x14ac:dyDescent="0.35">
      <c r="B265" s="23">
        <v>20260243</v>
      </c>
      <c r="C265" s="99" t="s">
        <v>842</v>
      </c>
      <c r="D265" s="23" t="s">
        <v>105</v>
      </c>
      <c r="E265" s="23" t="s">
        <v>363</v>
      </c>
      <c r="F265" s="159" t="s">
        <v>144</v>
      </c>
      <c r="G265" s="160" t="s">
        <v>373</v>
      </c>
      <c r="H265" s="161">
        <v>8</v>
      </c>
      <c r="I265" s="161">
        <v>0</v>
      </c>
      <c r="J265" s="127">
        <v>48000000</v>
      </c>
      <c r="K265" s="88" t="s">
        <v>398</v>
      </c>
      <c r="L265" s="159" t="s">
        <v>157</v>
      </c>
      <c r="M265" s="162" t="s">
        <v>501</v>
      </c>
      <c r="N265" s="23" t="s">
        <v>198</v>
      </c>
      <c r="O265" s="151" t="s">
        <v>946</v>
      </c>
      <c r="P265" s="159" t="s">
        <v>348</v>
      </c>
      <c r="Q265" s="53">
        <v>80111600</v>
      </c>
      <c r="R265" s="162" t="s">
        <v>213</v>
      </c>
      <c r="S265" s="162" t="str">
        <f>MID(PAA[[#This Row],[Meta Proyecto de Inversión]],1,4)</f>
        <v>8173</v>
      </c>
      <c r="T265" s="162" t="str">
        <f>MID(PAA[[#This Row],[Meta Proyecto de Inversión]],6,1)</f>
        <v>4</v>
      </c>
      <c r="U265" s="163" t="str">
        <f>IFERROR(VLOOKUP(N265,TD!$B$50:$F$54,2,0)," ")</f>
        <v>O230117</v>
      </c>
      <c r="V265" s="163" t="str">
        <f>IFERROR(VLOOKUP(N265,TD!$B$50:$F$54,3,0)," ")</f>
        <v>4503</v>
      </c>
      <c r="W265" s="163">
        <f>IFERROR(VLOOKUP(N265,TD!$B$50:$F$54,4,0)," ")</f>
        <v>20240255</v>
      </c>
      <c r="X265" s="162" t="s">
        <v>180</v>
      </c>
      <c r="Y265" s="163" t="str">
        <f>IFERROR(VLOOKUP(X265,TD!$J$51:$K$64,2,0)," ")</f>
        <v>Servicio de apoyo   logístico  en eventos operativos y/o emergencias.</v>
      </c>
      <c r="Z265" s="164" t="str">
        <f>CONCATENATE(X265,"-",Y265)</f>
        <v>12-Servicio de apoyo   logístico  en eventos operativos y/o emergencias.</v>
      </c>
      <c r="AA265" s="162" t="s">
        <v>221</v>
      </c>
      <c r="AB265" s="163" t="str">
        <f>IFERROR(VLOOKUP(AA265,TD!$N$51:$O$66,2,0)," ")</f>
        <v>Servicio de atención a emergencias y desastres</v>
      </c>
      <c r="AC265" s="164" t="str">
        <f>CONCATENATE(AA265,"_",AB265)</f>
        <v>004_Servicio de atención a emergencias y desastres</v>
      </c>
      <c r="AD265" s="164" t="str">
        <f>CONCATENATE(Z265," ",AC265)</f>
        <v>12-Servicio de apoyo   logístico  en eventos operativos y/o emergencias. 004_Servicio de atención a emergencias y desastres</v>
      </c>
      <c r="AE265" s="163" t="str">
        <f>CONCATENATE(U265,V265,W265,X265,AA265)</f>
        <v>O23011745032024025512004</v>
      </c>
      <c r="AF265" s="163" t="str">
        <f>IFERROR(VLOOKUP(AD265,TD!$J$66:$K$89,2,0)," ")</f>
        <v>PM/0131/0112/45030040255</v>
      </c>
      <c r="AG265" s="118" t="s">
        <v>385</v>
      </c>
      <c r="AH265" s="162" t="s">
        <v>193</v>
      </c>
      <c r="AI265" s="165" t="str">
        <f>CONCATENATE(PAA[[#This Row],[Id Interno]],"-",PAA[[#This Row],[tipo de Contrato (TH talento humano - B/S bienes y/o servicios)]],"-",S265,"-",T265,"-",PAA[[#This Row],[Objeto de la contratación]])</f>
        <v>20260243-TH-8173-4-Prestar servicios profesionales apoyando las estrategias de comunicación, capacitación y gestión administrativa que promueva el uso y apropiación de los programas desarrollados en cada una de las estrategías de la Subdirección Logística - SBLG</v>
      </c>
    </row>
    <row r="266" spans="2:35" ht="56" x14ac:dyDescent="0.35">
      <c r="B266" s="23">
        <v>20260244</v>
      </c>
      <c r="C266" s="99" t="s">
        <v>999</v>
      </c>
      <c r="D266" s="23" t="s">
        <v>114</v>
      </c>
      <c r="E266" s="23" t="s">
        <v>402</v>
      </c>
      <c r="F266" s="159" t="s">
        <v>111</v>
      </c>
      <c r="G266" s="160" t="s">
        <v>375</v>
      </c>
      <c r="H266" s="161">
        <v>10</v>
      </c>
      <c r="I266" s="161">
        <v>0</v>
      </c>
      <c r="J266" s="127">
        <v>111000000</v>
      </c>
      <c r="K266" s="88" t="s">
        <v>398</v>
      </c>
      <c r="L266" s="159" t="s">
        <v>157</v>
      </c>
      <c r="M266" s="162" t="s">
        <v>501</v>
      </c>
      <c r="N266" s="23" t="s">
        <v>198</v>
      </c>
      <c r="O266" s="151" t="s">
        <v>946</v>
      </c>
      <c r="P266" s="159" t="s">
        <v>161</v>
      </c>
      <c r="Q266" s="53">
        <v>15101500</v>
      </c>
      <c r="R266" s="162" t="s">
        <v>213</v>
      </c>
      <c r="S266" s="162" t="str">
        <f>MID(PAA[[#This Row],[Meta Proyecto de Inversión]],1,4)</f>
        <v>8173</v>
      </c>
      <c r="T266" s="162" t="str">
        <f>MID(PAA[[#This Row],[Meta Proyecto de Inversión]],6,1)</f>
        <v>4</v>
      </c>
      <c r="U266" s="163" t="str">
        <f>IFERROR(VLOOKUP(N266,TD!$B$50:$F$54,2,0)," ")</f>
        <v>O230117</v>
      </c>
      <c r="V266" s="163" t="str">
        <f>IFERROR(VLOOKUP(N266,TD!$B$50:$F$54,3,0)," ")</f>
        <v>4503</v>
      </c>
      <c r="W266" s="163">
        <f>IFERROR(VLOOKUP(N266,TD!$B$50:$F$54,4,0)," ")</f>
        <v>20240255</v>
      </c>
      <c r="X266" s="162" t="s">
        <v>180</v>
      </c>
      <c r="Y266" s="163" t="str">
        <f>IFERROR(VLOOKUP(X266,TD!$J$51:$K$64,2,0)," ")</f>
        <v>Servicio de apoyo   logístico  en eventos operativos y/o emergencias.</v>
      </c>
      <c r="Z266" s="164" t="str">
        <f>CONCATENATE(X266,"-",Y266)</f>
        <v>12-Servicio de apoyo   logístico  en eventos operativos y/o emergencias.</v>
      </c>
      <c r="AA266" s="162" t="s">
        <v>221</v>
      </c>
      <c r="AB266" s="163" t="str">
        <f>IFERROR(VLOOKUP(AA266,TD!$N$51:$O$66,2,0)," ")</f>
        <v>Servicio de atención a emergencias y desastres</v>
      </c>
      <c r="AC266" s="164" t="str">
        <f>CONCATENATE(AA266,"_",AB266)</f>
        <v>004_Servicio de atención a emergencias y desastres</v>
      </c>
      <c r="AD266" s="164" t="str">
        <f>CONCATENATE(Z266," ",AC266)</f>
        <v>12-Servicio de apoyo   logístico  en eventos operativos y/o emergencias. 004_Servicio de atención a emergencias y desastres</v>
      </c>
      <c r="AE266" s="163" t="str">
        <f>CONCATENATE(U266,V266,W266,X266,AA266)</f>
        <v>O23011745032024025512004</v>
      </c>
      <c r="AF266" s="163" t="str">
        <f>IFERROR(VLOOKUP(AD266,TD!$J$66:$K$89,2,0)," ")</f>
        <v>PM/0131/0112/45030040255</v>
      </c>
      <c r="AG266" s="118" t="s">
        <v>85</v>
      </c>
      <c r="AH266" s="162" t="s">
        <v>193</v>
      </c>
      <c r="AI266" s="165" t="str">
        <f>CONCATENATE(PAA[[#This Row],[Id Interno]],"-",PAA[[#This Row],[tipo de Contrato (TH talento humano - B/S bienes y/o servicios)]],"-",S266,"-",T266,"-",PAA[[#This Row],[Objeto de la contratación]])</f>
        <v>20260244-BS-8173-4-Suministrar combustible para el parque automotor y los equipos especializados de la U.A.E. Cuerpo Oficial de Bomberos Bogotá, dentro y fuera del perímetro del Distrito Capital – SBLG.</v>
      </c>
    </row>
    <row r="267" spans="2:35" ht="56" x14ac:dyDescent="0.35">
      <c r="B267" s="23">
        <v>20260245</v>
      </c>
      <c r="C267" s="99" t="s">
        <v>503</v>
      </c>
      <c r="D267" s="23" t="s">
        <v>88</v>
      </c>
      <c r="E267" s="23" t="s">
        <v>402</v>
      </c>
      <c r="F267" s="159" t="s">
        <v>89</v>
      </c>
      <c r="G267" s="160" t="s">
        <v>375</v>
      </c>
      <c r="H267" s="161">
        <v>10</v>
      </c>
      <c r="I267" s="161">
        <v>0</v>
      </c>
      <c r="J267" s="127">
        <v>25000000</v>
      </c>
      <c r="K267" s="88" t="s">
        <v>398</v>
      </c>
      <c r="L267" s="159" t="s">
        <v>157</v>
      </c>
      <c r="M267" s="162" t="s">
        <v>501</v>
      </c>
      <c r="N267" s="23" t="s">
        <v>198</v>
      </c>
      <c r="O267" s="151" t="s">
        <v>946</v>
      </c>
      <c r="P267" s="159" t="s">
        <v>348</v>
      </c>
      <c r="Q267" s="53" t="s">
        <v>504</v>
      </c>
      <c r="R267" s="162" t="s">
        <v>213</v>
      </c>
      <c r="S267" s="162" t="str">
        <f>MID(PAA[[#This Row],[Meta Proyecto de Inversión]],1,4)</f>
        <v>8173</v>
      </c>
      <c r="T267" s="162" t="str">
        <f>MID(PAA[[#This Row],[Meta Proyecto de Inversión]],6,1)</f>
        <v>4</v>
      </c>
      <c r="U267" s="163" t="str">
        <f>IFERROR(VLOOKUP(N267,TD!$B$50:$F$54,2,0)," ")</f>
        <v>O230117</v>
      </c>
      <c r="V267" s="163" t="str">
        <f>IFERROR(VLOOKUP(N267,TD!$B$50:$F$54,3,0)," ")</f>
        <v>4503</v>
      </c>
      <c r="W267" s="163">
        <f>IFERROR(VLOOKUP(N267,TD!$B$50:$F$54,4,0)," ")</f>
        <v>20240255</v>
      </c>
      <c r="X267" s="162" t="s">
        <v>176</v>
      </c>
      <c r="Y267" s="163" t="str">
        <f>IFERROR(VLOOKUP(X267,TD!$J$51:$K$64,2,0)," ")</f>
        <v>Servicio de mantenimiento, dotación (HEA´s y equipo menor) y adquisición de vehiculos   especializados para la atención de emergencias.</v>
      </c>
      <c r="Z267" s="164" t="str">
        <f>CONCATENATE(X267,"-",Y267)</f>
        <v>09-Servicio de mantenimiento, dotación (HEA´s y equipo menor) y adquisición de vehiculos   especializados para la atención de emergencias.</v>
      </c>
      <c r="AA267" s="162" t="s">
        <v>221</v>
      </c>
      <c r="AB267" s="163" t="str">
        <f>IFERROR(VLOOKUP(AA267,TD!$N$51:$O$66,2,0)," ")</f>
        <v>Servicio de atención a emergencias y desastres</v>
      </c>
      <c r="AC267" s="164" t="str">
        <f>CONCATENATE(AA267,"_",AB267)</f>
        <v>004_Servicio de atención a emergencias y desastres</v>
      </c>
      <c r="AD267" s="164" t="str">
        <f>CONCATENATE(Z267," ",AC267)</f>
        <v>09-Servicio de mantenimiento, dotación (HEA´s y equipo menor) y adquisición de vehiculos   especializados para la atención de emergencias. 004_Servicio de atención a emergencias y desastres</v>
      </c>
      <c r="AE267" s="163" t="str">
        <f>CONCATENATE(U267,V267,W267,X267,AA267)</f>
        <v>O23011745032024025509004</v>
      </c>
      <c r="AF267" s="163" t="str">
        <f>IFERROR(VLOOKUP(AD267,TD!$J$66:$K$89,2,0)," ")</f>
        <v>PM/0131/0109/45030040255</v>
      </c>
      <c r="AG267" s="118" t="s">
        <v>80</v>
      </c>
      <c r="AH267" s="162" t="s">
        <v>193</v>
      </c>
      <c r="AI267" s="165" t="str">
        <f>CONCATENATE(PAA[[#This Row],[Id Interno]],"-",PAA[[#This Row],[tipo de Contrato (TH talento humano - B/S bienes y/o servicios)]],"-",S267,"-",T267,"-",PAA[[#This Row],[Objeto de la contratación]])</f>
        <v>20260245-BS-8173-4-Mantenimiento correctivo y preventivo de los equipos menores con suministro, repuestos, accesorios e insumos de propiedad de la UAECOB. – SBLG </v>
      </c>
    </row>
    <row r="268" spans="2:35" ht="56" x14ac:dyDescent="0.35">
      <c r="B268" s="23">
        <v>20260246</v>
      </c>
      <c r="C268" s="99" t="s">
        <v>512</v>
      </c>
      <c r="D268" s="23" t="s">
        <v>92</v>
      </c>
      <c r="E268" s="23" t="s">
        <v>402</v>
      </c>
      <c r="F268" s="159" t="s">
        <v>111</v>
      </c>
      <c r="G268" s="160" t="s">
        <v>376</v>
      </c>
      <c r="H268" s="161">
        <v>8</v>
      </c>
      <c r="I268" s="161">
        <v>0</v>
      </c>
      <c r="J268" s="127">
        <v>25000000</v>
      </c>
      <c r="K268" s="88" t="s">
        <v>398</v>
      </c>
      <c r="L268" s="159" t="s">
        <v>157</v>
      </c>
      <c r="M268" s="162" t="s">
        <v>501</v>
      </c>
      <c r="N268" s="23" t="s">
        <v>198</v>
      </c>
      <c r="O268" s="151" t="s">
        <v>946</v>
      </c>
      <c r="P268" s="159" t="s">
        <v>348</v>
      </c>
      <c r="Q268" s="53" t="s">
        <v>513</v>
      </c>
      <c r="R268" s="162" t="s">
        <v>213</v>
      </c>
      <c r="S268" s="162" t="str">
        <f>MID(PAA[[#This Row],[Meta Proyecto de Inversión]],1,4)</f>
        <v>8173</v>
      </c>
      <c r="T268" s="162" t="str">
        <f>MID(PAA[[#This Row],[Meta Proyecto de Inversión]],6,1)</f>
        <v>4</v>
      </c>
      <c r="U268" s="163" t="str">
        <f>IFERROR(VLOOKUP(N268,TD!$B$50:$F$54,2,0)," ")</f>
        <v>O230117</v>
      </c>
      <c r="V268" s="163" t="str">
        <f>IFERROR(VLOOKUP(N268,TD!$B$50:$F$54,3,0)," ")</f>
        <v>4503</v>
      </c>
      <c r="W268" s="163">
        <f>IFERROR(VLOOKUP(N268,TD!$B$50:$F$54,4,0)," ")</f>
        <v>20240255</v>
      </c>
      <c r="X268" s="162" t="s">
        <v>180</v>
      </c>
      <c r="Y268" s="163" t="str">
        <f>IFERROR(VLOOKUP(X268,TD!$J$51:$K$64,2,0)," ")</f>
        <v>Servicio de apoyo   logístico  en eventos operativos y/o emergencias.</v>
      </c>
      <c r="Z268" s="164" t="str">
        <f>CONCATENATE(X268,"-",Y268)</f>
        <v>12-Servicio de apoyo   logístico  en eventos operativos y/o emergencias.</v>
      </c>
      <c r="AA268" s="162" t="s">
        <v>221</v>
      </c>
      <c r="AB268" s="163" t="str">
        <f>IFERROR(VLOOKUP(AA268,TD!$N$51:$O$66,2,0)," ")</f>
        <v>Servicio de atención a emergencias y desastres</v>
      </c>
      <c r="AC268" s="164" t="str">
        <f>CONCATENATE(AA268,"_",AB268)</f>
        <v>004_Servicio de atención a emergencias y desastres</v>
      </c>
      <c r="AD268" s="164" t="str">
        <f>CONCATENATE(Z268," ",AC268)</f>
        <v>12-Servicio de apoyo   logístico  en eventos operativos y/o emergencias. 004_Servicio de atención a emergencias y desastres</v>
      </c>
      <c r="AE268" s="163" t="str">
        <f>CONCATENATE(U268,V268,W268,X268,AA268)</f>
        <v>O23011745032024025512004</v>
      </c>
      <c r="AF268" s="163" t="str">
        <f>IFERROR(VLOOKUP(AD268,TD!$J$66:$K$89,2,0)," ")</f>
        <v>PM/0131/0112/45030040255</v>
      </c>
      <c r="AG268" s="118" t="s">
        <v>125</v>
      </c>
      <c r="AH268" s="162" t="s">
        <v>193</v>
      </c>
      <c r="AI268" s="165" t="str">
        <f>CONCATENATE(PAA[[#This Row],[Id Interno]],"-",PAA[[#This Row],[tipo de Contrato (TH talento humano - B/S bienes y/o servicios)]],"-",S268,"-",T268,"-",PAA[[#This Row],[Objeto de la contratación]])</f>
        <v>20260246-BS-8173-4-Contratar el suministro de alimentación para los caninos del cuerpo oficial y animales rescatados por la U.A.E. del Cuerpo Oficial de Bomberos de Bogotá –  SBLG</v>
      </c>
    </row>
    <row r="269" spans="2:35" ht="56" x14ac:dyDescent="0.35">
      <c r="B269" s="23">
        <v>20260247</v>
      </c>
      <c r="C269" s="99" t="s">
        <v>508</v>
      </c>
      <c r="D269" s="23" t="s">
        <v>92</v>
      </c>
      <c r="E269" s="23" t="s">
        <v>402</v>
      </c>
      <c r="F269" s="159" t="s">
        <v>111</v>
      </c>
      <c r="G269" s="160" t="s">
        <v>377</v>
      </c>
      <c r="H269" s="161">
        <v>8</v>
      </c>
      <c r="I269" s="161">
        <v>0</v>
      </c>
      <c r="J269" s="127">
        <v>10000000</v>
      </c>
      <c r="K269" s="88" t="s">
        <v>398</v>
      </c>
      <c r="L269" s="159" t="s">
        <v>157</v>
      </c>
      <c r="M269" s="162" t="s">
        <v>501</v>
      </c>
      <c r="N269" s="23" t="s">
        <v>198</v>
      </c>
      <c r="O269" s="151" t="s">
        <v>946</v>
      </c>
      <c r="P269" s="159" t="s">
        <v>348</v>
      </c>
      <c r="Q269" s="53" t="s">
        <v>509</v>
      </c>
      <c r="R269" s="162" t="s">
        <v>213</v>
      </c>
      <c r="S269" s="162" t="str">
        <f>MID(PAA[[#This Row],[Meta Proyecto de Inversión]],1,4)</f>
        <v>8173</v>
      </c>
      <c r="T269" s="162" t="str">
        <f>MID(PAA[[#This Row],[Meta Proyecto de Inversión]],6,1)</f>
        <v>4</v>
      </c>
      <c r="U269" s="163" t="str">
        <f>IFERROR(VLOOKUP(N269,TD!$B$50:$F$54,2,0)," ")</f>
        <v>O230117</v>
      </c>
      <c r="V269" s="163" t="str">
        <f>IFERROR(VLOOKUP(N269,TD!$B$50:$F$54,3,0)," ")</f>
        <v>4503</v>
      </c>
      <c r="W269" s="163">
        <f>IFERROR(VLOOKUP(N269,TD!$B$50:$F$54,4,0)," ")</f>
        <v>20240255</v>
      </c>
      <c r="X269" s="162" t="s">
        <v>180</v>
      </c>
      <c r="Y269" s="163" t="str">
        <f>IFERROR(VLOOKUP(X269,TD!$J$51:$K$64,2,0)," ")</f>
        <v>Servicio de apoyo   logístico  en eventos operativos y/o emergencias.</v>
      </c>
      <c r="Z269" s="164" t="str">
        <f>CONCATENATE(X269,"-",Y269)</f>
        <v>12-Servicio de apoyo   logístico  en eventos operativos y/o emergencias.</v>
      </c>
      <c r="AA269" s="162" t="s">
        <v>221</v>
      </c>
      <c r="AB269" s="163" t="str">
        <f>IFERROR(VLOOKUP(AA269,TD!$N$51:$O$66,2,0)," ")</f>
        <v>Servicio de atención a emergencias y desastres</v>
      </c>
      <c r="AC269" s="164" t="str">
        <f>CONCATENATE(AA269,"_",AB269)</f>
        <v>004_Servicio de atención a emergencias y desastres</v>
      </c>
      <c r="AD269" s="164" t="str">
        <f>CONCATENATE(Z269," ",AC269)</f>
        <v>12-Servicio de apoyo   logístico  en eventos operativos y/o emergencias. 004_Servicio de atención a emergencias y desastres</v>
      </c>
      <c r="AE269" s="163" t="str">
        <f>CONCATENATE(U269,V269,W269,X269,AA269)</f>
        <v>O23011745032024025512004</v>
      </c>
      <c r="AF269" s="163" t="str">
        <f>IFERROR(VLOOKUP(AD269,TD!$J$66:$K$89,2,0)," ")</f>
        <v>PM/0131/0112/45030040255</v>
      </c>
      <c r="AG269" s="118" t="s">
        <v>921</v>
      </c>
      <c r="AH269" s="162" t="s">
        <v>193</v>
      </c>
      <c r="AI269" s="165" t="str">
        <f>CONCATENATE(PAA[[#This Row],[Id Interno]],"-",PAA[[#This Row],[tipo de Contrato (TH talento humano - B/S bienes y/o servicios)]],"-",S269,"-",T269,"-",PAA[[#This Row],[Objeto de la contratación]])</f>
        <v>20260247-BS-8173-4-Proveer el suministro de elementos de bioseguridad e insumos médicos básicos y otros para la atención de emergencias. - SBLG</v>
      </c>
    </row>
    <row r="270" spans="2:35" ht="56" x14ac:dyDescent="0.35">
      <c r="B270" s="23">
        <v>20260249</v>
      </c>
      <c r="C270" s="99" t="s">
        <v>518</v>
      </c>
      <c r="D270" s="23" t="s">
        <v>92</v>
      </c>
      <c r="E270" s="23" t="s">
        <v>402</v>
      </c>
      <c r="F270" s="159" t="s">
        <v>89</v>
      </c>
      <c r="G270" s="160" t="s">
        <v>377</v>
      </c>
      <c r="H270" s="161">
        <v>8</v>
      </c>
      <c r="I270" s="161">
        <v>0</v>
      </c>
      <c r="J270" s="127">
        <v>25000000</v>
      </c>
      <c r="K270" s="88" t="s">
        <v>398</v>
      </c>
      <c r="L270" s="159" t="s">
        <v>157</v>
      </c>
      <c r="M270" s="162" t="s">
        <v>501</v>
      </c>
      <c r="N270" s="23" t="s">
        <v>198</v>
      </c>
      <c r="O270" s="151" t="s">
        <v>946</v>
      </c>
      <c r="P270" s="159" t="s">
        <v>348</v>
      </c>
      <c r="Q270" s="53" t="s">
        <v>519</v>
      </c>
      <c r="R270" s="162" t="s">
        <v>213</v>
      </c>
      <c r="S270" s="162" t="str">
        <f>MID(PAA[[#This Row],[Meta Proyecto de Inversión]],1,4)</f>
        <v>8173</v>
      </c>
      <c r="T270" s="162" t="str">
        <f>MID(PAA[[#This Row],[Meta Proyecto de Inversión]],6,1)</f>
        <v>4</v>
      </c>
      <c r="U270" s="163" t="str">
        <f>IFERROR(VLOOKUP(N270,TD!$B$50:$F$54,2,0)," ")</f>
        <v>O230117</v>
      </c>
      <c r="V270" s="163" t="str">
        <f>IFERROR(VLOOKUP(N270,TD!$B$50:$F$54,3,0)," ")</f>
        <v>4503</v>
      </c>
      <c r="W270" s="163">
        <f>IFERROR(VLOOKUP(N270,TD!$B$50:$F$54,4,0)," ")</f>
        <v>20240255</v>
      </c>
      <c r="X270" s="162" t="s">
        <v>180</v>
      </c>
      <c r="Y270" s="163" t="str">
        <f>IFERROR(VLOOKUP(X270,TD!$J$51:$K$64,2,0)," ")</f>
        <v>Servicio de apoyo   logístico  en eventos operativos y/o emergencias.</v>
      </c>
      <c r="Z270" s="164" t="str">
        <f>CONCATENATE(X270,"-",Y270)</f>
        <v>12-Servicio de apoyo   logístico  en eventos operativos y/o emergencias.</v>
      </c>
      <c r="AA270" s="162" t="s">
        <v>221</v>
      </c>
      <c r="AB270" s="163" t="str">
        <f>IFERROR(VLOOKUP(AA270,TD!$N$51:$O$66,2,0)," ")</f>
        <v>Servicio de atención a emergencias y desastres</v>
      </c>
      <c r="AC270" s="164" t="str">
        <f>CONCATENATE(AA270,"_",AB270)</f>
        <v>004_Servicio de atención a emergencias y desastres</v>
      </c>
      <c r="AD270" s="164" t="str">
        <f>CONCATENATE(Z270," ",AC270)</f>
        <v>12-Servicio de apoyo   logístico  en eventos operativos y/o emergencias. 004_Servicio de atención a emergencias y desastres</v>
      </c>
      <c r="AE270" s="163" t="str">
        <f>CONCATENATE(U270,V270,W270,X270,AA270)</f>
        <v>O23011745032024025512004</v>
      </c>
      <c r="AF270" s="163" t="str">
        <f>IFERROR(VLOOKUP(AD270,TD!$J$66:$K$89,2,0)," ")</f>
        <v>PM/0131/0112/45030040255</v>
      </c>
      <c r="AG270" s="118" t="s">
        <v>125</v>
      </c>
      <c r="AH270" s="162" t="s">
        <v>193</v>
      </c>
      <c r="AI270" s="165" t="str">
        <f>CONCATENATE(PAA[[#This Row],[Id Interno]],"-",PAA[[#This Row],[tipo de Contrato (TH talento humano - B/S bienes y/o servicios)]],"-",S270,"-",T270,"-",PAA[[#This Row],[Objeto de la contratación]])</f>
        <v>20260249-BS-8173-4-Prestación de servicios médicos veterinarios, con suministro de medicamentos e insumos veterinarios y otros, para los caninos de la U.A.E. Cuerpo Oficial de Bomberos de Bogotá -  SBLG</v>
      </c>
    </row>
    <row r="271" spans="2:35" ht="56" x14ac:dyDescent="0.35">
      <c r="B271" s="23">
        <v>20260250</v>
      </c>
      <c r="C271" s="99" t="s">
        <v>522</v>
      </c>
      <c r="D271" s="23" t="s">
        <v>105</v>
      </c>
      <c r="E271" s="23" t="s">
        <v>402</v>
      </c>
      <c r="F271" s="159" t="s">
        <v>111</v>
      </c>
      <c r="G271" s="160" t="s">
        <v>377</v>
      </c>
      <c r="H271" s="161">
        <v>8</v>
      </c>
      <c r="I271" s="161">
        <v>0</v>
      </c>
      <c r="J271" s="127">
        <v>20000000</v>
      </c>
      <c r="K271" s="88" t="s">
        <v>398</v>
      </c>
      <c r="L271" s="159" t="s">
        <v>157</v>
      </c>
      <c r="M271" s="162" t="s">
        <v>501</v>
      </c>
      <c r="N271" s="23" t="s">
        <v>198</v>
      </c>
      <c r="O271" s="151" t="s">
        <v>946</v>
      </c>
      <c r="P271" s="159" t="s">
        <v>348</v>
      </c>
      <c r="Q271" s="53" t="s">
        <v>523</v>
      </c>
      <c r="R271" s="162" t="s">
        <v>213</v>
      </c>
      <c r="S271" s="162" t="str">
        <f>MID(PAA[[#This Row],[Meta Proyecto de Inversión]],1,4)</f>
        <v>8173</v>
      </c>
      <c r="T271" s="162" t="str">
        <f>MID(PAA[[#This Row],[Meta Proyecto de Inversión]],6,1)</f>
        <v>4</v>
      </c>
      <c r="U271" s="163" t="str">
        <f>IFERROR(VLOOKUP(N271,TD!$B$50:$F$54,2,0)," ")</f>
        <v>O230117</v>
      </c>
      <c r="V271" s="163" t="str">
        <f>IFERROR(VLOOKUP(N271,TD!$B$50:$F$54,3,0)," ")</f>
        <v>4503</v>
      </c>
      <c r="W271" s="163">
        <f>IFERROR(VLOOKUP(N271,TD!$B$50:$F$54,4,0)," ")</f>
        <v>20240255</v>
      </c>
      <c r="X271" s="162" t="s">
        <v>176</v>
      </c>
      <c r="Y271" s="163" t="str">
        <f>IFERROR(VLOOKUP(X271,TD!$J$51:$K$64,2,0)," ")</f>
        <v>Servicio de mantenimiento, dotación (HEA´s y equipo menor) y adquisición de vehiculos   especializados para la atención de emergencias.</v>
      </c>
      <c r="Z271" s="164" t="str">
        <f>CONCATENATE(X271,"-",Y271)</f>
        <v>09-Servicio de mantenimiento, dotación (HEA´s y equipo menor) y adquisición de vehiculos   especializados para la atención de emergencias.</v>
      </c>
      <c r="AA271" s="162" t="s">
        <v>221</v>
      </c>
      <c r="AB271" s="163" t="str">
        <f>IFERROR(VLOOKUP(AA271,TD!$N$51:$O$66,2,0)," ")</f>
        <v>Servicio de atención a emergencias y desastres</v>
      </c>
      <c r="AC271" s="164" t="str">
        <f>CONCATENATE(AA271,"_",AB271)</f>
        <v>004_Servicio de atención a emergencias y desastres</v>
      </c>
      <c r="AD271" s="164" t="str">
        <f>CONCATENATE(Z271," ",AC271)</f>
        <v>09-Servicio de mantenimiento, dotación (HEA´s y equipo menor) y adquisición de vehiculos   especializados para la atención de emergencias. 004_Servicio de atención a emergencias y desastres</v>
      </c>
      <c r="AE271" s="163" t="str">
        <f>CONCATENATE(U271,V271,W271,X271,AA271)</f>
        <v>O23011745032024025509004</v>
      </c>
      <c r="AF271" s="163" t="str">
        <f>IFERROR(VLOOKUP(AD271,TD!$J$66:$K$89,2,0)," ")</f>
        <v>PM/0131/0109/45030040255</v>
      </c>
      <c r="AG271" s="118" t="s">
        <v>574</v>
      </c>
      <c r="AH271" s="162" t="s">
        <v>193</v>
      </c>
      <c r="AI271" s="165" t="str">
        <f>CONCATENATE(PAA[[#This Row],[Id Interno]],"-",PAA[[#This Row],[tipo de Contrato (TH talento humano - B/S bienes y/o servicios)]],"-",S271,"-",T271,"-",PAA[[#This Row],[Objeto de la contratación]])</f>
        <v>20260250-BS-8173-4-Prestar el servicio de mantenimiento preventivo y correctivo de los compresores BAUER propiedad de la U.A.E. Cuerpo Oficial de Bomberos de Bogotá, incluido el suministro de repuestos, insumos y mano de obra especializada.  - SBLG</v>
      </c>
    </row>
    <row r="272" spans="2:35" ht="56" x14ac:dyDescent="0.35">
      <c r="B272" s="23">
        <v>20260251</v>
      </c>
      <c r="C272" s="99" t="s">
        <v>659</v>
      </c>
      <c r="D272" s="23" t="s">
        <v>88</v>
      </c>
      <c r="E272" s="23" t="s">
        <v>402</v>
      </c>
      <c r="F272" s="159" t="s">
        <v>89</v>
      </c>
      <c r="G272" s="160" t="s">
        <v>377</v>
      </c>
      <c r="H272" s="161">
        <v>8</v>
      </c>
      <c r="I272" s="161">
        <v>0</v>
      </c>
      <c r="J272" s="127">
        <v>3419000</v>
      </c>
      <c r="K272" s="88" t="s">
        <v>398</v>
      </c>
      <c r="L272" s="159" t="s">
        <v>157</v>
      </c>
      <c r="M272" s="162" t="s">
        <v>501</v>
      </c>
      <c r="N272" s="23" t="s">
        <v>198</v>
      </c>
      <c r="O272" s="151" t="s">
        <v>946</v>
      </c>
      <c r="P272" s="159" t="s">
        <v>161</v>
      </c>
      <c r="Q272" s="53" t="s">
        <v>524</v>
      </c>
      <c r="R272" s="162" t="s">
        <v>213</v>
      </c>
      <c r="S272" s="162" t="str">
        <f>MID(PAA[[#This Row],[Meta Proyecto de Inversión]],1,4)</f>
        <v>8173</v>
      </c>
      <c r="T272" s="162" t="str">
        <f>MID(PAA[[#This Row],[Meta Proyecto de Inversión]],6,1)</f>
        <v>4</v>
      </c>
      <c r="U272" s="163" t="str">
        <f>IFERROR(VLOOKUP(N272,TD!$B$50:$F$54,2,0)," ")</f>
        <v>O230117</v>
      </c>
      <c r="V272" s="163" t="str">
        <f>IFERROR(VLOOKUP(N272,TD!$B$50:$F$54,3,0)," ")</f>
        <v>4503</v>
      </c>
      <c r="W272" s="163">
        <f>IFERROR(VLOOKUP(N272,TD!$B$50:$F$54,4,0)," ")</f>
        <v>20240255</v>
      </c>
      <c r="X272" s="162" t="s">
        <v>176</v>
      </c>
      <c r="Y272" s="163" t="str">
        <f>IFERROR(VLOOKUP(X272,TD!$J$51:$K$64,2,0)," ")</f>
        <v>Servicio de mantenimiento, dotación (HEA´s y equipo menor) y adquisición de vehiculos   especializados para la atención de emergencias.</v>
      </c>
      <c r="Z272" s="164" t="str">
        <f>CONCATENATE(X272,"-",Y272)</f>
        <v>09-Servicio de mantenimiento, dotación (HEA´s y equipo menor) y adquisición de vehiculos   especializados para la atención de emergencias.</v>
      </c>
      <c r="AA272" s="166" t="s">
        <v>221</v>
      </c>
      <c r="AB272" s="163" t="str">
        <f>IFERROR(VLOOKUP(AA272,TD!$N$51:$O$66,2,0)," ")</f>
        <v>Servicio de atención a emergencias y desastres</v>
      </c>
      <c r="AC272" s="164" t="str">
        <f>CONCATENATE(AA272,"_",AB272)</f>
        <v>004_Servicio de atención a emergencias y desastres</v>
      </c>
      <c r="AD272" s="164" t="str">
        <f>CONCATENATE(Z272," ",AC272)</f>
        <v>09-Servicio de mantenimiento, dotación (HEA´s y equipo menor) y adquisición de vehiculos   especializados para la atención de emergencias. 004_Servicio de atención a emergencias y desastres</v>
      </c>
      <c r="AE272" s="163" t="str">
        <f>CONCATENATE(U272,V272,W272,X272,AA272)</f>
        <v>O23011745032024025509004</v>
      </c>
      <c r="AF272" s="163" t="str">
        <f>IFERROR(VLOOKUP(AD272,TD!$J$66:$K$89,2,0)," ")</f>
        <v>PM/0131/0109/45030040255</v>
      </c>
      <c r="AG272" s="118" t="s">
        <v>80</v>
      </c>
      <c r="AH272" s="162" t="s">
        <v>193</v>
      </c>
      <c r="AI272" s="165" t="str">
        <f>CONCATENATE(PAA[[#This Row],[Id Interno]],"-",PAA[[#This Row],[tipo de Contrato (TH talento humano - B/S bienes y/o servicios)]],"-",S272,"-",T272,"-",PAA[[#This Row],[Objeto de la contratación]])</f>
        <v>20260251-BS-8173-4-Prestar el servicio de  mantenimiento y recarga de extintores, cilindros y tanques de las maquinas extintoras de la UAECOB.  - SBLG</v>
      </c>
    </row>
    <row r="273" spans="2:35" ht="56" x14ac:dyDescent="0.35">
      <c r="B273" s="23">
        <v>20260252</v>
      </c>
      <c r="C273" s="99" t="s">
        <v>506</v>
      </c>
      <c r="D273" s="23" t="s">
        <v>105</v>
      </c>
      <c r="E273" s="23" t="s">
        <v>402</v>
      </c>
      <c r="F273" s="159" t="s">
        <v>89</v>
      </c>
      <c r="G273" s="160" t="s">
        <v>381</v>
      </c>
      <c r="H273" s="161">
        <v>8</v>
      </c>
      <c r="I273" s="161">
        <v>0</v>
      </c>
      <c r="J273" s="127">
        <v>20000000</v>
      </c>
      <c r="K273" s="88" t="s">
        <v>398</v>
      </c>
      <c r="L273" s="159" t="s">
        <v>157</v>
      </c>
      <c r="M273" s="162" t="s">
        <v>501</v>
      </c>
      <c r="N273" s="23" t="s">
        <v>198</v>
      </c>
      <c r="O273" s="151" t="s">
        <v>946</v>
      </c>
      <c r="P273" s="159" t="s">
        <v>348</v>
      </c>
      <c r="Q273" s="53" t="s">
        <v>507</v>
      </c>
      <c r="R273" s="162" t="s">
        <v>213</v>
      </c>
      <c r="S273" s="162" t="str">
        <f>MID(PAA[[#This Row],[Meta Proyecto de Inversión]],1,4)</f>
        <v>8173</v>
      </c>
      <c r="T273" s="162" t="str">
        <f>MID(PAA[[#This Row],[Meta Proyecto de Inversión]],6,1)</f>
        <v>4</v>
      </c>
      <c r="U273" s="163" t="str">
        <f>IFERROR(VLOOKUP(N273,TD!$B$50:$F$54,2,0)," ")</f>
        <v>O230117</v>
      </c>
      <c r="V273" s="163" t="str">
        <f>IFERROR(VLOOKUP(N273,TD!$B$50:$F$54,3,0)," ")</f>
        <v>4503</v>
      </c>
      <c r="W273" s="163">
        <f>IFERROR(VLOOKUP(N273,TD!$B$50:$F$54,4,0)," ")</f>
        <v>20240255</v>
      </c>
      <c r="X273" s="162" t="s">
        <v>176</v>
      </c>
      <c r="Y273" s="163" t="str">
        <f>IFERROR(VLOOKUP(X273,TD!$J$51:$K$64,2,0)," ")</f>
        <v>Servicio de mantenimiento, dotación (HEA´s y equipo menor) y adquisición de vehiculos   especializados para la atención de emergencias.</v>
      </c>
      <c r="Z273" s="164" t="str">
        <f>CONCATENATE(X273,"-",Y273)</f>
        <v>09-Servicio de mantenimiento, dotación (HEA´s y equipo menor) y adquisición de vehiculos   especializados para la atención de emergencias.</v>
      </c>
      <c r="AA273" s="166" t="s">
        <v>221</v>
      </c>
      <c r="AB273" s="163" t="str">
        <f>IFERROR(VLOOKUP(AA273,TD!$N$51:$O$66,2,0)," ")</f>
        <v>Servicio de atención a emergencias y desastres</v>
      </c>
      <c r="AC273" s="164" t="str">
        <f>CONCATENATE(AA273,"_",AB273)</f>
        <v>004_Servicio de atención a emergencias y desastres</v>
      </c>
      <c r="AD273" s="164" t="str">
        <f>CONCATENATE(Z273," ",AC273)</f>
        <v>09-Servicio de mantenimiento, dotación (HEA´s y equipo menor) y adquisición de vehiculos   especializados para la atención de emergencias. 004_Servicio de atención a emergencias y desastres</v>
      </c>
      <c r="AE273" s="163" t="str">
        <f>CONCATENATE(U273,V273,W273,X273,AA273)</f>
        <v>O23011745032024025509004</v>
      </c>
      <c r="AF273" s="163" t="str">
        <f>IFERROR(VLOOKUP(AD273,TD!$J$66:$K$89,2,0)," ")</f>
        <v>PM/0131/0109/45030040255</v>
      </c>
      <c r="AG273" s="118" t="s">
        <v>574</v>
      </c>
      <c r="AH273" s="162" t="s">
        <v>193</v>
      </c>
      <c r="AI273" s="165" t="str">
        <f>CONCATENATE(PAA[[#This Row],[Id Interno]],"-",PAA[[#This Row],[tipo de Contrato (TH talento humano - B/S bienes y/o servicios)]],"-",S273,"-",T273,"-",PAA[[#This Row],[Objeto de la contratación]])</f>
        <v>20260252-BS-8173-4-Prestar el servicio de mantenimiento preventivo y correctivo, incluyendo el suministro de repuestos, insumos y mano de obra especializada para las motobombas forestales FOX, propiedad de la Unidad Administrativa Especial Cuerpo Oficial de Bomberos de Bogotá D.C. (UAECOB). - SBLG</v>
      </c>
    </row>
    <row r="274" spans="2:35" ht="56" x14ac:dyDescent="0.35">
      <c r="B274" s="23">
        <v>20260253</v>
      </c>
      <c r="C274" s="99" t="s">
        <v>514</v>
      </c>
      <c r="D274" s="23" t="s">
        <v>105</v>
      </c>
      <c r="E274" s="23" t="s">
        <v>402</v>
      </c>
      <c r="F274" s="159" t="s">
        <v>111</v>
      </c>
      <c r="G274" s="160" t="s">
        <v>381</v>
      </c>
      <c r="H274" s="161">
        <v>5</v>
      </c>
      <c r="I274" s="161">
        <v>0</v>
      </c>
      <c r="J274" s="127">
        <v>5000000</v>
      </c>
      <c r="K274" s="88" t="s">
        <v>398</v>
      </c>
      <c r="L274" s="159" t="s">
        <v>157</v>
      </c>
      <c r="M274" s="162" t="s">
        <v>501</v>
      </c>
      <c r="N274" s="23" t="s">
        <v>198</v>
      </c>
      <c r="O274" s="151" t="s">
        <v>946</v>
      </c>
      <c r="P274" s="159" t="s">
        <v>348</v>
      </c>
      <c r="Q274" s="53" t="s">
        <v>515</v>
      </c>
      <c r="R274" s="162" t="s">
        <v>213</v>
      </c>
      <c r="S274" s="162" t="str">
        <f>MID(PAA[[#This Row],[Meta Proyecto de Inversión]],1,4)</f>
        <v>8173</v>
      </c>
      <c r="T274" s="162" t="str">
        <f>MID(PAA[[#This Row],[Meta Proyecto de Inversión]],6,1)</f>
        <v>4</v>
      </c>
      <c r="U274" s="163" t="str">
        <f>IFERROR(VLOOKUP(N274,TD!$B$50:$F$54,2,0)," ")</f>
        <v>O230117</v>
      </c>
      <c r="V274" s="163" t="str">
        <f>IFERROR(VLOOKUP(N274,TD!$B$50:$F$54,3,0)," ")</f>
        <v>4503</v>
      </c>
      <c r="W274" s="163">
        <f>IFERROR(VLOOKUP(N274,TD!$B$50:$F$54,4,0)," ")</f>
        <v>20240255</v>
      </c>
      <c r="X274" s="162" t="s">
        <v>176</v>
      </c>
      <c r="Y274" s="163" t="str">
        <f>IFERROR(VLOOKUP(X274,TD!$J$51:$K$64,2,0)," ")</f>
        <v>Servicio de mantenimiento, dotación (HEA´s y equipo menor) y adquisición de vehiculos   especializados para la atención de emergencias.</v>
      </c>
      <c r="Z274" s="164" t="str">
        <f>CONCATENATE(X274,"-",Y274)</f>
        <v>09-Servicio de mantenimiento, dotación (HEA´s y equipo menor) y adquisición de vehiculos   especializados para la atención de emergencias.</v>
      </c>
      <c r="AA274" s="166" t="s">
        <v>221</v>
      </c>
      <c r="AB274" s="163" t="str">
        <f>IFERROR(VLOOKUP(AA274,TD!$N$51:$O$66,2,0)," ")</f>
        <v>Servicio de atención a emergencias y desastres</v>
      </c>
      <c r="AC274" s="164" t="str">
        <f>CONCATENATE(AA274,"_",AB274)</f>
        <v>004_Servicio de atención a emergencias y desastres</v>
      </c>
      <c r="AD274" s="164" t="str">
        <f>CONCATENATE(Z274," ",AC274)</f>
        <v>09-Servicio de mantenimiento, dotación (HEA´s y equipo menor) y adquisición de vehiculos   especializados para la atención de emergencias. 004_Servicio de atención a emergencias y desastres</v>
      </c>
      <c r="AE274" s="163" t="str">
        <f>CONCATENATE(U274,V274,W274,X274,AA274)</f>
        <v>O23011745032024025509004</v>
      </c>
      <c r="AF274" s="163" t="str">
        <f>IFERROR(VLOOKUP(AD274,TD!$J$66:$K$89,2,0)," ")</f>
        <v>PM/0131/0109/45030040255</v>
      </c>
      <c r="AG274" s="118" t="s">
        <v>80</v>
      </c>
      <c r="AH274" s="162" t="s">
        <v>193</v>
      </c>
      <c r="AI274" s="165" t="str">
        <f>CONCATENATE(PAA[[#This Row],[Id Interno]],"-",PAA[[#This Row],[tipo de Contrato (TH talento humano - B/S bienes y/o servicios)]],"-",S274,"-",T274,"-",PAA[[#This Row],[Objeto de la contratación]])</f>
        <v>20260253-BS-8173-4-Suministrar los repuestos, accesorios e insumos de los equipos de rescate vehicular liviano y pesado marca LUKAS-  SBLG</v>
      </c>
    </row>
    <row r="275" spans="2:35" ht="56" x14ac:dyDescent="0.35">
      <c r="B275" s="23">
        <v>20260254</v>
      </c>
      <c r="C275" s="99" t="s">
        <v>516</v>
      </c>
      <c r="D275" s="23" t="s">
        <v>105</v>
      </c>
      <c r="E275" s="23" t="s">
        <v>402</v>
      </c>
      <c r="F275" s="159" t="s">
        <v>146</v>
      </c>
      <c r="G275" s="160" t="s">
        <v>381</v>
      </c>
      <c r="H275" s="161">
        <v>6</v>
      </c>
      <c r="I275" s="161">
        <v>0</v>
      </c>
      <c r="J275" s="127">
        <v>20000000</v>
      </c>
      <c r="K275" s="88" t="s">
        <v>398</v>
      </c>
      <c r="L275" s="159" t="s">
        <v>157</v>
      </c>
      <c r="M275" s="162" t="s">
        <v>501</v>
      </c>
      <c r="N275" s="23" t="s">
        <v>198</v>
      </c>
      <c r="O275" s="151" t="s">
        <v>946</v>
      </c>
      <c r="P275" s="159" t="s">
        <v>348</v>
      </c>
      <c r="Q275" s="53" t="s">
        <v>517</v>
      </c>
      <c r="R275" s="162" t="s">
        <v>213</v>
      </c>
      <c r="S275" s="162" t="str">
        <f>MID(PAA[[#This Row],[Meta Proyecto de Inversión]],1,4)</f>
        <v>8173</v>
      </c>
      <c r="T275" s="162" t="str">
        <f>MID(PAA[[#This Row],[Meta Proyecto de Inversión]],6,1)</f>
        <v>4</v>
      </c>
      <c r="U275" s="163" t="str">
        <f>IFERROR(VLOOKUP(N275,TD!$B$50:$F$54,2,0)," ")</f>
        <v>O230117</v>
      </c>
      <c r="V275" s="163" t="str">
        <f>IFERROR(VLOOKUP(N275,TD!$B$50:$F$54,3,0)," ")</f>
        <v>4503</v>
      </c>
      <c r="W275" s="163">
        <f>IFERROR(VLOOKUP(N275,TD!$B$50:$F$54,4,0)," ")</f>
        <v>20240255</v>
      </c>
      <c r="X275" s="162" t="s">
        <v>176</v>
      </c>
      <c r="Y275" s="163" t="str">
        <f>IFERROR(VLOOKUP(X275,TD!$J$51:$K$64,2,0)," ")</f>
        <v>Servicio de mantenimiento, dotación (HEA´s y equipo menor) y adquisición de vehiculos   especializados para la atención de emergencias.</v>
      </c>
      <c r="Z275" s="164" t="str">
        <f>CONCATENATE(X275,"-",Y275)</f>
        <v>09-Servicio de mantenimiento, dotación (HEA´s y equipo menor) y adquisición de vehiculos   especializados para la atención de emergencias.</v>
      </c>
      <c r="AA275" s="166" t="s">
        <v>221</v>
      </c>
      <c r="AB275" s="163" t="str">
        <f>IFERROR(VLOOKUP(AA275,TD!$N$51:$O$66,2,0)," ")</f>
        <v>Servicio de atención a emergencias y desastres</v>
      </c>
      <c r="AC275" s="164" t="str">
        <f>CONCATENATE(AA275,"_",AB275)</f>
        <v>004_Servicio de atención a emergencias y desastres</v>
      </c>
      <c r="AD275" s="164" t="str">
        <f>CONCATENATE(Z275," ",AC275)</f>
        <v>09-Servicio de mantenimiento, dotación (HEA´s y equipo menor) y adquisición de vehiculos   especializados para la atención de emergencias. 004_Servicio de atención a emergencias y desastres</v>
      </c>
      <c r="AE275" s="163" t="str">
        <f>CONCATENATE(U275,V275,W275,X275,AA275)</f>
        <v>O23011745032024025509004</v>
      </c>
      <c r="AF275" s="163" t="str">
        <f>IFERROR(VLOOKUP(AD275,TD!$J$66:$K$89,2,0)," ")</f>
        <v>PM/0131/0109/45030040255</v>
      </c>
      <c r="AG275" s="118" t="s">
        <v>80</v>
      </c>
      <c r="AH275" s="162" t="s">
        <v>193</v>
      </c>
      <c r="AI275" s="165" t="str">
        <f>CONCATENATE(PAA[[#This Row],[Id Interno]],"-",PAA[[#This Row],[tipo de Contrato (TH talento humano - B/S bienes y/o servicios)]],"-",S275,"-",T275,"-",PAA[[#This Row],[Objeto de la contratación]])</f>
        <v>20260254-BS-8173-4-Prestar el servicio de mantenimiento preventivo y correctivo, incluido el suministro de repuestos e insumos y mano de obra especializada para los equipos detectores de atmosfera y respiración autónoma marca Dräger, propiedad de la U.A.E. Cuerpo Oficial de Bomberos de Bogotá - SBLG</v>
      </c>
    </row>
    <row r="276" spans="2:35" ht="56" x14ac:dyDescent="0.35">
      <c r="B276" s="23">
        <v>20260255</v>
      </c>
      <c r="C276" s="99" t="s">
        <v>1005</v>
      </c>
      <c r="D276" s="23" t="s">
        <v>105</v>
      </c>
      <c r="E276" s="23" t="s">
        <v>402</v>
      </c>
      <c r="F276" s="159" t="s">
        <v>89</v>
      </c>
      <c r="G276" s="160" t="s">
        <v>375</v>
      </c>
      <c r="H276" s="161">
        <v>4</v>
      </c>
      <c r="I276" s="161">
        <v>0</v>
      </c>
      <c r="J276" s="127">
        <v>26104301</v>
      </c>
      <c r="K276" s="88" t="s">
        <v>398</v>
      </c>
      <c r="L276" s="159" t="s">
        <v>157</v>
      </c>
      <c r="M276" s="162" t="s">
        <v>501</v>
      </c>
      <c r="N276" s="23" t="s">
        <v>198</v>
      </c>
      <c r="O276" s="151" t="s">
        <v>946</v>
      </c>
      <c r="P276" s="159" t="s">
        <v>348</v>
      </c>
      <c r="Q276" s="53">
        <v>72101509</v>
      </c>
      <c r="R276" s="162" t="s">
        <v>213</v>
      </c>
      <c r="S276" s="162" t="str">
        <f>MID(PAA[[#This Row],[Meta Proyecto de Inversión]],1,4)</f>
        <v>8173</v>
      </c>
      <c r="T276" s="162" t="str">
        <f>MID(PAA[[#This Row],[Meta Proyecto de Inversión]],6,1)</f>
        <v>4</v>
      </c>
      <c r="U276" s="163" t="str">
        <f>IFERROR(VLOOKUP(N276,TD!$B$50:$F$54,2,0)," ")</f>
        <v>O230117</v>
      </c>
      <c r="V276" s="163" t="str">
        <f>IFERROR(VLOOKUP(N276,TD!$B$50:$F$54,3,0)," ")</f>
        <v>4503</v>
      </c>
      <c r="W276" s="163">
        <f>IFERROR(VLOOKUP(N276,TD!$B$50:$F$54,4,0)," ")</f>
        <v>20240255</v>
      </c>
      <c r="X276" s="162" t="s">
        <v>176</v>
      </c>
      <c r="Y276" s="163" t="str">
        <f>IFERROR(VLOOKUP(X276,TD!$J$51:$K$64,2,0)," ")</f>
        <v>Servicio de mantenimiento, dotación (HEA´s y equipo menor) y adquisición de vehiculos   especializados para la atención de emergencias.</v>
      </c>
      <c r="Z276" s="164" t="str">
        <f>CONCATENATE(X276,"-",Y276)</f>
        <v>09-Servicio de mantenimiento, dotación (HEA´s y equipo menor) y adquisición de vehiculos   especializados para la atención de emergencias.</v>
      </c>
      <c r="AA276" s="166" t="s">
        <v>221</v>
      </c>
      <c r="AB276" s="163" t="str">
        <f>IFERROR(VLOOKUP(AA276,TD!$N$51:$O$66,2,0)," ")</f>
        <v>Servicio de atención a emergencias y desastres</v>
      </c>
      <c r="AC276" s="164" t="str">
        <f>CONCATENATE(AA276,"_",AB276)</f>
        <v>004_Servicio de atención a emergencias y desastres</v>
      </c>
      <c r="AD276" s="164" t="str">
        <f>CONCATENATE(Z276," ",AC276)</f>
        <v>09-Servicio de mantenimiento, dotación (HEA´s y equipo menor) y adquisición de vehiculos   especializados para la atención de emergencias. 004_Servicio de atención a emergencias y desastres</v>
      </c>
      <c r="AE276" s="163" t="str">
        <f>CONCATENATE(U276,V276,W276,X276,AA276)</f>
        <v>O23011745032024025509004</v>
      </c>
      <c r="AF276" s="163" t="str">
        <f>IFERROR(VLOOKUP(AD276,TD!$J$66:$K$89,2,0)," ")</f>
        <v>PM/0131/0109/45030040255</v>
      </c>
      <c r="AG276" s="118" t="s">
        <v>80</v>
      </c>
      <c r="AH276" s="162" t="s">
        <v>193</v>
      </c>
      <c r="AI276" s="165" t="str">
        <f>CONCATENATE(PAA[[#This Row],[Id Interno]],"-",PAA[[#This Row],[tipo de Contrato (TH talento humano - B/S bienes y/o servicios)]],"-",S276,"-",T276,"-",PAA[[#This Row],[Objeto de la contratación]])</f>
        <v>20260255-BS-8173-4-Adición al contrato 622-2025 cuyo objeto es: ¨Prestación del servicio de mantenimiento preventivo y correctivo de los equipos de respiración autónoma interspiro propiedad de la UAECOB, incluido el suministro de repuestos, insumos mano de obra especializada –SBLG</v>
      </c>
    </row>
    <row r="277" spans="2:35" ht="56" x14ac:dyDescent="0.35">
      <c r="B277" s="23">
        <v>20260256</v>
      </c>
      <c r="C277" s="99" t="s">
        <v>520</v>
      </c>
      <c r="D277" s="23" t="s">
        <v>105</v>
      </c>
      <c r="E277" s="23" t="s">
        <v>402</v>
      </c>
      <c r="F277" s="159" t="s">
        <v>111</v>
      </c>
      <c r="G277" s="160" t="s">
        <v>382</v>
      </c>
      <c r="H277" s="161">
        <v>5</v>
      </c>
      <c r="I277" s="161">
        <v>0</v>
      </c>
      <c r="J277" s="127">
        <v>20000000</v>
      </c>
      <c r="K277" s="88" t="s">
        <v>398</v>
      </c>
      <c r="L277" s="159" t="s">
        <v>157</v>
      </c>
      <c r="M277" s="162" t="s">
        <v>501</v>
      </c>
      <c r="N277" s="23" t="s">
        <v>198</v>
      </c>
      <c r="O277" s="151" t="s">
        <v>946</v>
      </c>
      <c r="P277" s="159" t="s">
        <v>348</v>
      </c>
      <c r="Q277" s="53" t="s">
        <v>521</v>
      </c>
      <c r="R277" s="162" t="s">
        <v>213</v>
      </c>
      <c r="S277" s="162" t="str">
        <f>MID(PAA[[#This Row],[Meta Proyecto de Inversión]],1,4)</f>
        <v>8173</v>
      </c>
      <c r="T277" s="162" t="str">
        <f>MID(PAA[[#This Row],[Meta Proyecto de Inversión]],6,1)</f>
        <v>4</v>
      </c>
      <c r="U277" s="163" t="str">
        <f>IFERROR(VLOOKUP(N277,TD!$B$50:$F$54,2,0)," ")</f>
        <v>O230117</v>
      </c>
      <c r="V277" s="163" t="str">
        <f>IFERROR(VLOOKUP(N277,TD!$B$50:$F$54,3,0)," ")</f>
        <v>4503</v>
      </c>
      <c r="W277" s="163">
        <f>IFERROR(VLOOKUP(N277,TD!$B$50:$F$54,4,0)," ")</f>
        <v>20240255</v>
      </c>
      <c r="X277" s="162" t="s">
        <v>176</v>
      </c>
      <c r="Y277" s="163" t="str">
        <f>IFERROR(VLOOKUP(X277,TD!$J$51:$K$64,2,0)," ")</f>
        <v>Servicio de mantenimiento, dotación (HEA´s y equipo menor) y adquisición de vehiculos   especializados para la atención de emergencias.</v>
      </c>
      <c r="Z277" s="164" t="str">
        <f>CONCATENATE(X277,"-",Y277)</f>
        <v>09-Servicio de mantenimiento, dotación (HEA´s y equipo menor) y adquisición de vehiculos   especializados para la atención de emergencias.</v>
      </c>
      <c r="AA277" s="166" t="s">
        <v>221</v>
      </c>
      <c r="AB277" s="163" t="str">
        <f>IFERROR(VLOOKUP(AA277,TD!$N$51:$O$66,2,0)," ")</f>
        <v>Servicio de atención a emergencias y desastres</v>
      </c>
      <c r="AC277" s="164" t="str">
        <f>CONCATENATE(AA277,"_",AB277)</f>
        <v>004_Servicio de atención a emergencias y desastres</v>
      </c>
      <c r="AD277" s="164" t="str">
        <f>CONCATENATE(Z277," ",AC277)</f>
        <v>09-Servicio de mantenimiento, dotación (HEA´s y equipo menor) y adquisición de vehiculos   especializados para la atención de emergencias. 004_Servicio de atención a emergencias y desastres</v>
      </c>
      <c r="AE277" s="163" t="str">
        <f>CONCATENATE(U277,V277,W277,X277,AA277)</f>
        <v>O23011745032024025509004</v>
      </c>
      <c r="AF277" s="163" t="str">
        <f>IFERROR(VLOOKUP(AD277,TD!$J$66:$K$89,2,0)," ")</f>
        <v>PM/0131/0109/45030040255</v>
      </c>
      <c r="AG277" s="118" t="s">
        <v>80</v>
      </c>
      <c r="AH277" s="162" t="s">
        <v>193</v>
      </c>
      <c r="AI277" s="165" t="str">
        <f>CONCATENATE(PAA[[#This Row],[Id Interno]],"-",PAA[[#This Row],[tipo de Contrato (TH talento humano - B/S bienes y/o servicios)]],"-",S277,"-",T277,"-",PAA[[#This Row],[Objeto de la contratación]])</f>
        <v>20260256-BS-8173-4-Prestar el servicio de mantenimiento preventivo y correctivo de los Equipos de Rescate Vehicular HOLMATRO propiedad de la UAECOB, incluido el suministro de repuestos, insumos y mano de obra especializada -  SBLG</v>
      </c>
    </row>
    <row r="278" spans="2:35" ht="56" x14ac:dyDescent="0.35">
      <c r="B278" s="23">
        <v>20260257</v>
      </c>
      <c r="C278" s="99" t="s">
        <v>660</v>
      </c>
      <c r="D278" s="23" t="s">
        <v>92</v>
      </c>
      <c r="E278" s="23" t="s">
        <v>402</v>
      </c>
      <c r="F278" s="159" t="s">
        <v>89</v>
      </c>
      <c r="G278" s="160" t="s">
        <v>375</v>
      </c>
      <c r="H278" s="161">
        <v>12</v>
      </c>
      <c r="I278" s="161">
        <v>0</v>
      </c>
      <c r="J278" s="127">
        <v>49000000</v>
      </c>
      <c r="K278" s="88" t="s">
        <v>398</v>
      </c>
      <c r="L278" s="159" t="s">
        <v>157</v>
      </c>
      <c r="M278" s="162" t="s">
        <v>501</v>
      </c>
      <c r="N278" s="23" t="s">
        <v>330</v>
      </c>
      <c r="O278" s="151" t="s">
        <v>945</v>
      </c>
      <c r="P278" s="159" t="s">
        <v>161</v>
      </c>
      <c r="Q278" s="53">
        <v>78181505</v>
      </c>
      <c r="R278" s="162" t="s">
        <v>331</v>
      </c>
      <c r="S278" s="162" t="str">
        <f>MID(PAA[[#This Row],[Meta Proyecto de Inversión]],1,4)</f>
        <v>No a</v>
      </c>
      <c r="T278" s="162" t="str">
        <f>MID(PAA[[#This Row],[Meta Proyecto de Inversión]],6,1)</f>
        <v>l</v>
      </c>
      <c r="U278" s="163" t="str">
        <f>IFERROR(VLOOKUP(N278,TD!$B$50:$F$54,2,0)," ")</f>
        <v>NA</v>
      </c>
      <c r="V278" s="163" t="str">
        <f>IFERROR(VLOOKUP(N278,TD!$B$50:$F$54,3,0)," ")</f>
        <v>NA</v>
      </c>
      <c r="W278" s="163" t="str">
        <f>IFERROR(VLOOKUP(N278,TD!$B$50:$F$54,4,0)," ")</f>
        <v>NA</v>
      </c>
      <c r="X278" s="162" t="s">
        <v>335</v>
      </c>
      <c r="Y278" s="163" t="str">
        <f>IFERROR(VLOOKUP(X278,TD!$J$51:$K$64,2,0)," ")</f>
        <v>N/A</v>
      </c>
      <c r="Z278" s="164" t="str">
        <f>CONCATENATE(X278,"-",Y278)</f>
        <v>N/A-N/A</v>
      </c>
      <c r="AA278" s="166" t="s">
        <v>335</v>
      </c>
      <c r="AB278" s="163" t="str">
        <f>IFERROR(VLOOKUP(AA278,TD!$N$51:$O$66,2,0)," ")</f>
        <v>N/A</v>
      </c>
      <c r="AC278" s="164" t="str">
        <f>CONCATENATE(AA278,"_",AB278)</f>
        <v>N/A_N/A</v>
      </c>
      <c r="AD278" s="164" t="str">
        <f>CONCATENATE(Z278," ",AC278)</f>
        <v>N/A-N/A N/A_N/A</v>
      </c>
      <c r="AE278" s="163" t="str">
        <f>CONCATENATE(U278,V278,W278,X278,AA278)</f>
        <v>NANANAN/AN/A</v>
      </c>
      <c r="AF278" s="163" t="str">
        <f>IFERROR(VLOOKUP(AD278,TD!$J$66:$K$89,2,0)," ")</f>
        <v>N/A</v>
      </c>
      <c r="AG278" s="118" t="s">
        <v>332</v>
      </c>
      <c r="AH278" s="162" t="s">
        <v>193</v>
      </c>
      <c r="AI278" s="165" t="str">
        <f>CONCATENATE(PAA[[#This Row],[Id Interno]],"-",PAA[[#This Row],[tipo de Contrato (TH talento humano - B/S bienes y/o servicios)]],"-",S278,"-",T278,"-",PAA[[#This Row],[Objeto de la contratación]])</f>
        <v>20260257-BS-No a-l-Contratar el servicio de revision técnico mecánica y de emision de gases contaminantes para los vehiculos que forman parte del parque automotor de la Unidad Administrativa Especial Cuerpo Oficial de Bomberos de Bogotá - UAECOB-SBLG</v>
      </c>
    </row>
    <row r="279" spans="2:35" ht="56" x14ac:dyDescent="0.35">
      <c r="B279" s="23">
        <v>20260258</v>
      </c>
      <c r="C279" s="99" t="s">
        <v>862</v>
      </c>
      <c r="D279" s="99" t="s">
        <v>105</v>
      </c>
      <c r="E279" s="99" t="s">
        <v>363</v>
      </c>
      <c r="F279" s="160" t="s">
        <v>145</v>
      </c>
      <c r="G279" s="160" t="s">
        <v>373</v>
      </c>
      <c r="H279" s="167">
        <v>10</v>
      </c>
      <c r="I279" s="167">
        <v>0</v>
      </c>
      <c r="J279" s="118">
        <v>31000000</v>
      </c>
      <c r="K279" s="126" t="s">
        <v>398</v>
      </c>
      <c r="L279" s="160" t="s">
        <v>158</v>
      </c>
      <c r="M279" s="166" t="s">
        <v>421</v>
      </c>
      <c r="N279" s="99" t="s">
        <v>198</v>
      </c>
      <c r="O279" s="151" t="s">
        <v>946</v>
      </c>
      <c r="P279" s="160" t="s">
        <v>348</v>
      </c>
      <c r="Q279" s="128">
        <v>80111600</v>
      </c>
      <c r="R279" s="166" t="s">
        <v>211</v>
      </c>
      <c r="S279" s="162" t="str">
        <f>MID(PAA[[#This Row],[Meta Proyecto de Inversión]],1,4)</f>
        <v>8173</v>
      </c>
      <c r="T279" s="162" t="str">
        <f>MID(PAA[[#This Row],[Meta Proyecto de Inversión]],6,1)</f>
        <v>2</v>
      </c>
      <c r="U279" s="163" t="str">
        <f>IFERROR(VLOOKUP(N279,TD!$B$50:$F$54,2,0)," ")</f>
        <v>O230117</v>
      </c>
      <c r="V279" s="163" t="str">
        <f>IFERROR(VLOOKUP(N279,TD!$B$50:$F$54,3,0)," ")</f>
        <v>4503</v>
      </c>
      <c r="W279" s="163">
        <f>IFERROR(VLOOKUP(N279,TD!$B$50:$F$54,4,0)," ")</f>
        <v>20240255</v>
      </c>
      <c r="X279" s="162" t="s">
        <v>164</v>
      </c>
      <c r="Y279" s="163" t="str">
        <f>IFERROR(VLOOKUP(X279,TD!$J$51:$K$64,2,0)," ")</f>
        <v>Servicio de atención a incidentes y emergencias.</v>
      </c>
      <c r="Z279" s="164" t="str">
        <f>CONCATENATE(X279,"-",Y279)</f>
        <v>04-Servicio de atención a incidentes y emergencias.</v>
      </c>
      <c r="AA279" s="166" t="s">
        <v>221</v>
      </c>
      <c r="AB279" s="163" t="str">
        <f>IFERROR(VLOOKUP(AA279,TD!$N$51:$O$66,2,0)," ")</f>
        <v>Servicio de atención a emergencias y desastres</v>
      </c>
      <c r="AC279" s="164" t="str">
        <f>CONCATENATE(AA279,"_",AB279)</f>
        <v>004_Servicio de atención a emergencias y desastres</v>
      </c>
      <c r="AD279" s="164" t="str">
        <f>CONCATENATE(Z279," ",AC279)</f>
        <v>04-Servicio de atención a incidentes y emergencias. 004_Servicio de atención a emergencias y desastres</v>
      </c>
      <c r="AE279" s="163" t="str">
        <f>CONCATENATE(U279,V279,W279,X279,AA279)</f>
        <v>O23011745032024025504004</v>
      </c>
      <c r="AF279" s="163" t="str">
        <f>IFERROR(VLOOKUP(AD279,TD!$J$66:$K$89,2,0)," ")</f>
        <v>PM/0131/0104/45030040255</v>
      </c>
      <c r="AG279" s="118" t="s">
        <v>385</v>
      </c>
      <c r="AH279" s="162" t="s">
        <v>193</v>
      </c>
      <c r="AI279" s="165" t="str">
        <f>CONCATENATE(PAA[[#This Row],[Id Interno]],"-",PAA[[#This Row],[tipo de Contrato (TH talento humano - B/S bienes y/o servicios)]],"-",S279,"-",T279,"-",PAA[[#This Row],[Objeto de la contratación]])</f>
        <v>20260258-TH-8173-2-Prestación de servicios de apoyo al proceso de comunicaciones en emergencias del centro de coordinación y comunicaciones (c.c.c.), para el desarrollo de los programas a cargo de la Subdirección Operativa-S.O.</v>
      </c>
    </row>
    <row r="280" spans="2:35" ht="56" x14ac:dyDescent="0.35">
      <c r="B280" s="23">
        <v>20260259</v>
      </c>
      <c r="C280" s="99" t="s">
        <v>862</v>
      </c>
      <c r="D280" s="99" t="s">
        <v>105</v>
      </c>
      <c r="E280" s="99" t="s">
        <v>363</v>
      </c>
      <c r="F280" s="160" t="s">
        <v>145</v>
      </c>
      <c r="G280" s="160" t="s">
        <v>373</v>
      </c>
      <c r="H280" s="167">
        <v>10</v>
      </c>
      <c r="I280" s="167">
        <v>0</v>
      </c>
      <c r="J280" s="118">
        <v>31000000</v>
      </c>
      <c r="K280" s="126" t="s">
        <v>398</v>
      </c>
      <c r="L280" s="160" t="s">
        <v>158</v>
      </c>
      <c r="M280" s="166" t="s">
        <v>421</v>
      </c>
      <c r="N280" s="99" t="s">
        <v>198</v>
      </c>
      <c r="O280" s="151" t="s">
        <v>946</v>
      </c>
      <c r="P280" s="160" t="s">
        <v>348</v>
      </c>
      <c r="Q280" s="128">
        <v>80111600</v>
      </c>
      <c r="R280" s="166" t="s">
        <v>211</v>
      </c>
      <c r="S280" s="162" t="str">
        <f>MID(PAA[[#This Row],[Meta Proyecto de Inversión]],1,4)</f>
        <v>8173</v>
      </c>
      <c r="T280" s="162" t="str">
        <f>MID(PAA[[#This Row],[Meta Proyecto de Inversión]],6,1)</f>
        <v>2</v>
      </c>
      <c r="U280" s="163" t="str">
        <f>IFERROR(VLOOKUP(N280,TD!$B$50:$F$54,2,0)," ")</f>
        <v>O230117</v>
      </c>
      <c r="V280" s="163" t="str">
        <f>IFERROR(VLOOKUP(N280,TD!$B$50:$F$54,3,0)," ")</f>
        <v>4503</v>
      </c>
      <c r="W280" s="163">
        <f>IFERROR(VLOOKUP(N280,TD!$B$50:$F$54,4,0)," ")</f>
        <v>20240255</v>
      </c>
      <c r="X280" s="162" t="s">
        <v>164</v>
      </c>
      <c r="Y280" s="163" t="str">
        <f>IFERROR(VLOOKUP(X280,TD!$J$51:$K$64,2,0)," ")</f>
        <v>Servicio de atención a incidentes y emergencias.</v>
      </c>
      <c r="Z280" s="164" t="str">
        <f>CONCATENATE(X280,"-",Y280)</f>
        <v>04-Servicio de atención a incidentes y emergencias.</v>
      </c>
      <c r="AA280" s="166" t="s">
        <v>221</v>
      </c>
      <c r="AB280" s="163" t="str">
        <f>IFERROR(VLOOKUP(AA280,TD!$N$51:$O$66,2,0)," ")</f>
        <v>Servicio de atención a emergencias y desastres</v>
      </c>
      <c r="AC280" s="164" t="str">
        <f>CONCATENATE(AA280,"_",AB280)</f>
        <v>004_Servicio de atención a emergencias y desastres</v>
      </c>
      <c r="AD280" s="164" t="str">
        <f>CONCATENATE(Z280," ",AC280)</f>
        <v>04-Servicio de atención a incidentes y emergencias. 004_Servicio de atención a emergencias y desastres</v>
      </c>
      <c r="AE280" s="163" t="str">
        <f>CONCATENATE(U280,V280,W280,X280,AA280)</f>
        <v>O23011745032024025504004</v>
      </c>
      <c r="AF280" s="163" t="str">
        <f>IFERROR(VLOOKUP(AD280,TD!$J$66:$K$89,2,0)," ")</f>
        <v>PM/0131/0104/45030040255</v>
      </c>
      <c r="AG280" s="118" t="s">
        <v>385</v>
      </c>
      <c r="AH280" s="162" t="s">
        <v>193</v>
      </c>
      <c r="AI280" s="165" t="str">
        <f>CONCATENATE(PAA[[#This Row],[Id Interno]],"-",PAA[[#This Row],[tipo de Contrato (TH talento humano - B/S bienes y/o servicios)]],"-",S280,"-",T280,"-",PAA[[#This Row],[Objeto de la contratación]])</f>
        <v>20260259-TH-8173-2-Prestación de servicios de apoyo al proceso de comunicaciones en emergencias del centro de coordinación y comunicaciones (c.c.c.), para el desarrollo de los programas a cargo de la Subdirección Operativa-S.O.</v>
      </c>
    </row>
    <row r="281" spans="2:35" ht="56" x14ac:dyDescent="0.35">
      <c r="B281" s="23">
        <v>20260260</v>
      </c>
      <c r="C281" s="99" t="s">
        <v>862</v>
      </c>
      <c r="D281" s="99" t="s">
        <v>105</v>
      </c>
      <c r="E281" s="99" t="s">
        <v>363</v>
      </c>
      <c r="F281" s="160" t="s">
        <v>145</v>
      </c>
      <c r="G281" s="160" t="s">
        <v>373</v>
      </c>
      <c r="H281" s="167">
        <v>10</v>
      </c>
      <c r="I281" s="167">
        <v>0</v>
      </c>
      <c r="J281" s="118">
        <v>31000000</v>
      </c>
      <c r="K281" s="126" t="s">
        <v>398</v>
      </c>
      <c r="L281" s="160" t="s">
        <v>158</v>
      </c>
      <c r="M281" s="166" t="s">
        <v>421</v>
      </c>
      <c r="N281" s="99" t="s">
        <v>198</v>
      </c>
      <c r="O281" s="151" t="s">
        <v>946</v>
      </c>
      <c r="P281" s="160" t="s">
        <v>348</v>
      </c>
      <c r="Q281" s="128">
        <v>80111600</v>
      </c>
      <c r="R281" s="166" t="s">
        <v>211</v>
      </c>
      <c r="S281" s="162" t="str">
        <f>MID(PAA[[#This Row],[Meta Proyecto de Inversión]],1,4)</f>
        <v>8173</v>
      </c>
      <c r="T281" s="162" t="str">
        <f>MID(PAA[[#This Row],[Meta Proyecto de Inversión]],6,1)</f>
        <v>2</v>
      </c>
      <c r="U281" s="163" t="str">
        <f>IFERROR(VLOOKUP(N281,TD!$B$50:$F$54,2,0)," ")</f>
        <v>O230117</v>
      </c>
      <c r="V281" s="163" t="str">
        <f>IFERROR(VLOOKUP(N281,TD!$B$50:$F$54,3,0)," ")</f>
        <v>4503</v>
      </c>
      <c r="W281" s="163">
        <f>IFERROR(VLOOKUP(N281,TD!$B$50:$F$54,4,0)," ")</f>
        <v>20240255</v>
      </c>
      <c r="X281" s="162" t="s">
        <v>164</v>
      </c>
      <c r="Y281" s="163" t="str">
        <f>IFERROR(VLOOKUP(X281,TD!$J$51:$K$64,2,0)," ")</f>
        <v>Servicio de atención a incidentes y emergencias.</v>
      </c>
      <c r="Z281" s="164" t="str">
        <f>CONCATENATE(X281,"-",Y281)</f>
        <v>04-Servicio de atención a incidentes y emergencias.</v>
      </c>
      <c r="AA281" s="166" t="s">
        <v>221</v>
      </c>
      <c r="AB281" s="163" t="str">
        <f>IFERROR(VLOOKUP(AA281,TD!$N$51:$O$66,2,0)," ")</f>
        <v>Servicio de atención a emergencias y desastres</v>
      </c>
      <c r="AC281" s="164" t="str">
        <f>CONCATENATE(AA281,"_",AB281)</f>
        <v>004_Servicio de atención a emergencias y desastres</v>
      </c>
      <c r="AD281" s="164" t="str">
        <f>CONCATENATE(Z281," ",AC281)</f>
        <v>04-Servicio de atención a incidentes y emergencias. 004_Servicio de atención a emergencias y desastres</v>
      </c>
      <c r="AE281" s="163" t="str">
        <f>CONCATENATE(U281,V281,W281,X281,AA281)</f>
        <v>O23011745032024025504004</v>
      </c>
      <c r="AF281" s="163" t="str">
        <f>IFERROR(VLOOKUP(AD281,TD!$J$66:$K$89,2,0)," ")</f>
        <v>PM/0131/0104/45030040255</v>
      </c>
      <c r="AG281" s="118" t="s">
        <v>385</v>
      </c>
      <c r="AH281" s="162" t="s">
        <v>193</v>
      </c>
      <c r="AI281" s="165" t="str">
        <f>CONCATENATE(PAA[[#This Row],[Id Interno]],"-",PAA[[#This Row],[tipo de Contrato (TH talento humano - B/S bienes y/o servicios)]],"-",S281,"-",T281,"-",PAA[[#This Row],[Objeto de la contratación]])</f>
        <v>20260260-TH-8173-2-Prestación de servicios de apoyo al proceso de comunicaciones en emergencias del centro de coordinación y comunicaciones (c.c.c.), para el desarrollo de los programas a cargo de la Subdirección Operativa-S.O.</v>
      </c>
    </row>
    <row r="282" spans="2:35" ht="56" x14ac:dyDescent="0.35">
      <c r="B282" s="23">
        <v>20260261</v>
      </c>
      <c r="C282" s="99" t="s">
        <v>862</v>
      </c>
      <c r="D282" s="99" t="s">
        <v>105</v>
      </c>
      <c r="E282" s="99" t="s">
        <v>363</v>
      </c>
      <c r="F282" s="160" t="s">
        <v>145</v>
      </c>
      <c r="G282" s="160" t="s">
        <v>373</v>
      </c>
      <c r="H282" s="167">
        <v>10</v>
      </c>
      <c r="I282" s="167">
        <v>0</v>
      </c>
      <c r="J282" s="118">
        <v>31000000</v>
      </c>
      <c r="K282" s="126" t="s">
        <v>398</v>
      </c>
      <c r="L282" s="160" t="s">
        <v>158</v>
      </c>
      <c r="M282" s="166" t="s">
        <v>421</v>
      </c>
      <c r="N282" s="99" t="s">
        <v>198</v>
      </c>
      <c r="O282" s="151" t="s">
        <v>946</v>
      </c>
      <c r="P282" s="160" t="s">
        <v>348</v>
      </c>
      <c r="Q282" s="128">
        <v>80111600</v>
      </c>
      <c r="R282" s="166" t="s">
        <v>211</v>
      </c>
      <c r="S282" s="162" t="str">
        <f>MID(PAA[[#This Row],[Meta Proyecto de Inversión]],1,4)</f>
        <v>8173</v>
      </c>
      <c r="T282" s="162" t="str">
        <f>MID(PAA[[#This Row],[Meta Proyecto de Inversión]],6,1)</f>
        <v>2</v>
      </c>
      <c r="U282" s="163" t="str">
        <f>IFERROR(VLOOKUP(N282,TD!$B$50:$F$54,2,0)," ")</f>
        <v>O230117</v>
      </c>
      <c r="V282" s="163" t="str">
        <f>IFERROR(VLOOKUP(N282,TD!$B$50:$F$54,3,0)," ")</f>
        <v>4503</v>
      </c>
      <c r="W282" s="163">
        <f>IFERROR(VLOOKUP(N282,TD!$B$50:$F$54,4,0)," ")</f>
        <v>20240255</v>
      </c>
      <c r="X282" s="162" t="s">
        <v>164</v>
      </c>
      <c r="Y282" s="163" t="str">
        <f>IFERROR(VLOOKUP(X282,TD!$J$51:$K$64,2,0)," ")</f>
        <v>Servicio de atención a incidentes y emergencias.</v>
      </c>
      <c r="Z282" s="164" t="str">
        <f>CONCATENATE(X282,"-",Y282)</f>
        <v>04-Servicio de atención a incidentes y emergencias.</v>
      </c>
      <c r="AA282" s="166" t="s">
        <v>221</v>
      </c>
      <c r="AB282" s="163" t="str">
        <f>IFERROR(VLOOKUP(AA282,TD!$N$51:$O$66,2,0)," ")</f>
        <v>Servicio de atención a emergencias y desastres</v>
      </c>
      <c r="AC282" s="164" t="str">
        <f>CONCATENATE(AA282,"_",AB282)</f>
        <v>004_Servicio de atención a emergencias y desastres</v>
      </c>
      <c r="AD282" s="164" t="str">
        <f>CONCATENATE(Z282," ",AC282)</f>
        <v>04-Servicio de atención a incidentes y emergencias. 004_Servicio de atención a emergencias y desastres</v>
      </c>
      <c r="AE282" s="163" t="str">
        <f>CONCATENATE(U282,V282,W282,X282,AA282)</f>
        <v>O23011745032024025504004</v>
      </c>
      <c r="AF282" s="163" t="str">
        <f>IFERROR(VLOOKUP(AD282,TD!$J$66:$K$89,2,0)," ")</f>
        <v>PM/0131/0104/45030040255</v>
      </c>
      <c r="AG282" s="118" t="s">
        <v>385</v>
      </c>
      <c r="AH282" s="162" t="s">
        <v>193</v>
      </c>
      <c r="AI282" s="165" t="str">
        <f>CONCATENATE(PAA[[#This Row],[Id Interno]],"-",PAA[[#This Row],[tipo de Contrato (TH talento humano - B/S bienes y/o servicios)]],"-",S282,"-",T282,"-",PAA[[#This Row],[Objeto de la contratación]])</f>
        <v>20260261-TH-8173-2-Prestación de servicios de apoyo al proceso de comunicaciones en emergencias del centro de coordinación y comunicaciones (c.c.c.), para el desarrollo de los programas a cargo de la Subdirección Operativa-S.O.</v>
      </c>
    </row>
    <row r="283" spans="2:35" ht="56" x14ac:dyDescent="0.35">
      <c r="B283" s="23">
        <v>20260262</v>
      </c>
      <c r="C283" s="99" t="s">
        <v>862</v>
      </c>
      <c r="D283" s="99" t="s">
        <v>105</v>
      </c>
      <c r="E283" s="99" t="s">
        <v>363</v>
      </c>
      <c r="F283" s="160" t="s">
        <v>145</v>
      </c>
      <c r="G283" s="160" t="s">
        <v>373</v>
      </c>
      <c r="H283" s="167">
        <v>10</v>
      </c>
      <c r="I283" s="167">
        <v>0</v>
      </c>
      <c r="J283" s="118">
        <v>31000000</v>
      </c>
      <c r="K283" s="126" t="s">
        <v>398</v>
      </c>
      <c r="L283" s="160" t="s">
        <v>158</v>
      </c>
      <c r="M283" s="166" t="s">
        <v>421</v>
      </c>
      <c r="N283" s="99" t="s">
        <v>198</v>
      </c>
      <c r="O283" s="151" t="s">
        <v>946</v>
      </c>
      <c r="P283" s="160" t="s">
        <v>348</v>
      </c>
      <c r="Q283" s="128">
        <v>80111600</v>
      </c>
      <c r="R283" s="166" t="s">
        <v>211</v>
      </c>
      <c r="S283" s="162" t="str">
        <f>MID(PAA[[#This Row],[Meta Proyecto de Inversión]],1,4)</f>
        <v>8173</v>
      </c>
      <c r="T283" s="162" t="str">
        <f>MID(PAA[[#This Row],[Meta Proyecto de Inversión]],6,1)</f>
        <v>2</v>
      </c>
      <c r="U283" s="163" t="str">
        <f>IFERROR(VLOOKUP(N283,TD!$B$50:$F$54,2,0)," ")</f>
        <v>O230117</v>
      </c>
      <c r="V283" s="163" t="str">
        <f>IFERROR(VLOOKUP(N283,TD!$B$50:$F$54,3,0)," ")</f>
        <v>4503</v>
      </c>
      <c r="W283" s="163">
        <f>IFERROR(VLOOKUP(N283,TD!$B$50:$F$54,4,0)," ")</f>
        <v>20240255</v>
      </c>
      <c r="X283" s="162" t="s">
        <v>164</v>
      </c>
      <c r="Y283" s="163" t="str">
        <f>IFERROR(VLOOKUP(X283,TD!$J$51:$K$64,2,0)," ")</f>
        <v>Servicio de atención a incidentes y emergencias.</v>
      </c>
      <c r="Z283" s="164" t="str">
        <f>CONCATENATE(X283,"-",Y283)</f>
        <v>04-Servicio de atención a incidentes y emergencias.</v>
      </c>
      <c r="AA283" s="166" t="s">
        <v>221</v>
      </c>
      <c r="AB283" s="163" t="str">
        <f>IFERROR(VLOOKUP(AA283,TD!$N$51:$O$66,2,0)," ")</f>
        <v>Servicio de atención a emergencias y desastres</v>
      </c>
      <c r="AC283" s="164" t="str">
        <f>CONCATENATE(AA283,"_",AB283)</f>
        <v>004_Servicio de atención a emergencias y desastres</v>
      </c>
      <c r="AD283" s="164" t="str">
        <f>CONCATENATE(Z283," ",AC283)</f>
        <v>04-Servicio de atención a incidentes y emergencias. 004_Servicio de atención a emergencias y desastres</v>
      </c>
      <c r="AE283" s="163" t="str">
        <f>CONCATENATE(U283,V283,W283,X283,AA283)</f>
        <v>O23011745032024025504004</v>
      </c>
      <c r="AF283" s="163" t="str">
        <f>IFERROR(VLOOKUP(AD283,TD!$J$66:$K$89,2,0)," ")</f>
        <v>PM/0131/0104/45030040255</v>
      </c>
      <c r="AG283" s="118" t="s">
        <v>385</v>
      </c>
      <c r="AH283" s="162" t="s">
        <v>193</v>
      </c>
      <c r="AI283" s="165" t="str">
        <f>CONCATENATE(PAA[[#This Row],[Id Interno]],"-",PAA[[#This Row],[tipo de Contrato (TH talento humano - B/S bienes y/o servicios)]],"-",S283,"-",T283,"-",PAA[[#This Row],[Objeto de la contratación]])</f>
        <v>20260262-TH-8173-2-Prestación de servicios de apoyo al proceso de comunicaciones en emergencias del centro de coordinación y comunicaciones (c.c.c.), para el desarrollo de los programas a cargo de la Subdirección Operativa-S.O.</v>
      </c>
    </row>
    <row r="284" spans="2:35" ht="56" x14ac:dyDescent="0.35">
      <c r="B284" s="23">
        <v>20260263</v>
      </c>
      <c r="C284" s="99" t="s">
        <v>863</v>
      </c>
      <c r="D284" s="99" t="s">
        <v>105</v>
      </c>
      <c r="E284" s="99" t="s">
        <v>363</v>
      </c>
      <c r="F284" s="160" t="s">
        <v>145</v>
      </c>
      <c r="G284" s="160" t="s">
        <v>373</v>
      </c>
      <c r="H284" s="167">
        <v>9</v>
      </c>
      <c r="I284" s="167">
        <v>0</v>
      </c>
      <c r="J284" s="118">
        <v>26910000</v>
      </c>
      <c r="K284" s="126" t="s">
        <v>398</v>
      </c>
      <c r="L284" s="160" t="s">
        <v>158</v>
      </c>
      <c r="M284" s="166" t="s">
        <v>421</v>
      </c>
      <c r="N284" s="99" t="s">
        <v>198</v>
      </c>
      <c r="O284" s="151" t="s">
        <v>946</v>
      </c>
      <c r="P284" s="160" t="s">
        <v>348</v>
      </c>
      <c r="Q284" s="128">
        <v>80111600</v>
      </c>
      <c r="R284" s="166" t="s">
        <v>211</v>
      </c>
      <c r="S284" s="162" t="str">
        <f>MID(PAA[[#This Row],[Meta Proyecto de Inversión]],1,4)</f>
        <v>8173</v>
      </c>
      <c r="T284" s="162" t="str">
        <f>MID(PAA[[#This Row],[Meta Proyecto de Inversión]],6,1)</f>
        <v>2</v>
      </c>
      <c r="U284" s="163" t="str">
        <f>IFERROR(VLOOKUP(N284,TD!$B$50:$F$54,2,0)," ")</f>
        <v>O230117</v>
      </c>
      <c r="V284" s="163" t="str">
        <f>IFERROR(VLOOKUP(N284,TD!$B$50:$F$54,3,0)," ")</f>
        <v>4503</v>
      </c>
      <c r="W284" s="163">
        <f>IFERROR(VLOOKUP(N284,TD!$B$50:$F$54,4,0)," ")</f>
        <v>20240255</v>
      </c>
      <c r="X284" s="162" t="s">
        <v>164</v>
      </c>
      <c r="Y284" s="163" t="str">
        <f>IFERROR(VLOOKUP(X284,TD!$J$51:$K$64,2,0)," ")</f>
        <v>Servicio de atención a incidentes y emergencias.</v>
      </c>
      <c r="Z284" s="164" t="str">
        <f>CONCATENATE(X284,"-",Y284)</f>
        <v>04-Servicio de atención a incidentes y emergencias.</v>
      </c>
      <c r="AA284" s="162" t="s">
        <v>221</v>
      </c>
      <c r="AB284" s="163" t="str">
        <f>IFERROR(VLOOKUP(AA284,TD!$N$51:$O$66,2,0)," ")</f>
        <v>Servicio de atención a emergencias y desastres</v>
      </c>
      <c r="AC284" s="164" t="str">
        <f>CONCATENATE(AA284,"_",AB284)</f>
        <v>004_Servicio de atención a emergencias y desastres</v>
      </c>
      <c r="AD284" s="164" t="str">
        <f>CONCATENATE(Z284," ",AC284)</f>
        <v>04-Servicio de atención a incidentes y emergencias. 004_Servicio de atención a emergencias y desastres</v>
      </c>
      <c r="AE284" s="163" t="str">
        <f>CONCATENATE(U284,V284,W284,X284,AA284)</f>
        <v>O23011745032024025504004</v>
      </c>
      <c r="AF284" s="163" t="str">
        <f>IFERROR(VLOOKUP(AD284,TD!$J$66:$K$89,2,0)," ")</f>
        <v>PM/0131/0104/45030040255</v>
      </c>
      <c r="AG284" s="118" t="s">
        <v>385</v>
      </c>
      <c r="AH284" s="162" t="s">
        <v>193</v>
      </c>
      <c r="AI284" s="165" t="str">
        <f>CONCATENATE(PAA[[#This Row],[Id Interno]],"-",PAA[[#This Row],[tipo de Contrato (TH talento humano - B/S bienes y/o servicios)]],"-",S284,"-",T284,"-",PAA[[#This Row],[Objeto de la contratación]])</f>
        <v>20260263-TH-8173-2-Prestación de servicios para realizar la gestión administrativa requerida en la estación de bomberos asignada, para el desarrollo de los programas a cargo de la Subdirección Operativa-S.O.</v>
      </c>
    </row>
    <row r="285" spans="2:35" ht="70" x14ac:dyDescent="0.35">
      <c r="B285" s="23">
        <v>20260264</v>
      </c>
      <c r="C285" s="99" t="s">
        <v>863</v>
      </c>
      <c r="D285" s="99" t="s">
        <v>105</v>
      </c>
      <c r="E285" s="99" t="s">
        <v>363</v>
      </c>
      <c r="F285" s="160" t="s">
        <v>145</v>
      </c>
      <c r="G285" s="160" t="s">
        <v>373</v>
      </c>
      <c r="H285" s="167">
        <v>9</v>
      </c>
      <c r="I285" s="167">
        <v>0</v>
      </c>
      <c r="J285" s="118">
        <v>26910000</v>
      </c>
      <c r="K285" s="126" t="s">
        <v>398</v>
      </c>
      <c r="L285" s="160" t="s">
        <v>158</v>
      </c>
      <c r="M285" s="166" t="s">
        <v>421</v>
      </c>
      <c r="N285" s="99" t="s">
        <v>198</v>
      </c>
      <c r="O285" s="151" t="s">
        <v>946</v>
      </c>
      <c r="P285" s="160" t="s">
        <v>348</v>
      </c>
      <c r="Q285" s="128">
        <v>80111600</v>
      </c>
      <c r="R285" s="166" t="s">
        <v>211</v>
      </c>
      <c r="S285" s="162" t="str">
        <f>MID(PAA[[#This Row],[Meta Proyecto de Inversión]],1,4)</f>
        <v>8173</v>
      </c>
      <c r="T285" s="162" t="str">
        <f>MID(PAA[[#This Row],[Meta Proyecto de Inversión]],6,1)</f>
        <v>2</v>
      </c>
      <c r="U285" s="163" t="str">
        <f>IFERROR(VLOOKUP(N285,TD!$B$50:$F$54,2,0)," ")</f>
        <v>O230117</v>
      </c>
      <c r="V285" s="163" t="str">
        <f>IFERROR(VLOOKUP(N285,TD!$B$50:$F$54,3,0)," ")</f>
        <v>4503</v>
      </c>
      <c r="W285" s="163">
        <f>IFERROR(VLOOKUP(N285,TD!$B$50:$F$54,4,0)," ")</f>
        <v>20240255</v>
      </c>
      <c r="X285" s="162" t="s">
        <v>164</v>
      </c>
      <c r="Y285" s="163" t="str">
        <f>IFERROR(VLOOKUP(X285,TD!$J$51:$K$64,2,0)," ")</f>
        <v>Servicio de atención a incidentes y emergencias.</v>
      </c>
      <c r="Z285" s="164" t="str">
        <f>CONCATENATE(X285,"-",Y285)</f>
        <v>04-Servicio de atención a incidentes y emergencias.</v>
      </c>
      <c r="AA285" s="162" t="s">
        <v>221</v>
      </c>
      <c r="AB285" s="163" t="str">
        <f>IFERROR(VLOOKUP(AA285,TD!$N$51:$O$66,2,0)," ")</f>
        <v>Servicio de atención a emergencias y desastres</v>
      </c>
      <c r="AC285" s="164" t="str">
        <f>CONCATENATE(AA285,"_",AB285)</f>
        <v>004_Servicio de atención a emergencias y desastres</v>
      </c>
      <c r="AD285" s="164" t="str">
        <f>CONCATENATE(Z285," ",AC285)</f>
        <v>04-Servicio de atención a incidentes y emergencias. 004_Servicio de atención a emergencias y desastres</v>
      </c>
      <c r="AE285" s="163" t="str">
        <f>CONCATENATE(U285,V285,W285,X285,AA285)</f>
        <v>O23011745032024025504004</v>
      </c>
      <c r="AF285" s="163" t="str">
        <f>IFERROR(VLOOKUP(AD285,TD!$J$66:$K$89,2,0)," ")</f>
        <v>PM/0131/0104/45030040255</v>
      </c>
      <c r="AG285" s="118" t="s">
        <v>385</v>
      </c>
      <c r="AH285" s="162" t="s">
        <v>193</v>
      </c>
      <c r="AI285" s="165" t="str">
        <f>CONCATENATE(PAA[[#This Row],[Id Interno]],"-",PAA[[#This Row],[tipo de Contrato (TH talento humano - B/S bienes y/o servicios)]],"-",S285,"-",T285,"-",PAA[[#This Row],[Objeto de la contratación]])</f>
        <v>20260264-TH-8173-2-Prestación de servicios para realizar la gestión administrativa requerida en la estación de bomberos asignada, para el desarrollo de los programas a cargo de la Subdirección Operativa-S.O.</v>
      </c>
    </row>
    <row r="286" spans="2:35" ht="70" x14ac:dyDescent="0.35">
      <c r="B286" s="23">
        <v>20260265</v>
      </c>
      <c r="C286" s="99" t="s">
        <v>863</v>
      </c>
      <c r="D286" s="99" t="s">
        <v>105</v>
      </c>
      <c r="E286" s="99" t="s">
        <v>363</v>
      </c>
      <c r="F286" s="160" t="s">
        <v>145</v>
      </c>
      <c r="G286" s="160" t="s">
        <v>373</v>
      </c>
      <c r="H286" s="167">
        <v>9</v>
      </c>
      <c r="I286" s="167">
        <v>0</v>
      </c>
      <c r="J286" s="118">
        <v>26910000</v>
      </c>
      <c r="K286" s="126" t="s">
        <v>398</v>
      </c>
      <c r="L286" s="160" t="s">
        <v>158</v>
      </c>
      <c r="M286" s="166" t="s">
        <v>421</v>
      </c>
      <c r="N286" s="99" t="s">
        <v>198</v>
      </c>
      <c r="O286" s="151" t="s">
        <v>946</v>
      </c>
      <c r="P286" s="160" t="s">
        <v>348</v>
      </c>
      <c r="Q286" s="128">
        <v>80111600</v>
      </c>
      <c r="R286" s="166" t="s">
        <v>211</v>
      </c>
      <c r="S286" s="162" t="str">
        <f>MID(PAA[[#This Row],[Meta Proyecto de Inversión]],1,4)</f>
        <v>8173</v>
      </c>
      <c r="T286" s="162" t="str">
        <f>MID(PAA[[#This Row],[Meta Proyecto de Inversión]],6,1)</f>
        <v>2</v>
      </c>
      <c r="U286" s="163" t="str">
        <f>IFERROR(VLOOKUP(N286,TD!$B$50:$F$54,2,0)," ")</f>
        <v>O230117</v>
      </c>
      <c r="V286" s="163" t="str">
        <f>IFERROR(VLOOKUP(N286,TD!$B$50:$F$54,3,0)," ")</f>
        <v>4503</v>
      </c>
      <c r="W286" s="163">
        <f>IFERROR(VLOOKUP(N286,TD!$B$50:$F$54,4,0)," ")</f>
        <v>20240255</v>
      </c>
      <c r="X286" s="162" t="s">
        <v>164</v>
      </c>
      <c r="Y286" s="163" t="str">
        <f>IFERROR(VLOOKUP(X286,TD!$J$51:$K$64,2,0)," ")</f>
        <v>Servicio de atención a incidentes y emergencias.</v>
      </c>
      <c r="Z286" s="164" t="str">
        <f>CONCATENATE(X286,"-",Y286)</f>
        <v>04-Servicio de atención a incidentes y emergencias.</v>
      </c>
      <c r="AA286" s="162" t="s">
        <v>221</v>
      </c>
      <c r="AB286" s="163" t="str">
        <f>IFERROR(VLOOKUP(AA286,TD!$N$51:$O$66,2,0)," ")</f>
        <v>Servicio de atención a emergencias y desastres</v>
      </c>
      <c r="AC286" s="164" t="str">
        <f>CONCATENATE(AA286,"_",AB286)</f>
        <v>004_Servicio de atención a emergencias y desastres</v>
      </c>
      <c r="AD286" s="164" t="str">
        <f>CONCATENATE(Z286," ",AC286)</f>
        <v>04-Servicio de atención a incidentes y emergencias. 004_Servicio de atención a emergencias y desastres</v>
      </c>
      <c r="AE286" s="163" t="str">
        <f>CONCATENATE(U286,V286,W286,X286,AA286)</f>
        <v>O23011745032024025504004</v>
      </c>
      <c r="AF286" s="163" t="str">
        <f>IFERROR(VLOOKUP(AD286,TD!$J$66:$K$89,2,0)," ")</f>
        <v>PM/0131/0104/45030040255</v>
      </c>
      <c r="AG286" s="118" t="s">
        <v>385</v>
      </c>
      <c r="AH286" s="162" t="s">
        <v>193</v>
      </c>
      <c r="AI286" s="165" t="str">
        <f>CONCATENATE(PAA[[#This Row],[Id Interno]],"-",PAA[[#This Row],[tipo de Contrato (TH talento humano - B/S bienes y/o servicios)]],"-",S286,"-",T286,"-",PAA[[#This Row],[Objeto de la contratación]])</f>
        <v>20260265-TH-8173-2-Prestación de servicios para realizar la gestión administrativa requerida en la estación de bomberos asignada, para el desarrollo de los programas a cargo de la Subdirección Operativa-S.O.</v>
      </c>
    </row>
    <row r="287" spans="2:35" ht="70" x14ac:dyDescent="0.35">
      <c r="B287" s="23">
        <v>20260266</v>
      </c>
      <c r="C287" s="99" t="s">
        <v>863</v>
      </c>
      <c r="D287" s="99" t="s">
        <v>105</v>
      </c>
      <c r="E287" s="99" t="s">
        <v>363</v>
      </c>
      <c r="F287" s="160" t="s">
        <v>145</v>
      </c>
      <c r="G287" s="160" t="s">
        <v>373</v>
      </c>
      <c r="H287" s="167">
        <v>9</v>
      </c>
      <c r="I287" s="167">
        <v>0</v>
      </c>
      <c r="J287" s="118">
        <v>26910000</v>
      </c>
      <c r="K287" s="126" t="s">
        <v>398</v>
      </c>
      <c r="L287" s="160" t="s">
        <v>158</v>
      </c>
      <c r="M287" s="166" t="s">
        <v>421</v>
      </c>
      <c r="N287" s="99" t="s">
        <v>198</v>
      </c>
      <c r="O287" s="151" t="s">
        <v>946</v>
      </c>
      <c r="P287" s="160" t="s">
        <v>348</v>
      </c>
      <c r="Q287" s="128">
        <v>80111600</v>
      </c>
      <c r="R287" s="166" t="s">
        <v>211</v>
      </c>
      <c r="S287" s="162" t="str">
        <f>MID(PAA[[#This Row],[Meta Proyecto de Inversión]],1,4)</f>
        <v>8173</v>
      </c>
      <c r="T287" s="162" t="str">
        <f>MID(PAA[[#This Row],[Meta Proyecto de Inversión]],6,1)</f>
        <v>2</v>
      </c>
      <c r="U287" s="163" t="str">
        <f>IFERROR(VLOOKUP(N287,TD!$B$50:$F$54,2,0)," ")</f>
        <v>O230117</v>
      </c>
      <c r="V287" s="163" t="str">
        <f>IFERROR(VLOOKUP(N287,TD!$B$50:$F$54,3,0)," ")</f>
        <v>4503</v>
      </c>
      <c r="W287" s="163">
        <f>IFERROR(VLOOKUP(N287,TD!$B$50:$F$54,4,0)," ")</f>
        <v>20240255</v>
      </c>
      <c r="X287" s="162" t="s">
        <v>164</v>
      </c>
      <c r="Y287" s="163" t="str">
        <f>IFERROR(VLOOKUP(X287,TD!$J$51:$K$64,2,0)," ")</f>
        <v>Servicio de atención a incidentes y emergencias.</v>
      </c>
      <c r="Z287" s="164" t="str">
        <f>CONCATENATE(X287,"-",Y287)</f>
        <v>04-Servicio de atención a incidentes y emergencias.</v>
      </c>
      <c r="AA287" s="162" t="s">
        <v>221</v>
      </c>
      <c r="AB287" s="163" t="str">
        <f>IFERROR(VLOOKUP(AA287,TD!$N$51:$O$66,2,0)," ")</f>
        <v>Servicio de atención a emergencias y desastres</v>
      </c>
      <c r="AC287" s="164" t="str">
        <f>CONCATENATE(AA287,"_",AB287)</f>
        <v>004_Servicio de atención a emergencias y desastres</v>
      </c>
      <c r="AD287" s="164" t="str">
        <f>CONCATENATE(Z287," ",AC287)</f>
        <v>04-Servicio de atención a incidentes y emergencias. 004_Servicio de atención a emergencias y desastres</v>
      </c>
      <c r="AE287" s="163" t="str">
        <f>CONCATENATE(U287,V287,W287,X287,AA287)</f>
        <v>O23011745032024025504004</v>
      </c>
      <c r="AF287" s="163" t="str">
        <f>IFERROR(VLOOKUP(AD287,TD!$J$66:$K$89,2,0)," ")</f>
        <v>PM/0131/0104/45030040255</v>
      </c>
      <c r="AG287" s="118" t="s">
        <v>385</v>
      </c>
      <c r="AH287" s="162" t="s">
        <v>193</v>
      </c>
      <c r="AI287" s="165" t="str">
        <f>CONCATENATE(PAA[[#This Row],[Id Interno]],"-",PAA[[#This Row],[tipo de Contrato (TH talento humano - B/S bienes y/o servicios)]],"-",S287,"-",T287,"-",PAA[[#This Row],[Objeto de la contratación]])</f>
        <v>20260266-TH-8173-2-Prestación de servicios para realizar la gestión administrativa requerida en la estación de bomberos asignada, para el desarrollo de los programas a cargo de la Subdirección Operativa-S.O.</v>
      </c>
    </row>
    <row r="288" spans="2:35" ht="70" x14ac:dyDescent="0.35">
      <c r="B288" s="23">
        <v>20260267</v>
      </c>
      <c r="C288" s="99" t="s">
        <v>863</v>
      </c>
      <c r="D288" s="99" t="s">
        <v>105</v>
      </c>
      <c r="E288" s="99" t="s">
        <v>363</v>
      </c>
      <c r="F288" s="160" t="s">
        <v>145</v>
      </c>
      <c r="G288" s="160" t="s">
        <v>373</v>
      </c>
      <c r="H288" s="167">
        <v>9</v>
      </c>
      <c r="I288" s="167">
        <v>0</v>
      </c>
      <c r="J288" s="118">
        <v>26910000</v>
      </c>
      <c r="K288" s="126" t="s">
        <v>398</v>
      </c>
      <c r="L288" s="160" t="s">
        <v>158</v>
      </c>
      <c r="M288" s="166" t="s">
        <v>421</v>
      </c>
      <c r="N288" s="99" t="s">
        <v>198</v>
      </c>
      <c r="O288" s="151" t="s">
        <v>946</v>
      </c>
      <c r="P288" s="160" t="s">
        <v>348</v>
      </c>
      <c r="Q288" s="128">
        <v>80111600</v>
      </c>
      <c r="R288" s="166" t="s">
        <v>211</v>
      </c>
      <c r="S288" s="162" t="str">
        <f>MID(PAA[[#This Row],[Meta Proyecto de Inversión]],1,4)</f>
        <v>8173</v>
      </c>
      <c r="T288" s="162" t="str">
        <f>MID(PAA[[#This Row],[Meta Proyecto de Inversión]],6,1)</f>
        <v>2</v>
      </c>
      <c r="U288" s="163" t="str">
        <f>IFERROR(VLOOKUP(N288,TD!$B$50:$F$54,2,0)," ")</f>
        <v>O230117</v>
      </c>
      <c r="V288" s="163" t="str">
        <f>IFERROR(VLOOKUP(N288,TD!$B$50:$F$54,3,0)," ")</f>
        <v>4503</v>
      </c>
      <c r="W288" s="163">
        <f>IFERROR(VLOOKUP(N288,TD!$B$50:$F$54,4,0)," ")</f>
        <v>20240255</v>
      </c>
      <c r="X288" s="162" t="s">
        <v>164</v>
      </c>
      <c r="Y288" s="163" t="str">
        <f>IFERROR(VLOOKUP(X288,TD!$J$51:$K$64,2,0)," ")</f>
        <v>Servicio de atención a incidentes y emergencias.</v>
      </c>
      <c r="Z288" s="164" t="str">
        <f>CONCATENATE(X288,"-",Y288)</f>
        <v>04-Servicio de atención a incidentes y emergencias.</v>
      </c>
      <c r="AA288" s="162" t="s">
        <v>221</v>
      </c>
      <c r="AB288" s="163" t="str">
        <f>IFERROR(VLOOKUP(AA288,TD!$N$51:$O$66,2,0)," ")</f>
        <v>Servicio de atención a emergencias y desastres</v>
      </c>
      <c r="AC288" s="164" t="str">
        <f>CONCATENATE(AA288,"_",AB288)</f>
        <v>004_Servicio de atención a emergencias y desastres</v>
      </c>
      <c r="AD288" s="164" t="str">
        <f>CONCATENATE(Z288," ",AC288)</f>
        <v>04-Servicio de atención a incidentes y emergencias. 004_Servicio de atención a emergencias y desastres</v>
      </c>
      <c r="AE288" s="163" t="str">
        <f>CONCATENATE(U288,V288,W288,X288,AA288)</f>
        <v>O23011745032024025504004</v>
      </c>
      <c r="AF288" s="163" t="str">
        <f>IFERROR(VLOOKUP(AD288,TD!$J$66:$K$89,2,0)," ")</f>
        <v>PM/0131/0104/45030040255</v>
      </c>
      <c r="AG288" s="118" t="s">
        <v>385</v>
      </c>
      <c r="AH288" s="162" t="s">
        <v>193</v>
      </c>
      <c r="AI288" s="165" t="str">
        <f>CONCATENATE(PAA[[#This Row],[Id Interno]],"-",PAA[[#This Row],[tipo de Contrato (TH talento humano - B/S bienes y/o servicios)]],"-",S288,"-",T288,"-",PAA[[#This Row],[Objeto de la contratación]])</f>
        <v>20260267-TH-8173-2-Prestación de servicios para realizar la gestión administrativa requerida en la estación de bomberos asignada, para el desarrollo de los programas a cargo de la Subdirección Operativa-S.O.</v>
      </c>
    </row>
    <row r="289" spans="2:35" ht="84" x14ac:dyDescent="0.35">
      <c r="B289" s="23">
        <v>20260268</v>
      </c>
      <c r="C289" s="99" t="s">
        <v>863</v>
      </c>
      <c r="D289" s="99" t="s">
        <v>105</v>
      </c>
      <c r="E289" s="99" t="s">
        <v>363</v>
      </c>
      <c r="F289" s="160" t="s">
        <v>145</v>
      </c>
      <c r="G289" s="160" t="s">
        <v>373</v>
      </c>
      <c r="H289" s="167">
        <v>9</v>
      </c>
      <c r="I289" s="167">
        <v>0</v>
      </c>
      <c r="J289" s="118">
        <v>26910000</v>
      </c>
      <c r="K289" s="126" t="s">
        <v>398</v>
      </c>
      <c r="L289" s="160" t="s">
        <v>158</v>
      </c>
      <c r="M289" s="166" t="s">
        <v>421</v>
      </c>
      <c r="N289" s="99" t="s">
        <v>198</v>
      </c>
      <c r="O289" s="151" t="s">
        <v>946</v>
      </c>
      <c r="P289" s="160" t="s">
        <v>348</v>
      </c>
      <c r="Q289" s="128">
        <v>80111600</v>
      </c>
      <c r="R289" s="166" t="s">
        <v>211</v>
      </c>
      <c r="S289" s="162" t="str">
        <f>MID(PAA[[#This Row],[Meta Proyecto de Inversión]],1,4)</f>
        <v>8173</v>
      </c>
      <c r="T289" s="162" t="str">
        <f>MID(PAA[[#This Row],[Meta Proyecto de Inversión]],6,1)</f>
        <v>2</v>
      </c>
      <c r="U289" s="163" t="str">
        <f>IFERROR(VLOOKUP(N289,TD!$B$50:$F$54,2,0)," ")</f>
        <v>O230117</v>
      </c>
      <c r="V289" s="163" t="str">
        <f>IFERROR(VLOOKUP(N289,TD!$B$50:$F$54,3,0)," ")</f>
        <v>4503</v>
      </c>
      <c r="W289" s="163">
        <f>IFERROR(VLOOKUP(N289,TD!$B$50:$F$54,4,0)," ")</f>
        <v>20240255</v>
      </c>
      <c r="X289" s="162" t="s">
        <v>164</v>
      </c>
      <c r="Y289" s="163" t="str">
        <f>IFERROR(VLOOKUP(X289,TD!$J$51:$K$64,2,0)," ")</f>
        <v>Servicio de atención a incidentes y emergencias.</v>
      </c>
      <c r="Z289" s="164" t="str">
        <f>CONCATENATE(X289,"-",Y289)</f>
        <v>04-Servicio de atención a incidentes y emergencias.</v>
      </c>
      <c r="AA289" s="162" t="s">
        <v>221</v>
      </c>
      <c r="AB289" s="163" t="str">
        <f>IFERROR(VLOOKUP(AA289,TD!$N$51:$O$66,2,0)," ")</f>
        <v>Servicio de atención a emergencias y desastres</v>
      </c>
      <c r="AC289" s="164" t="str">
        <f>CONCATENATE(AA289,"_",AB289)</f>
        <v>004_Servicio de atención a emergencias y desastres</v>
      </c>
      <c r="AD289" s="164" t="str">
        <f>CONCATENATE(Z289," ",AC289)</f>
        <v>04-Servicio de atención a incidentes y emergencias. 004_Servicio de atención a emergencias y desastres</v>
      </c>
      <c r="AE289" s="163" t="str">
        <f>CONCATENATE(U289,V289,W289,X289,AA289)</f>
        <v>O23011745032024025504004</v>
      </c>
      <c r="AF289" s="163" t="str">
        <f>IFERROR(VLOOKUP(AD289,TD!$J$66:$K$89,2,0)," ")</f>
        <v>PM/0131/0104/45030040255</v>
      </c>
      <c r="AG289" s="118" t="s">
        <v>385</v>
      </c>
      <c r="AH289" s="162" t="s">
        <v>193</v>
      </c>
      <c r="AI289" s="165" t="str">
        <f>CONCATENATE(PAA[[#This Row],[Id Interno]],"-",PAA[[#This Row],[tipo de Contrato (TH talento humano - B/S bienes y/o servicios)]],"-",S289,"-",T289,"-",PAA[[#This Row],[Objeto de la contratación]])</f>
        <v>20260268-TH-8173-2-Prestación de servicios para realizar la gestión administrativa requerida en la estación de bomberos asignada, para el desarrollo de los programas a cargo de la Subdirección Operativa-S.O.</v>
      </c>
    </row>
    <row r="290" spans="2:35" ht="84" x14ac:dyDescent="0.35">
      <c r="B290" s="23">
        <v>20260269</v>
      </c>
      <c r="C290" s="99" t="s">
        <v>863</v>
      </c>
      <c r="D290" s="99" t="s">
        <v>105</v>
      </c>
      <c r="E290" s="99" t="s">
        <v>363</v>
      </c>
      <c r="F290" s="160" t="s">
        <v>145</v>
      </c>
      <c r="G290" s="160" t="s">
        <v>373</v>
      </c>
      <c r="H290" s="167">
        <v>9</v>
      </c>
      <c r="I290" s="167">
        <v>0</v>
      </c>
      <c r="J290" s="118">
        <v>26910000</v>
      </c>
      <c r="K290" s="126" t="s">
        <v>398</v>
      </c>
      <c r="L290" s="160" t="s">
        <v>158</v>
      </c>
      <c r="M290" s="166" t="s">
        <v>421</v>
      </c>
      <c r="N290" s="99" t="s">
        <v>198</v>
      </c>
      <c r="O290" s="151" t="s">
        <v>946</v>
      </c>
      <c r="P290" s="160" t="s">
        <v>348</v>
      </c>
      <c r="Q290" s="128">
        <v>80111600</v>
      </c>
      <c r="R290" s="166" t="s">
        <v>211</v>
      </c>
      <c r="S290" s="162" t="str">
        <f>MID(PAA[[#This Row],[Meta Proyecto de Inversión]],1,4)</f>
        <v>8173</v>
      </c>
      <c r="T290" s="162" t="str">
        <f>MID(PAA[[#This Row],[Meta Proyecto de Inversión]],6,1)</f>
        <v>2</v>
      </c>
      <c r="U290" s="163" t="str">
        <f>IFERROR(VLOOKUP(N290,TD!$B$50:$F$54,2,0)," ")</f>
        <v>O230117</v>
      </c>
      <c r="V290" s="163" t="str">
        <f>IFERROR(VLOOKUP(N290,TD!$B$50:$F$54,3,0)," ")</f>
        <v>4503</v>
      </c>
      <c r="W290" s="163">
        <f>IFERROR(VLOOKUP(N290,TD!$B$50:$F$54,4,0)," ")</f>
        <v>20240255</v>
      </c>
      <c r="X290" s="162" t="s">
        <v>164</v>
      </c>
      <c r="Y290" s="163" t="str">
        <f>IFERROR(VLOOKUP(X290,TD!$J$51:$K$64,2,0)," ")</f>
        <v>Servicio de atención a incidentes y emergencias.</v>
      </c>
      <c r="Z290" s="164" t="str">
        <f>CONCATENATE(X290,"-",Y290)</f>
        <v>04-Servicio de atención a incidentes y emergencias.</v>
      </c>
      <c r="AA290" s="162" t="s">
        <v>221</v>
      </c>
      <c r="AB290" s="163" t="str">
        <f>IFERROR(VLOOKUP(AA290,TD!$N$51:$O$66,2,0)," ")</f>
        <v>Servicio de atención a emergencias y desastres</v>
      </c>
      <c r="AC290" s="164" t="str">
        <f>CONCATENATE(AA290,"_",AB290)</f>
        <v>004_Servicio de atención a emergencias y desastres</v>
      </c>
      <c r="AD290" s="164" t="str">
        <f>CONCATENATE(Z290," ",AC290)</f>
        <v>04-Servicio de atención a incidentes y emergencias. 004_Servicio de atención a emergencias y desastres</v>
      </c>
      <c r="AE290" s="163" t="str">
        <f>CONCATENATE(U290,V290,W290,X290,AA290)</f>
        <v>O23011745032024025504004</v>
      </c>
      <c r="AF290" s="163" t="str">
        <f>IFERROR(VLOOKUP(AD290,TD!$J$66:$K$89,2,0)," ")</f>
        <v>PM/0131/0104/45030040255</v>
      </c>
      <c r="AG290" s="118" t="s">
        <v>385</v>
      </c>
      <c r="AH290" s="162" t="s">
        <v>193</v>
      </c>
      <c r="AI290" s="165" t="str">
        <f>CONCATENATE(PAA[[#This Row],[Id Interno]],"-",PAA[[#This Row],[tipo de Contrato (TH talento humano - B/S bienes y/o servicios)]],"-",S290,"-",T290,"-",PAA[[#This Row],[Objeto de la contratación]])</f>
        <v>20260269-TH-8173-2-Prestación de servicios para realizar la gestión administrativa requerida en la estación de bomberos asignada, para el desarrollo de los programas a cargo de la Subdirección Operativa-S.O.</v>
      </c>
    </row>
    <row r="291" spans="2:35" ht="56" x14ac:dyDescent="0.35">
      <c r="B291" s="23">
        <v>20260270</v>
      </c>
      <c r="C291" s="99" t="s">
        <v>863</v>
      </c>
      <c r="D291" s="99" t="s">
        <v>105</v>
      </c>
      <c r="E291" s="99" t="s">
        <v>363</v>
      </c>
      <c r="F291" s="160" t="s">
        <v>145</v>
      </c>
      <c r="G291" s="160" t="s">
        <v>373</v>
      </c>
      <c r="H291" s="167">
        <v>9</v>
      </c>
      <c r="I291" s="167">
        <v>0</v>
      </c>
      <c r="J291" s="118">
        <v>26910000</v>
      </c>
      <c r="K291" s="126" t="s">
        <v>398</v>
      </c>
      <c r="L291" s="160" t="s">
        <v>158</v>
      </c>
      <c r="M291" s="166" t="s">
        <v>421</v>
      </c>
      <c r="N291" s="99" t="s">
        <v>198</v>
      </c>
      <c r="O291" s="151" t="s">
        <v>946</v>
      </c>
      <c r="P291" s="160" t="s">
        <v>348</v>
      </c>
      <c r="Q291" s="128">
        <v>80111600</v>
      </c>
      <c r="R291" s="166" t="s">
        <v>211</v>
      </c>
      <c r="S291" s="162" t="str">
        <f>MID(PAA[[#This Row],[Meta Proyecto de Inversión]],1,4)</f>
        <v>8173</v>
      </c>
      <c r="T291" s="162" t="str">
        <f>MID(PAA[[#This Row],[Meta Proyecto de Inversión]],6,1)</f>
        <v>2</v>
      </c>
      <c r="U291" s="163" t="str">
        <f>IFERROR(VLOOKUP(N291,TD!$B$50:$F$54,2,0)," ")</f>
        <v>O230117</v>
      </c>
      <c r="V291" s="163" t="str">
        <f>IFERROR(VLOOKUP(N291,TD!$B$50:$F$54,3,0)," ")</f>
        <v>4503</v>
      </c>
      <c r="W291" s="163">
        <f>IFERROR(VLOOKUP(N291,TD!$B$50:$F$54,4,0)," ")</f>
        <v>20240255</v>
      </c>
      <c r="X291" s="162" t="s">
        <v>164</v>
      </c>
      <c r="Y291" s="163" t="str">
        <f>IFERROR(VLOOKUP(X291,TD!$J$51:$K$64,2,0)," ")</f>
        <v>Servicio de atención a incidentes y emergencias.</v>
      </c>
      <c r="Z291" s="164" t="str">
        <f>CONCATENATE(X291,"-",Y291)</f>
        <v>04-Servicio de atención a incidentes y emergencias.</v>
      </c>
      <c r="AA291" s="162" t="s">
        <v>221</v>
      </c>
      <c r="AB291" s="163" t="str">
        <f>IFERROR(VLOOKUP(AA291,TD!$N$51:$O$66,2,0)," ")</f>
        <v>Servicio de atención a emergencias y desastres</v>
      </c>
      <c r="AC291" s="164" t="str">
        <f>CONCATENATE(AA291,"_",AB291)</f>
        <v>004_Servicio de atención a emergencias y desastres</v>
      </c>
      <c r="AD291" s="164" t="str">
        <f>CONCATENATE(Z291," ",AC291)</f>
        <v>04-Servicio de atención a incidentes y emergencias. 004_Servicio de atención a emergencias y desastres</v>
      </c>
      <c r="AE291" s="163" t="str">
        <f>CONCATENATE(U291,V291,W291,X291,AA291)</f>
        <v>O23011745032024025504004</v>
      </c>
      <c r="AF291" s="163" t="str">
        <f>IFERROR(VLOOKUP(AD291,TD!$J$66:$K$89,2,0)," ")</f>
        <v>PM/0131/0104/45030040255</v>
      </c>
      <c r="AG291" s="118" t="s">
        <v>385</v>
      </c>
      <c r="AH291" s="162" t="s">
        <v>193</v>
      </c>
      <c r="AI291" s="165" t="str">
        <f>CONCATENATE(PAA[[#This Row],[Id Interno]],"-",PAA[[#This Row],[tipo de Contrato (TH talento humano - B/S bienes y/o servicios)]],"-",S291,"-",T291,"-",PAA[[#This Row],[Objeto de la contratación]])</f>
        <v>20260270-TH-8173-2-Prestación de servicios para realizar la gestión administrativa requerida en la estación de bomberos asignada, para el desarrollo de los programas a cargo de la Subdirección Operativa-S.O.</v>
      </c>
    </row>
    <row r="292" spans="2:35" ht="56" x14ac:dyDescent="0.35">
      <c r="B292" s="23">
        <v>20260271</v>
      </c>
      <c r="C292" s="99" t="s">
        <v>863</v>
      </c>
      <c r="D292" s="99" t="s">
        <v>105</v>
      </c>
      <c r="E292" s="99" t="s">
        <v>363</v>
      </c>
      <c r="F292" s="160" t="s">
        <v>145</v>
      </c>
      <c r="G292" s="160" t="s">
        <v>373</v>
      </c>
      <c r="H292" s="167">
        <v>9</v>
      </c>
      <c r="I292" s="167">
        <v>0</v>
      </c>
      <c r="J292" s="118">
        <v>26910000</v>
      </c>
      <c r="K292" s="126" t="s">
        <v>398</v>
      </c>
      <c r="L292" s="160" t="s">
        <v>158</v>
      </c>
      <c r="M292" s="166" t="s">
        <v>421</v>
      </c>
      <c r="N292" s="99" t="s">
        <v>198</v>
      </c>
      <c r="O292" s="151" t="s">
        <v>946</v>
      </c>
      <c r="P292" s="160" t="s">
        <v>348</v>
      </c>
      <c r="Q292" s="128">
        <v>80111600</v>
      </c>
      <c r="R292" s="166" t="s">
        <v>211</v>
      </c>
      <c r="S292" s="162" t="str">
        <f>MID(PAA[[#This Row],[Meta Proyecto de Inversión]],1,4)</f>
        <v>8173</v>
      </c>
      <c r="T292" s="162" t="str">
        <f>MID(PAA[[#This Row],[Meta Proyecto de Inversión]],6,1)</f>
        <v>2</v>
      </c>
      <c r="U292" s="163" t="str">
        <f>IFERROR(VLOOKUP(N292,TD!$B$50:$F$54,2,0)," ")</f>
        <v>O230117</v>
      </c>
      <c r="V292" s="163" t="str">
        <f>IFERROR(VLOOKUP(N292,TD!$B$50:$F$54,3,0)," ")</f>
        <v>4503</v>
      </c>
      <c r="W292" s="163">
        <f>IFERROR(VLOOKUP(N292,TD!$B$50:$F$54,4,0)," ")</f>
        <v>20240255</v>
      </c>
      <c r="X292" s="162" t="s">
        <v>164</v>
      </c>
      <c r="Y292" s="163" t="str">
        <f>IFERROR(VLOOKUP(X292,TD!$J$51:$K$64,2,0)," ")</f>
        <v>Servicio de atención a incidentes y emergencias.</v>
      </c>
      <c r="Z292" s="164" t="str">
        <f>CONCATENATE(X292,"-",Y292)</f>
        <v>04-Servicio de atención a incidentes y emergencias.</v>
      </c>
      <c r="AA292" s="162" t="s">
        <v>221</v>
      </c>
      <c r="AB292" s="163" t="str">
        <f>IFERROR(VLOOKUP(AA292,TD!$N$51:$O$66,2,0)," ")</f>
        <v>Servicio de atención a emergencias y desastres</v>
      </c>
      <c r="AC292" s="164" t="str">
        <f>CONCATENATE(AA292,"_",AB292)</f>
        <v>004_Servicio de atención a emergencias y desastres</v>
      </c>
      <c r="AD292" s="164" t="str">
        <f>CONCATENATE(Z292," ",AC292)</f>
        <v>04-Servicio de atención a incidentes y emergencias. 004_Servicio de atención a emergencias y desastres</v>
      </c>
      <c r="AE292" s="163" t="str">
        <f>CONCATENATE(U292,V292,W292,X292,AA292)</f>
        <v>O23011745032024025504004</v>
      </c>
      <c r="AF292" s="163" t="str">
        <f>IFERROR(VLOOKUP(AD292,TD!$J$66:$K$89,2,0)," ")</f>
        <v>PM/0131/0104/45030040255</v>
      </c>
      <c r="AG292" s="118" t="s">
        <v>385</v>
      </c>
      <c r="AH292" s="162" t="s">
        <v>193</v>
      </c>
      <c r="AI292" s="165" t="str">
        <f>CONCATENATE(PAA[[#This Row],[Id Interno]],"-",PAA[[#This Row],[tipo de Contrato (TH talento humano - B/S bienes y/o servicios)]],"-",S292,"-",T292,"-",PAA[[#This Row],[Objeto de la contratación]])</f>
        <v>20260271-TH-8173-2-Prestación de servicios para realizar la gestión administrativa requerida en la estación de bomberos asignada, para el desarrollo de los programas a cargo de la Subdirección Operativa-S.O.</v>
      </c>
    </row>
    <row r="293" spans="2:35" ht="70" x14ac:dyDescent="0.35">
      <c r="B293" s="23">
        <v>20260272</v>
      </c>
      <c r="C293" s="99" t="s">
        <v>863</v>
      </c>
      <c r="D293" s="99" t="s">
        <v>105</v>
      </c>
      <c r="E293" s="99" t="s">
        <v>363</v>
      </c>
      <c r="F293" s="160" t="s">
        <v>145</v>
      </c>
      <c r="G293" s="160" t="s">
        <v>373</v>
      </c>
      <c r="H293" s="167">
        <v>9</v>
      </c>
      <c r="I293" s="167">
        <v>0</v>
      </c>
      <c r="J293" s="118">
        <v>26910000</v>
      </c>
      <c r="K293" s="126" t="s">
        <v>398</v>
      </c>
      <c r="L293" s="160" t="s">
        <v>158</v>
      </c>
      <c r="M293" s="166" t="s">
        <v>421</v>
      </c>
      <c r="N293" s="99" t="s">
        <v>198</v>
      </c>
      <c r="O293" s="151" t="s">
        <v>946</v>
      </c>
      <c r="P293" s="160" t="s">
        <v>348</v>
      </c>
      <c r="Q293" s="128">
        <v>80111600</v>
      </c>
      <c r="R293" s="166" t="s">
        <v>211</v>
      </c>
      <c r="S293" s="162" t="str">
        <f>MID(PAA[[#This Row],[Meta Proyecto de Inversión]],1,4)</f>
        <v>8173</v>
      </c>
      <c r="T293" s="162" t="str">
        <f>MID(PAA[[#This Row],[Meta Proyecto de Inversión]],6,1)</f>
        <v>2</v>
      </c>
      <c r="U293" s="163" t="str">
        <f>IFERROR(VLOOKUP(N293,TD!$B$50:$F$54,2,0)," ")</f>
        <v>O230117</v>
      </c>
      <c r="V293" s="163" t="str">
        <f>IFERROR(VLOOKUP(N293,TD!$B$50:$F$54,3,0)," ")</f>
        <v>4503</v>
      </c>
      <c r="W293" s="163">
        <f>IFERROR(VLOOKUP(N293,TD!$B$50:$F$54,4,0)," ")</f>
        <v>20240255</v>
      </c>
      <c r="X293" s="162" t="s">
        <v>164</v>
      </c>
      <c r="Y293" s="163" t="str">
        <f>IFERROR(VLOOKUP(X293,TD!$J$51:$K$64,2,0)," ")</f>
        <v>Servicio de atención a incidentes y emergencias.</v>
      </c>
      <c r="Z293" s="164" t="str">
        <f>CONCATENATE(X293,"-",Y293)</f>
        <v>04-Servicio de atención a incidentes y emergencias.</v>
      </c>
      <c r="AA293" s="162" t="s">
        <v>221</v>
      </c>
      <c r="AB293" s="163" t="str">
        <f>IFERROR(VLOOKUP(AA293,TD!$N$51:$O$66,2,0)," ")</f>
        <v>Servicio de atención a emergencias y desastres</v>
      </c>
      <c r="AC293" s="164" t="str">
        <f>CONCATENATE(AA293,"_",AB293)</f>
        <v>004_Servicio de atención a emergencias y desastres</v>
      </c>
      <c r="AD293" s="164" t="str">
        <f>CONCATENATE(Z293," ",AC293)</f>
        <v>04-Servicio de atención a incidentes y emergencias. 004_Servicio de atención a emergencias y desastres</v>
      </c>
      <c r="AE293" s="163" t="str">
        <f>CONCATENATE(U293,V293,W293,X293,AA293)</f>
        <v>O23011745032024025504004</v>
      </c>
      <c r="AF293" s="163" t="str">
        <f>IFERROR(VLOOKUP(AD293,TD!$J$66:$K$89,2,0)," ")</f>
        <v>PM/0131/0104/45030040255</v>
      </c>
      <c r="AG293" s="118" t="s">
        <v>385</v>
      </c>
      <c r="AH293" s="162" t="s">
        <v>193</v>
      </c>
      <c r="AI293" s="165" t="str">
        <f>CONCATENATE(PAA[[#This Row],[Id Interno]],"-",PAA[[#This Row],[tipo de Contrato (TH talento humano - B/S bienes y/o servicios)]],"-",S293,"-",T293,"-",PAA[[#This Row],[Objeto de la contratación]])</f>
        <v>20260272-TH-8173-2-Prestación de servicios para realizar la gestión administrativa requerida en la estación de bomberos asignada, para el desarrollo de los programas a cargo de la Subdirección Operativa-S.O.</v>
      </c>
    </row>
    <row r="294" spans="2:35" ht="56" x14ac:dyDescent="0.35">
      <c r="B294" s="23">
        <v>20260273</v>
      </c>
      <c r="C294" s="99" t="s">
        <v>863</v>
      </c>
      <c r="D294" s="99" t="s">
        <v>105</v>
      </c>
      <c r="E294" s="99" t="s">
        <v>363</v>
      </c>
      <c r="F294" s="160" t="s">
        <v>145</v>
      </c>
      <c r="G294" s="160" t="s">
        <v>373</v>
      </c>
      <c r="H294" s="167">
        <v>9</v>
      </c>
      <c r="I294" s="167">
        <v>0</v>
      </c>
      <c r="J294" s="118">
        <v>26910000</v>
      </c>
      <c r="K294" s="126" t="s">
        <v>398</v>
      </c>
      <c r="L294" s="160" t="s">
        <v>158</v>
      </c>
      <c r="M294" s="166" t="s">
        <v>421</v>
      </c>
      <c r="N294" s="99" t="s">
        <v>198</v>
      </c>
      <c r="O294" s="151" t="s">
        <v>946</v>
      </c>
      <c r="P294" s="160" t="s">
        <v>348</v>
      </c>
      <c r="Q294" s="128">
        <v>80111600</v>
      </c>
      <c r="R294" s="166" t="s">
        <v>211</v>
      </c>
      <c r="S294" s="162" t="str">
        <f>MID(PAA[[#This Row],[Meta Proyecto de Inversión]],1,4)</f>
        <v>8173</v>
      </c>
      <c r="T294" s="162" t="str">
        <f>MID(PAA[[#This Row],[Meta Proyecto de Inversión]],6,1)</f>
        <v>2</v>
      </c>
      <c r="U294" s="163" t="str">
        <f>IFERROR(VLOOKUP(N294,TD!$B$50:$F$54,2,0)," ")</f>
        <v>O230117</v>
      </c>
      <c r="V294" s="163" t="str">
        <f>IFERROR(VLOOKUP(N294,TD!$B$50:$F$54,3,0)," ")</f>
        <v>4503</v>
      </c>
      <c r="W294" s="163">
        <f>IFERROR(VLOOKUP(N294,TD!$B$50:$F$54,4,0)," ")</f>
        <v>20240255</v>
      </c>
      <c r="X294" s="162" t="s">
        <v>164</v>
      </c>
      <c r="Y294" s="163" t="str">
        <f>IFERROR(VLOOKUP(X294,TD!$J$51:$K$64,2,0)," ")</f>
        <v>Servicio de atención a incidentes y emergencias.</v>
      </c>
      <c r="Z294" s="164" t="str">
        <f>CONCATENATE(X294,"-",Y294)</f>
        <v>04-Servicio de atención a incidentes y emergencias.</v>
      </c>
      <c r="AA294" s="162" t="s">
        <v>221</v>
      </c>
      <c r="AB294" s="163" t="str">
        <f>IFERROR(VLOOKUP(AA294,TD!$N$51:$O$66,2,0)," ")</f>
        <v>Servicio de atención a emergencias y desastres</v>
      </c>
      <c r="AC294" s="164" t="str">
        <f>CONCATENATE(AA294,"_",AB294)</f>
        <v>004_Servicio de atención a emergencias y desastres</v>
      </c>
      <c r="AD294" s="164" t="str">
        <f>CONCATENATE(Z294," ",AC294)</f>
        <v>04-Servicio de atención a incidentes y emergencias. 004_Servicio de atención a emergencias y desastres</v>
      </c>
      <c r="AE294" s="163" t="str">
        <f>CONCATENATE(U294,V294,W294,X294,AA294)</f>
        <v>O23011745032024025504004</v>
      </c>
      <c r="AF294" s="163" t="str">
        <f>IFERROR(VLOOKUP(AD294,TD!$J$66:$K$89,2,0)," ")</f>
        <v>PM/0131/0104/45030040255</v>
      </c>
      <c r="AG294" s="118" t="s">
        <v>385</v>
      </c>
      <c r="AH294" s="162" t="s">
        <v>193</v>
      </c>
      <c r="AI294" s="165" t="str">
        <f>CONCATENATE(PAA[[#This Row],[Id Interno]],"-",PAA[[#This Row],[tipo de Contrato (TH talento humano - B/S bienes y/o servicios)]],"-",S294,"-",T294,"-",PAA[[#This Row],[Objeto de la contratación]])</f>
        <v>20260273-TH-8173-2-Prestación de servicios para realizar la gestión administrativa requerida en la estación de bomberos asignada, para el desarrollo de los programas a cargo de la Subdirección Operativa-S.O.</v>
      </c>
    </row>
    <row r="295" spans="2:35" ht="70" x14ac:dyDescent="0.35">
      <c r="B295" s="23">
        <v>20260274</v>
      </c>
      <c r="C295" s="99" t="s">
        <v>863</v>
      </c>
      <c r="D295" s="99" t="s">
        <v>105</v>
      </c>
      <c r="E295" s="99" t="s">
        <v>363</v>
      </c>
      <c r="F295" s="160" t="s">
        <v>145</v>
      </c>
      <c r="G295" s="160" t="s">
        <v>373</v>
      </c>
      <c r="H295" s="167">
        <v>9</v>
      </c>
      <c r="I295" s="167">
        <v>0</v>
      </c>
      <c r="J295" s="118">
        <v>26910000</v>
      </c>
      <c r="K295" s="126" t="s">
        <v>398</v>
      </c>
      <c r="L295" s="160" t="s">
        <v>158</v>
      </c>
      <c r="M295" s="166" t="s">
        <v>421</v>
      </c>
      <c r="N295" s="99" t="s">
        <v>198</v>
      </c>
      <c r="O295" s="151" t="s">
        <v>946</v>
      </c>
      <c r="P295" s="160" t="s">
        <v>348</v>
      </c>
      <c r="Q295" s="128">
        <v>80111600</v>
      </c>
      <c r="R295" s="166" t="s">
        <v>211</v>
      </c>
      <c r="S295" s="162" t="str">
        <f>MID(PAA[[#This Row],[Meta Proyecto de Inversión]],1,4)</f>
        <v>8173</v>
      </c>
      <c r="T295" s="162" t="str">
        <f>MID(PAA[[#This Row],[Meta Proyecto de Inversión]],6,1)</f>
        <v>2</v>
      </c>
      <c r="U295" s="163" t="str">
        <f>IFERROR(VLOOKUP(N295,TD!$B$50:$F$54,2,0)," ")</f>
        <v>O230117</v>
      </c>
      <c r="V295" s="163" t="str">
        <f>IFERROR(VLOOKUP(N295,TD!$B$50:$F$54,3,0)," ")</f>
        <v>4503</v>
      </c>
      <c r="W295" s="163">
        <f>IFERROR(VLOOKUP(N295,TD!$B$50:$F$54,4,0)," ")</f>
        <v>20240255</v>
      </c>
      <c r="X295" s="162" t="s">
        <v>164</v>
      </c>
      <c r="Y295" s="163" t="str">
        <f>IFERROR(VLOOKUP(X295,TD!$J$51:$K$64,2,0)," ")</f>
        <v>Servicio de atención a incidentes y emergencias.</v>
      </c>
      <c r="Z295" s="164" t="str">
        <f>CONCATENATE(X295,"-",Y295)</f>
        <v>04-Servicio de atención a incidentes y emergencias.</v>
      </c>
      <c r="AA295" s="162" t="s">
        <v>221</v>
      </c>
      <c r="AB295" s="163" t="str">
        <f>IFERROR(VLOOKUP(AA295,TD!$N$51:$O$66,2,0)," ")</f>
        <v>Servicio de atención a emergencias y desastres</v>
      </c>
      <c r="AC295" s="164" t="str">
        <f>CONCATENATE(AA295,"_",AB295)</f>
        <v>004_Servicio de atención a emergencias y desastres</v>
      </c>
      <c r="AD295" s="164" t="str">
        <f>CONCATENATE(Z295," ",AC295)</f>
        <v>04-Servicio de atención a incidentes y emergencias. 004_Servicio de atención a emergencias y desastres</v>
      </c>
      <c r="AE295" s="163" t="str">
        <f>CONCATENATE(U295,V295,W295,X295,AA295)</f>
        <v>O23011745032024025504004</v>
      </c>
      <c r="AF295" s="163" t="str">
        <f>IFERROR(VLOOKUP(AD295,TD!$J$66:$K$89,2,0)," ")</f>
        <v>PM/0131/0104/45030040255</v>
      </c>
      <c r="AG295" s="118" t="s">
        <v>385</v>
      </c>
      <c r="AH295" s="162" t="s">
        <v>193</v>
      </c>
      <c r="AI295" s="165" t="str">
        <f>CONCATENATE(PAA[[#This Row],[Id Interno]],"-",PAA[[#This Row],[tipo de Contrato (TH talento humano - B/S bienes y/o servicios)]],"-",S295,"-",T295,"-",PAA[[#This Row],[Objeto de la contratación]])</f>
        <v>20260274-TH-8173-2-Prestación de servicios para realizar la gestión administrativa requerida en la estación de bomberos asignada, para el desarrollo de los programas a cargo de la Subdirección Operativa-S.O.</v>
      </c>
    </row>
    <row r="296" spans="2:35" ht="70" x14ac:dyDescent="0.35">
      <c r="B296" s="23">
        <v>20260275</v>
      </c>
      <c r="C296" s="99" t="s">
        <v>863</v>
      </c>
      <c r="D296" s="99" t="s">
        <v>105</v>
      </c>
      <c r="E296" s="99" t="s">
        <v>363</v>
      </c>
      <c r="F296" s="160" t="s">
        <v>145</v>
      </c>
      <c r="G296" s="160" t="s">
        <v>373</v>
      </c>
      <c r="H296" s="167">
        <v>9</v>
      </c>
      <c r="I296" s="167">
        <v>0</v>
      </c>
      <c r="J296" s="118">
        <v>26910000</v>
      </c>
      <c r="K296" s="126" t="s">
        <v>398</v>
      </c>
      <c r="L296" s="160" t="s">
        <v>158</v>
      </c>
      <c r="M296" s="166" t="s">
        <v>421</v>
      </c>
      <c r="N296" s="99" t="s">
        <v>198</v>
      </c>
      <c r="O296" s="151" t="s">
        <v>946</v>
      </c>
      <c r="P296" s="160" t="s">
        <v>348</v>
      </c>
      <c r="Q296" s="128">
        <v>80111600</v>
      </c>
      <c r="R296" s="166" t="s">
        <v>211</v>
      </c>
      <c r="S296" s="162" t="str">
        <f>MID(PAA[[#This Row],[Meta Proyecto de Inversión]],1,4)</f>
        <v>8173</v>
      </c>
      <c r="T296" s="162" t="str">
        <f>MID(PAA[[#This Row],[Meta Proyecto de Inversión]],6,1)</f>
        <v>2</v>
      </c>
      <c r="U296" s="163" t="str">
        <f>IFERROR(VLOOKUP(N296,TD!$B$50:$F$54,2,0)," ")</f>
        <v>O230117</v>
      </c>
      <c r="V296" s="163" t="str">
        <f>IFERROR(VLOOKUP(N296,TD!$B$50:$F$54,3,0)," ")</f>
        <v>4503</v>
      </c>
      <c r="W296" s="163">
        <f>IFERROR(VLOOKUP(N296,TD!$B$50:$F$54,4,0)," ")</f>
        <v>20240255</v>
      </c>
      <c r="X296" s="162" t="s">
        <v>164</v>
      </c>
      <c r="Y296" s="163" t="str">
        <f>IFERROR(VLOOKUP(X296,TD!$J$51:$K$64,2,0)," ")</f>
        <v>Servicio de atención a incidentes y emergencias.</v>
      </c>
      <c r="Z296" s="164" t="str">
        <f>CONCATENATE(X296,"-",Y296)</f>
        <v>04-Servicio de atención a incidentes y emergencias.</v>
      </c>
      <c r="AA296" s="162" t="s">
        <v>221</v>
      </c>
      <c r="AB296" s="163" t="str">
        <f>IFERROR(VLOOKUP(AA296,TD!$N$51:$O$66,2,0)," ")</f>
        <v>Servicio de atención a emergencias y desastres</v>
      </c>
      <c r="AC296" s="164" t="str">
        <f>CONCATENATE(AA296,"_",AB296)</f>
        <v>004_Servicio de atención a emergencias y desastres</v>
      </c>
      <c r="AD296" s="164" t="str">
        <f>CONCATENATE(Z296," ",AC296)</f>
        <v>04-Servicio de atención a incidentes y emergencias. 004_Servicio de atención a emergencias y desastres</v>
      </c>
      <c r="AE296" s="163" t="str">
        <f>CONCATENATE(U296,V296,W296,X296,AA296)</f>
        <v>O23011745032024025504004</v>
      </c>
      <c r="AF296" s="163" t="str">
        <f>IFERROR(VLOOKUP(AD296,TD!$J$66:$K$89,2,0)," ")</f>
        <v>PM/0131/0104/45030040255</v>
      </c>
      <c r="AG296" s="118" t="s">
        <v>385</v>
      </c>
      <c r="AH296" s="162" t="s">
        <v>193</v>
      </c>
      <c r="AI296" s="165" t="str">
        <f>CONCATENATE(PAA[[#This Row],[Id Interno]],"-",PAA[[#This Row],[tipo de Contrato (TH talento humano - B/S bienes y/o servicios)]],"-",S296,"-",T296,"-",PAA[[#This Row],[Objeto de la contratación]])</f>
        <v>20260275-TH-8173-2-Prestación de servicios para realizar la gestión administrativa requerida en la estación de bomberos asignada, para el desarrollo de los programas a cargo de la Subdirección Operativa-S.O.</v>
      </c>
    </row>
    <row r="297" spans="2:35" ht="56" x14ac:dyDescent="0.35">
      <c r="B297" s="23">
        <v>20260276</v>
      </c>
      <c r="C297" s="99" t="s">
        <v>863</v>
      </c>
      <c r="D297" s="99" t="s">
        <v>105</v>
      </c>
      <c r="E297" s="99" t="s">
        <v>363</v>
      </c>
      <c r="F297" s="160" t="s">
        <v>145</v>
      </c>
      <c r="G297" s="160" t="s">
        <v>373</v>
      </c>
      <c r="H297" s="167">
        <v>9</v>
      </c>
      <c r="I297" s="167">
        <v>0</v>
      </c>
      <c r="J297" s="118">
        <v>26910000</v>
      </c>
      <c r="K297" s="126" t="s">
        <v>398</v>
      </c>
      <c r="L297" s="160" t="s">
        <v>158</v>
      </c>
      <c r="M297" s="166" t="s">
        <v>421</v>
      </c>
      <c r="N297" s="99" t="s">
        <v>198</v>
      </c>
      <c r="O297" s="151" t="s">
        <v>946</v>
      </c>
      <c r="P297" s="160" t="s">
        <v>348</v>
      </c>
      <c r="Q297" s="128">
        <v>80111600</v>
      </c>
      <c r="R297" s="166" t="s">
        <v>211</v>
      </c>
      <c r="S297" s="162" t="str">
        <f>MID(PAA[[#This Row],[Meta Proyecto de Inversión]],1,4)</f>
        <v>8173</v>
      </c>
      <c r="T297" s="162" t="str">
        <f>MID(PAA[[#This Row],[Meta Proyecto de Inversión]],6,1)</f>
        <v>2</v>
      </c>
      <c r="U297" s="163" t="str">
        <f>IFERROR(VLOOKUP(N297,TD!$B$50:$F$54,2,0)," ")</f>
        <v>O230117</v>
      </c>
      <c r="V297" s="163" t="str">
        <f>IFERROR(VLOOKUP(N297,TD!$B$50:$F$54,3,0)," ")</f>
        <v>4503</v>
      </c>
      <c r="W297" s="163">
        <f>IFERROR(VLOOKUP(N297,TD!$B$50:$F$54,4,0)," ")</f>
        <v>20240255</v>
      </c>
      <c r="X297" s="162" t="s">
        <v>164</v>
      </c>
      <c r="Y297" s="163" t="str">
        <f>IFERROR(VLOOKUP(X297,TD!$J$51:$K$64,2,0)," ")</f>
        <v>Servicio de atención a incidentes y emergencias.</v>
      </c>
      <c r="Z297" s="164" t="str">
        <f>CONCATENATE(X297,"-",Y297)</f>
        <v>04-Servicio de atención a incidentes y emergencias.</v>
      </c>
      <c r="AA297" s="162" t="s">
        <v>221</v>
      </c>
      <c r="AB297" s="163" t="str">
        <f>IFERROR(VLOOKUP(AA297,TD!$N$51:$O$66,2,0)," ")</f>
        <v>Servicio de atención a emergencias y desastres</v>
      </c>
      <c r="AC297" s="164" t="str">
        <f>CONCATENATE(AA297,"_",AB297)</f>
        <v>004_Servicio de atención a emergencias y desastres</v>
      </c>
      <c r="AD297" s="164" t="str">
        <f>CONCATENATE(Z297," ",AC297)</f>
        <v>04-Servicio de atención a incidentes y emergencias. 004_Servicio de atención a emergencias y desastres</v>
      </c>
      <c r="AE297" s="163" t="str">
        <f>CONCATENATE(U297,V297,W297,X297,AA297)</f>
        <v>O23011745032024025504004</v>
      </c>
      <c r="AF297" s="163" t="str">
        <f>IFERROR(VLOOKUP(AD297,TD!$J$66:$K$89,2,0)," ")</f>
        <v>PM/0131/0104/45030040255</v>
      </c>
      <c r="AG297" s="118" t="s">
        <v>385</v>
      </c>
      <c r="AH297" s="162" t="s">
        <v>193</v>
      </c>
      <c r="AI297" s="165" t="str">
        <f>CONCATENATE(PAA[[#This Row],[Id Interno]],"-",PAA[[#This Row],[tipo de Contrato (TH talento humano - B/S bienes y/o servicios)]],"-",S297,"-",T297,"-",PAA[[#This Row],[Objeto de la contratación]])</f>
        <v>20260276-TH-8173-2-Prestación de servicios para realizar la gestión administrativa requerida en la estación de bomberos asignada, para el desarrollo de los programas a cargo de la Subdirección Operativa-S.O.</v>
      </c>
    </row>
    <row r="298" spans="2:35" ht="84" x14ac:dyDescent="0.35">
      <c r="B298" s="23">
        <v>20260277</v>
      </c>
      <c r="C298" s="99" t="s">
        <v>863</v>
      </c>
      <c r="D298" s="99" t="s">
        <v>105</v>
      </c>
      <c r="E298" s="99" t="s">
        <v>363</v>
      </c>
      <c r="F298" s="160" t="s">
        <v>145</v>
      </c>
      <c r="G298" s="160" t="s">
        <v>373</v>
      </c>
      <c r="H298" s="167">
        <v>9</v>
      </c>
      <c r="I298" s="167">
        <v>0</v>
      </c>
      <c r="J298" s="118">
        <v>26910000</v>
      </c>
      <c r="K298" s="126" t="s">
        <v>398</v>
      </c>
      <c r="L298" s="160" t="s">
        <v>158</v>
      </c>
      <c r="M298" s="166" t="s">
        <v>421</v>
      </c>
      <c r="N298" s="99" t="s">
        <v>198</v>
      </c>
      <c r="O298" s="151" t="s">
        <v>946</v>
      </c>
      <c r="P298" s="160" t="s">
        <v>348</v>
      </c>
      <c r="Q298" s="128">
        <v>80111600</v>
      </c>
      <c r="R298" s="166" t="s">
        <v>211</v>
      </c>
      <c r="S298" s="162" t="str">
        <f>MID(PAA[[#This Row],[Meta Proyecto de Inversión]],1,4)</f>
        <v>8173</v>
      </c>
      <c r="T298" s="162" t="str">
        <f>MID(PAA[[#This Row],[Meta Proyecto de Inversión]],6,1)</f>
        <v>2</v>
      </c>
      <c r="U298" s="163" t="str">
        <f>IFERROR(VLOOKUP(N298,TD!$B$50:$F$54,2,0)," ")</f>
        <v>O230117</v>
      </c>
      <c r="V298" s="163" t="str">
        <f>IFERROR(VLOOKUP(N298,TD!$B$50:$F$54,3,0)," ")</f>
        <v>4503</v>
      </c>
      <c r="W298" s="163">
        <f>IFERROR(VLOOKUP(N298,TD!$B$50:$F$54,4,0)," ")</f>
        <v>20240255</v>
      </c>
      <c r="X298" s="162" t="s">
        <v>164</v>
      </c>
      <c r="Y298" s="163" t="str">
        <f>IFERROR(VLOOKUP(X298,TD!$J$51:$K$64,2,0)," ")</f>
        <v>Servicio de atención a incidentes y emergencias.</v>
      </c>
      <c r="Z298" s="164" t="str">
        <f>CONCATENATE(X298,"-",Y298)</f>
        <v>04-Servicio de atención a incidentes y emergencias.</v>
      </c>
      <c r="AA298" s="162" t="s">
        <v>221</v>
      </c>
      <c r="AB298" s="163" t="str">
        <f>IFERROR(VLOOKUP(AA298,TD!$N$51:$O$66,2,0)," ")</f>
        <v>Servicio de atención a emergencias y desastres</v>
      </c>
      <c r="AC298" s="164" t="str">
        <f>CONCATENATE(AA298,"_",AB298)</f>
        <v>004_Servicio de atención a emergencias y desastres</v>
      </c>
      <c r="AD298" s="164" t="str">
        <f>CONCATENATE(Z298," ",AC298)</f>
        <v>04-Servicio de atención a incidentes y emergencias. 004_Servicio de atención a emergencias y desastres</v>
      </c>
      <c r="AE298" s="163" t="str">
        <f>CONCATENATE(U298,V298,W298,X298,AA298)</f>
        <v>O23011745032024025504004</v>
      </c>
      <c r="AF298" s="163" t="str">
        <f>IFERROR(VLOOKUP(AD298,TD!$J$66:$K$89,2,0)," ")</f>
        <v>PM/0131/0104/45030040255</v>
      </c>
      <c r="AG298" s="118" t="s">
        <v>385</v>
      </c>
      <c r="AH298" s="162" t="s">
        <v>193</v>
      </c>
      <c r="AI298" s="165" t="str">
        <f>CONCATENATE(PAA[[#This Row],[Id Interno]],"-",PAA[[#This Row],[tipo de Contrato (TH talento humano - B/S bienes y/o servicios)]],"-",S298,"-",T298,"-",PAA[[#This Row],[Objeto de la contratación]])</f>
        <v>20260277-TH-8173-2-Prestación de servicios para realizar la gestión administrativa requerida en la estación de bomberos asignada, para el desarrollo de los programas a cargo de la Subdirección Operativa-S.O.</v>
      </c>
    </row>
    <row r="299" spans="2:35" ht="84" x14ac:dyDescent="0.35">
      <c r="B299" s="23">
        <v>20260278</v>
      </c>
      <c r="C299" s="99" t="s">
        <v>863</v>
      </c>
      <c r="D299" s="99" t="s">
        <v>105</v>
      </c>
      <c r="E299" s="99" t="s">
        <v>363</v>
      </c>
      <c r="F299" s="160" t="s">
        <v>145</v>
      </c>
      <c r="G299" s="160" t="s">
        <v>373</v>
      </c>
      <c r="H299" s="167">
        <v>9</v>
      </c>
      <c r="I299" s="167">
        <v>0</v>
      </c>
      <c r="J299" s="118">
        <v>26910000</v>
      </c>
      <c r="K299" s="126" t="s">
        <v>398</v>
      </c>
      <c r="L299" s="160" t="s">
        <v>158</v>
      </c>
      <c r="M299" s="166" t="s">
        <v>421</v>
      </c>
      <c r="N299" s="99" t="s">
        <v>198</v>
      </c>
      <c r="O299" s="151" t="s">
        <v>946</v>
      </c>
      <c r="P299" s="160" t="s">
        <v>348</v>
      </c>
      <c r="Q299" s="128">
        <v>80111600</v>
      </c>
      <c r="R299" s="166" t="s">
        <v>211</v>
      </c>
      <c r="S299" s="162" t="str">
        <f>MID(PAA[[#This Row],[Meta Proyecto de Inversión]],1,4)</f>
        <v>8173</v>
      </c>
      <c r="T299" s="162" t="str">
        <f>MID(PAA[[#This Row],[Meta Proyecto de Inversión]],6,1)</f>
        <v>2</v>
      </c>
      <c r="U299" s="163" t="str">
        <f>IFERROR(VLOOKUP(N299,TD!$B$50:$F$54,2,0)," ")</f>
        <v>O230117</v>
      </c>
      <c r="V299" s="163" t="str">
        <f>IFERROR(VLOOKUP(N299,TD!$B$50:$F$54,3,0)," ")</f>
        <v>4503</v>
      </c>
      <c r="W299" s="163">
        <f>IFERROR(VLOOKUP(N299,TD!$B$50:$F$54,4,0)," ")</f>
        <v>20240255</v>
      </c>
      <c r="X299" s="162" t="s">
        <v>164</v>
      </c>
      <c r="Y299" s="163" t="str">
        <f>IFERROR(VLOOKUP(X299,TD!$J$51:$K$64,2,0)," ")</f>
        <v>Servicio de atención a incidentes y emergencias.</v>
      </c>
      <c r="Z299" s="164" t="str">
        <f>CONCATENATE(X299,"-",Y299)</f>
        <v>04-Servicio de atención a incidentes y emergencias.</v>
      </c>
      <c r="AA299" s="162" t="s">
        <v>221</v>
      </c>
      <c r="AB299" s="163" t="str">
        <f>IFERROR(VLOOKUP(AA299,TD!$N$51:$O$66,2,0)," ")</f>
        <v>Servicio de atención a emergencias y desastres</v>
      </c>
      <c r="AC299" s="164" t="str">
        <f>CONCATENATE(AA299,"_",AB299)</f>
        <v>004_Servicio de atención a emergencias y desastres</v>
      </c>
      <c r="AD299" s="164" t="str">
        <f>CONCATENATE(Z299," ",AC299)</f>
        <v>04-Servicio de atención a incidentes y emergencias. 004_Servicio de atención a emergencias y desastres</v>
      </c>
      <c r="AE299" s="163" t="str">
        <f>CONCATENATE(U299,V299,W299,X299,AA299)</f>
        <v>O23011745032024025504004</v>
      </c>
      <c r="AF299" s="163" t="str">
        <f>IFERROR(VLOOKUP(AD299,TD!$J$66:$K$89,2,0)," ")</f>
        <v>PM/0131/0104/45030040255</v>
      </c>
      <c r="AG299" s="118" t="s">
        <v>385</v>
      </c>
      <c r="AH299" s="162" t="s">
        <v>193</v>
      </c>
      <c r="AI299" s="165" t="str">
        <f>CONCATENATE(PAA[[#This Row],[Id Interno]],"-",PAA[[#This Row],[tipo de Contrato (TH talento humano - B/S bienes y/o servicios)]],"-",S299,"-",T299,"-",PAA[[#This Row],[Objeto de la contratación]])</f>
        <v>20260278-TH-8173-2-Prestación de servicios para realizar la gestión administrativa requerida en la estación de bomberos asignada, para el desarrollo de los programas a cargo de la Subdirección Operativa-S.O.</v>
      </c>
    </row>
    <row r="300" spans="2:35" ht="84" x14ac:dyDescent="0.35">
      <c r="B300" s="23">
        <v>20260279</v>
      </c>
      <c r="C300" s="99" t="s">
        <v>864</v>
      </c>
      <c r="D300" s="99" t="s">
        <v>105</v>
      </c>
      <c r="E300" s="99" t="s">
        <v>363</v>
      </c>
      <c r="F300" s="160" t="s">
        <v>145</v>
      </c>
      <c r="G300" s="160" t="s">
        <v>373</v>
      </c>
      <c r="H300" s="167">
        <v>9</v>
      </c>
      <c r="I300" s="167">
        <v>0</v>
      </c>
      <c r="J300" s="118">
        <v>29610000</v>
      </c>
      <c r="K300" s="126" t="s">
        <v>398</v>
      </c>
      <c r="L300" s="160" t="s">
        <v>158</v>
      </c>
      <c r="M300" s="166" t="s">
        <v>421</v>
      </c>
      <c r="N300" s="99" t="s">
        <v>198</v>
      </c>
      <c r="O300" s="151" t="s">
        <v>946</v>
      </c>
      <c r="P300" s="160" t="s">
        <v>348</v>
      </c>
      <c r="Q300" s="128">
        <v>80111600</v>
      </c>
      <c r="R300" s="166" t="s">
        <v>211</v>
      </c>
      <c r="S300" s="162" t="str">
        <f>MID(PAA[[#This Row],[Meta Proyecto de Inversión]],1,4)</f>
        <v>8173</v>
      </c>
      <c r="T300" s="162" t="str">
        <f>MID(PAA[[#This Row],[Meta Proyecto de Inversión]],6,1)</f>
        <v>2</v>
      </c>
      <c r="U300" s="163" t="str">
        <f>IFERROR(VLOOKUP(N300,TD!$B$50:$F$54,2,0)," ")</f>
        <v>O230117</v>
      </c>
      <c r="V300" s="163" t="str">
        <f>IFERROR(VLOOKUP(N300,TD!$B$50:$F$54,3,0)," ")</f>
        <v>4503</v>
      </c>
      <c r="W300" s="163">
        <f>IFERROR(VLOOKUP(N300,TD!$B$50:$F$54,4,0)," ")</f>
        <v>20240255</v>
      </c>
      <c r="X300" s="162" t="s">
        <v>164</v>
      </c>
      <c r="Y300" s="163" t="str">
        <f>IFERROR(VLOOKUP(X300,TD!$J$51:$K$64,2,0)," ")</f>
        <v>Servicio de atención a incidentes y emergencias.</v>
      </c>
      <c r="Z300" s="164" t="str">
        <f>CONCATENATE(X300,"-",Y300)</f>
        <v>04-Servicio de atención a incidentes y emergencias.</v>
      </c>
      <c r="AA300" s="162" t="s">
        <v>221</v>
      </c>
      <c r="AB300" s="163" t="str">
        <f>IFERROR(VLOOKUP(AA300,TD!$N$51:$O$66,2,0)," ")</f>
        <v>Servicio de atención a emergencias y desastres</v>
      </c>
      <c r="AC300" s="164" t="str">
        <f>CONCATENATE(AA300,"_",AB300)</f>
        <v>004_Servicio de atención a emergencias y desastres</v>
      </c>
      <c r="AD300" s="164" t="str">
        <f>CONCATENATE(Z300," ",AC300)</f>
        <v>04-Servicio de atención a incidentes y emergencias. 004_Servicio de atención a emergencias y desastres</v>
      </c>
      <c r="AE300" s="163" t="str">
        <f>CONCATENATE(U300,V300,W300,X300,AA300)</f>
        <v>O23011745032024025504004</v>
      </c>
      <c r="AF300" s="163" t="str">
        <f>IFERROR(VLOOKUP(AD300,TD!$J$66:$K$89,2,0)," ")</f>
        <v>PM/0131/0104/45030040255</v>
      </c>
      <c r="AG300" s="118" t="s">
        <v>385</v>
      </c>
      <c r="AH300" s="162" t="s">
        <v>193</v>
      </c>
      <c r="AI300" s="165" t="str">
        <f>CONCATENATE(PAA[[#This Row],[Id Interno]],"-",PAA[[#This Row],[tipo de Contrato (TH talento humano - B/S bienes y/o servicios)]],"-",S300,"-",T300,"-",PAA[[#This Row],[Objeto de la contratación]])</f>
        <v>20260279-TH-8173-2-Prestación de servicios para la gestión administrativa y documental realizando los reportes requeridos para el desarrollo de los programas a cargo de la Subdirección Operativa-S.O.</v>
      </c>
    </row>
    <row r="301" spans="2:35" ht="112" x14ac:dyDescent="0.35">
      <c r="B301" s="23">
        <v>20260280</v>
      </c>
      <c r="C301" s="99" t="s">
        <v>865</v>
      </c>
      <c r="D301" s="99" t="s">
        <v>105</v>
      </c>
      <c r="E301" s="99" t="s">
        <v>363</v>
      </c>
      <c r="F301" s="160" t="s">
        <v>144</v>
      </c>
      <c r="G301" s="160" t="s">
        <v>373</v>
      </c>
      <c r="H301" s="167">
        <v>9</v>
      </c>
      <c r="I301" s="167">
        <v>0</v>
      </c>
      <c r="J301" s="118">
        <v>45000000</v>
      </c>
      <c r="K301" s="126" t="s">
        <v>398</v>
      </c>
      <c r="L301" s="160" t="s">
        <v>158</v>
      </c>
      <c r="M301" s="166" t="s">
        <v>421</v>
      </c>
      <c r="N301" s="99" t="s">
        <v>198</v>
      </c>
      <c r="O301" s="151" t="s">
        <v>946</v>
      </c>
      <c r="P301" s="160" t="s">
        <v>348</v>
      </c>
      <c r="Q301" s="128">
        <v>80111600</v>
      </c>
      <c r="R301" s="166" t="s">
        <v>211</v>
      </c>
      <c r="S301" s="162" t="str">
        <f>MID(PAA[[#This Row],[Meta Proyecto de Inversión]],1,4)</f>
        <v>8173</v>
      </c>
      <c r="T301" s="162" t="str">
        <f>MID(PAA[[#This Row],[Meta Proyecto de Inversión]],6,1)</f>
        <v>2</v>
      </c>
      <c r="U301" s="163" t="str">
        <f>IFERROR(VLOOKUP(N301,TD!$B$50:$F$54,2,0)," ")</f>
        <v>O230117</v>
      </c>
      <c r="V301" s="163" t="str">
        <f>IFERROR(VLOOKUP(N301,TD!$B$50:$F$54,3,0)," ")</f>
        <v>4503</v>
      </c>
      <c r="W301" s="163">
        <f>IFERROR(VLOOKUP(N301,TD!$B$50:$F$54,4,0)," ")</f>
        <v>20240255</v>
      </c>
      <c r="X301" s="162" t="s">
        <v>164</v>
      </c>
      <c r="Y301" s="163" t="str">
        <f>IFERROR(VLOOKUP(X301,TD!$J$51:$K$64,2,0)," ")</f>
        <v>Servicio de atención a incidentes y emergencias.</v>
      </c>
      <c r="Z301" s="164" t="str">
        <f>CONCATENATE(X301,"-",Y301)</f>
        <v>04-Servicio de atención a incidentes y emergencias.</v>
      </c>
      <c r="AA301" s="162" t="s">
        <v>221</v>
      </c>
      <c r="AB301" s="163" t="str">
        <f>IFERROR(VLOOKUP(AA301,TD!$N$51:$O$66,2,0)," ")</f>
        <v>Servicio de atención a emergencias y desastres</v>
      </c>
      <c r="AC301" s="164" t="str">
        <f>CONCATENATE(AA301,"_",AB301)</f>
        <v>004_Servicio de atención a emergencias y desastres</v>
      </c>
      <c r="AD301" s="164" t="str">
        <f>CONCATENATE(Z301," ",AC301)</f>
        <v>04-Servicio de atención a incidentes y emergencias. 004_Servicio de atención a emergencias y desastres</v>
      </c>
      <c r="AE301" s="163" t="str">
        <f>CONCATENATE(U301,V301,W301,X301,AA301)</f>
        <v>O23011745032024025504004</v>
      </c>
      <c r="AF301" s="163" t="str">
        <f>IFERROR(VLOOKUP(AD301,TD!$J$66:$K$89,2,0)," ")</f>
        <v>PM/0131/0104/45030040255</v>
      </c>
      <c r="AG301" s="118" t="s">
        <v>385</v>
      </c>
      <c r="AH301" s="162" t="s">
        <v>193</v>
      </c>
      <c r="AI301" s="165" t="str">
        <f>CONCATENATE(PAA[[#This Row],[Id Interno]],"-",PAA[[#This Row],[tipo de Contrato (TH talento humano - B/S bienes y/o servicios)]],"-",S301,"-",T301,"-",PAA[[#This Row],[Objeto de la contratación]])</f>
        <v>20260280-TH-8173-2-Prestación de servicios profesionales para atender las actividades de bienestar de los caninos y los animales rescatados o recuperados que  atiende el grupo BRAE, para el desarrollo de los programas a cargo de la Subdirección Operativa-S.O.</v>
      </c>
    </row>
    <row r="302" spans="2:35" ht="126" x14ac:dyDescent="0.35">
      <c r="B302" s="23">
        <v>20260281</v>
      </c>
      <c r="C302" s="99" t="s">
        <v>865</v>
      </c>
      <c r="D302" s="99" t="s">
        <v>105</v>
      </c>
      <c r="E302" s="99" t="s">
        <v>363</v>
      </c>
      <c r="F302" s="160" t="s">
        <v>144</v>
      </c>
      <c r="G302" s="160" t="s">
        <v>373</v>
      </c>
      <c r="H302" s="167">
        <v>9</v>
      </c>
      <c r="I302" s="167">
        <v>0</v>
      </c>
      <c r="J302" s="118">
        <v>45000000</v>
      </c>
      <c r="K302" s="126" t="s">
        <v>398</v>
      </c>
      <c r="L302" s="160" t="s">
        <v>158</v>
      </c>
      <c r="M302" s="166" t="s">
        <v>421</v>
      </c>
      <c r="N302" s="99" t="s">
        <v>198</v>
      </c>
      <c r="O302" s="151" t="s">
        <v>946</v>
      </c>
      <c r="P302" s="160" t="s">
        <v>348</v>
      </c>
      <c r="Q302" s="128">
        <v>80111600</v>
      </c>
      <c r="R302" s="166" t="s">
        <v>211</v>
      </c>
      <c r="S302" s="162" t="str">
        <f>MID(PAA[[#This Row],[Meta Proyecto de Inversión]],1,4)</f>
        <v>8173</v>
      </c>
      <c r="T302" s="162" t="str">
        <f>MID(PAA[[#This Row],[Meta Proyecto de Inversión]],6,1)</f>
        <v>2</v>
      </c>
      <c r="U302" s="163" t="str">
        <f>IFERROR(VLOOKUP(N302,TD!$B$50:$F$54,2,0)," ")</f>
        <v>O230117</v>
      </c>
      <c r="V302" s="163" t="str">
        <f>IFERROR(VLOOKUP(N302,TD!$B$50:$F$54,3,0)," ")</f>
        <v>4503</v>
      </c>
      <c r="W302" s="163">
        <f>IFERROR(VLOOKUP(N302,TD!$B$50:$F$54,4,0)," ")</f>
        <v>20240255</v>
      </c>
      <c r="X302" s="162" t="s">
        <v>164</v>
      </c>
      <c r="Y302" s="163" t="str">
        <f>IFERROR(VLOOKUP(X302,TD!$J$51:$K$64,2,0)," ")</f>
        <v>Servicio de atención a incidentes y emergencias.</v>
      </c>
      <c r="Z302" s="164" t="str">
        <f>CONCATENATE(X302,"-",Y302)</f>
        <v>04-Servicio de atención a incidentes y emergencias.</v>
      </c>
      <c r="AA302" s="162" t="s">
        <v>221</v>
      </c>
      <c r="AB302" s="163" t="str">
        <f>IFERROR(VLOOKUP(AA302,TD!$N$51:$O$66,2,0)," ")</f>
        <v>Servicio de atención a emergencias y desastres</v>
      </c>
      <c r="AC302" s="164" t="str">
        <f>CONCATENATE(AA302,"_",AB302)</f>
        <v>004_Servicio de atención a emergencias y desastres</v>
      </c>
      <c r="AD302" s="164" t="str">
        <f>CONCATENATE(Z302," ",AC302)</f>
        <v>04-Servicio de atención a incidentes y emergencias. 004_Servicio de atención a emergencias y desastres</v>
      </c>
      <c r="AE302" s="163" t="str">
        <f>CONCATENATE(U302,V302,W302,X302,AA302)</f>
        <v>O23011745032024025504004</v>
      </c>
      <c r="AF302" s="163" t="str">
        <f>IFERROR(VLOOKUP(AD302,TD!$J$66:$K$89,2,0)," ")</f>
        <v>PM/0131/0104/45030040255</v>
      </c>
      <c r="AG302" s="118" t="s">
        <v>385</v>
      </c>
      <c r="AH302" s="162" t="s">
        <v>193</v>
      </c>
      <c r="AI302" s="165" t="str">
        <f>CONCATENATE(PAA[[#This Row],[Id Interno]],"-",PAA[[#This Row],[tipo de Contrato (TH talento humano - B/S bienes y/o servicios)]],"-",S302,"-",T302,"-",PAA[[#This Row],[Objeto de la contratación]])</f>
        <v>20260281-TH-8173-2-Prestación de servicios profesionales para atender las actividades de bienestar de los caninos y los animales rescatados o recuperados que  atiende el grupo BRAE, para el desarrollo de los programas a cargo de la Subdirección Operativa-S.O.</v>
      </c>
    </row>
    <row r="303" spans="2:35" ht="98" x14ac:dyDescent="0.35">
      <c r="B303" s="23">
        <v>20260282</v>
      </c>
      <c r="C303" s="99" t="s">
        <v>866</v>
      </c>
      <c r="D303" s="99" t="s">
        <v>105</v>
      </c>
      <c r="E303" s="99" t="s">
        <v>363</v>
      </c>
      <c r="F303" s="160" t="s">
        <v>145</v>
      </c>
      <c r="G303" s="160" t="s">
        <v>373</v>
      </c>
      <c r="H303" s="167">
        <v>9</v>
      </c>
      <c r="I303" s="167">
        <v>0</v>
      </c>
      <c r="J303" s="118">
        <v>33300000</v>
      </c>
      <c r="K303" s="126" t="s">
        <v>398</v>
      </c>
      <c r="L303" s="160" t="s">
        <v>158</v>
      </c>
      <c r="M303" s="166" t="s">
        <v>421</v>
      </c>
      <c r="N303" s="99" t="s">
        <v>198</v>
      </c>
      <c r="O303" s="151" t="s">
        <v>946</v>
      </c>
      <c r="P303" s="160" t="s">
        <v>348</v>
      </c>
      <c r="Q303" s="128">
        <v>80111600</v>
      </c>
      <c r="R303" s="166" t="s">
        <v>211</v>
      </c>
      <c r="S303" s="162" t="str">
        <f>MID(PAA[[#This Row],[Meta Proyecto de Inversión]],1,4)</f>
        <v>8173</v>
      </c>
      <c r="T303" s="162" t="str">
        <f>MID(PAA[[#This Row],[Meta Proyecto de Inversión]],6,1)</f>
        <v>2</v>
      </c>
      <c r="U303" s="163" t="str">
        <f>IFERROR(VLOOKUP(N303,TD!$B$50:$F$54,2,0)," ")</f>
        <v>O230117</v>
      </c>
      <c r="V303" s="163" t="str">
        <f>IFERROR(VLOOKUP(N303,TD!$B$50:$F$54,3,0)," ")</f>
        <v>4503</v>
      </c>
      <c r="W303" s="163">
        <f>IFERROR(VLOOKUP(N303,TD!$B$50:$F$54,4,0)," ")</f>
        <v>20240255</v>
      </c>
      <c r="X303" s="162" t="s">
        <v>164</v>
      </c>
      <c r="Y303" s="163" t="str">
        <f>IFERROR(VLOOKUP(X303,TD!$J$51:$K$64,2,0)," ")</f>
        <v>Servicio de atención a incidentes y emergencias.</v>
      </c>
      <c r="Z303" s="164" t="str">
        <f>CONCATENATE(X303,"-",Y303)</f>
        <v>04-Servicio de atención a incidentes y emergencias.</v>
      </c>
      <c r="AA303" s="162" t="s">
        <v>221</v>
      </c>
      <c r="AB303" s="163" t="str">
        <f>IFERROR(VLOOKUP(AA303,TD!$N$51:$O$66,2,0)," ")</f>
        <v>Servicio de atención a emergencias y desastres</v>
      </c>
      <c r="AC303" s="164" t="str">
        <f>CONCATENATE(AA303,"_",AB303)</f>
        <v>004_Servicio de atención a emergencias y desastres</v>
      </c>
      <c r="AD303" s="164" t="str">
        <f>CONCATENATE(Z303," ",AC303)</f>
        <v>04-Servicio de atención a incidentes y emergencias. 004_Servicio de atención a emergencias y desastres</v>
      </c>
      <c r="AE303" s="163" t="str">
        <f>CONCATENATE(U303,V303,W303,X303,AA303)</f>
        <v>O23011745032024025504004</v>
      </c>
      <c r="AF303" s="163" t="str">
        <f>IFERROR(VLOOKUP(AD303,TD!$J$66:$K$89,2,0)," ")</f>
        <v>PM/0131/0104/45030040255</v>
      </c>
      <c r="AG303" s="118" t="s">
        <v>385</v>
      </c>
      <c r="AH303" s="162" t="s">
        <v>193</v>
      </c>
      <c r="AI303" s="165" t="str">
        <f>CONCATENATE(PAA[[#This Row],[Id Interno]],"-",PAA[[#This Row],[tipo de Contrato (TH talento humano - B/S bienes y/o servicios)]],"-",S303,"-",T303,"-",PAA[[#This Row],[Objeto de la contratación]])</f>
        <v>20260282-TH-8173-2-Prestación de servicios de apoyo para desarrollar y mantener las condiciones básicas de bienestar de los caninos y  animales rescatados o recuperados que atiende el grupo BRAE, para la gestión de los programas a cargo de la Subdirección Operativa-S.O.</v>
      </c>
    </row>
    <row r="304" spans="2:35" ht="84" x14ac:dyDescent="0.35">
      <c r="B304" s="23">
        <v>20260283</v>
      </c>
      <c r="C304" s="99" t="s">
        <v>866</v>
      </c>
      <c r="D304" s="99" t="s">
        <v>105</v>
      </c>
      <c r="E304" s="99" t="s">
        <v>363</v>
      </c>
      <c r="F304" s="160" t="s">
        <v>145</v>
      </c>
      <c r="G304" s="160" t="s">
        <v>373</v>
      </c>
      <c r="H304" s="167">
        <v>9</v>
      </c>
      <c r="I304" s="167">
        <v>0</v>
      </c>
      <c r="J304" s="118">
        <v>33300000</v>
      </c>
      <c r="K304" s="126" t="s">
        <v>398</v>
      </c>
      <c r="L304" s="160" t="s">
        <v>158</v>
      </c>
      <c r="M304" s="166" t="s">
        <v>421</v>
      </c>
      <c r="N304" s="99" t="s">
        <v>198</v>
      </c>
      <c r="O304" s="151" t="s">
        <v>946</v>
      </c>
      <c r="P304" s="160" t="s">
        <v>348</v>
      </c>
      <c r="Q304" s="128">
        <v>80111600</v>
      </c>
      <c r="R304" s="166" t="s">
        <v>211</v>
      </c>
      <c r="S304" s="162" t="str">
        <f>MID(PAA[[#This Row],[Meta Proyecto de Inversión]],1,4)</f>
        <v>8173</v>
      </c>
      <c r="T304" s="162" t="str">
        <f>MID(PAA[[#This Row],[Meta Proyecto de Inversión]],6,1)</f>
        <v>2</v>
      </c>
      <c r="U304" s="163" t="str">
        <f>IFERROR(VLOOKUP(N304,TD!$B$50:$F$54,2,0)," ")</f>
        <v>O230117</v>
      </c>
      <c r="V304" s="163" t="str">
        <f>IFERROR(VLOOKUP(N304,TD!$B$50:$F$54,3,0)," ")</f>
        <v>4503</v>
      </c>
      <c r="W304" s="163">
        <f>IFERROR(VLOOKUP(N304,TD!$B$50:$F$54,4,0)," ")</f>
        <v>20240255</v>
      </c>
      <c r="X304" s="162" t="s">
        <v>164</v>
      </c>
      <c r="Y304" s="163" t="str">
        <f>IFERROR(VLOOKUP(X304,TD!$J$51:$K$64,2,0)," ")</f>
        <v>Servicio de atención a incidentes y emergencias.</v>
      </c>
      <c r="Z304" s="164" t="str">
        <f>CONCATENATE(X304,"-",Y304)</f>
        <v>04-Servicio de atención a incidentes y emergencias.</v>
      </c>
      <c r="AA304" s="162" t="s">
        <v>221</v>
      </c>
      <c r="AB304" s="163" t="str">
        <f>IFERROR(VLOOKUP(AA304,TD!$N$51:$O$66,2,0)," ")</f>
        <v>Servicio de atención a emergencias y desastres</v>
      </c>
      <c r="AC304" s="164" t="str">
        <f>CONCATENATE(AA304,"_",AB304)</f>
        <v>004_Servicio de atención a emergencias y desastres</v>
      </c>
      <c r="AD304" s="164" t="str">
        <f>CONCATENATE(Z304," ",AC304)</f>
        <v>04-Servicio de atención a incidentes y emergencias. 004_Servicio de atención a emergencias y desastres</v>
      </c>
      <c r="AE304" s="163" t="str">
        <f>CONCATENATE(U304,V304,W304,X304,AA304)</f>
        <v>O23011745032024025504004</v>
      </c>
      <c r="AF304" s="163" t="str">
        <f>IFERROR(VLOOKUP(AD304,TD!$J$66:$K$89,2,0)," ")</f>
        <v>PM/0131/0104/45030040255</v>
      </c>
      <c r="AG304" s="118" t="s">
        <v>385</v>
      </c>
      <c r="AH304" s="162" t="s">
        <v>193</v>
      </c>
      <c r="AI304" s="165" t="str">
        <f>CONCATENATE(PAA[[#This Row],[Id Interno]],"-",PAA[[#This Row],[tipo de Contrato (TH talento humano - B/S bienes y/o servicios)]],"-",S304,"-",T304,"-",PAA[[#This Row],[Objeto de la contratación]])</f>
        <v>20260283-TH-8173-2-Prestación de servicios de apoyo para desarrollar y mantener las condiciones básicas de bienestar de los caninos y  animales rescatados o recuperados que atiende el grupo BRAE, para la gestión de los programas a cargo de la Subdirección Operativa-S.O.</v>
      </c>
    </row>
    <row r="305" spans="2:35" ht="56" x14ac:dyDescent="0.35">
      <c r="B305" s="23">
        <v>20260284</v>
      </c>
      <c r="C305" s="99" t="s">
        <v>487</v>
      </c>
      <c r="D305" s="99" t="s">
        <v>105</v>
      </c>
      <c r="E305" s="99" t="s">
        <v>363</v>
      </c>
      <c r="F305" s="160" t="s">
        <v>145</v>
      </c>
      <c r="G305" s="160" t="s">
        <v>373</v>
      </c>
      <c r="H305" s="167">
        <v>3</v>
      </c>
      <c r="I305" s="167">
        <v>15</v>
      </c>
      <c r="J305" s="118">
        <v>15400000</v>
      </c>
      <c r="K305" s="126" t="s">
        <v>398</v>
      </c>
      <c r="L305" s="160" t="s">
        <v>158</v>
      </c>
      <c r="M305" s="166" t="s">
        <v>421</v>
      </c>
      <c r="N305" s="99" t="s">
        <v>198</v>
      </c>
      <c r="O305" s="151" t="s">
        <v>946</v>
      </c>
      <c r="P305" s="160" t="s">
        <v>348</v>
      </c>
      <c r="Q305" s="128">
        <v>80111600</v>
      </c>
      <c r="R305" s="166" t="s">
        <v>211</v>
      </c>
      <c r="S305" s="162" t="str">
        <f>MID(PAA[[#This Row],[Meta Proyecto de Inversión]],1,4)</f>
        <v>8173</v>
      </c>
      <c r="T305" s="162" t="str">
        <f>MID(PAA[[#This Row],[Meta Proyecto de Inversión]],6,1)</f>
        <v>2</v>
      </c>
      <c r="U305" s="163" t="str">
        <f>IFERROR(VLOOKUP(N305,TD!$B$50:$F$54,2,0)," ")</f>
        <v>O230117</v>
      </c>
      <c r="V305" s="163" t="str">
        <f>IFERROR(VLOOKUP(N305,TD!$B$50:$F$54,3,0)," ")</f>
        <v>4503</v>
      </c>
      <c r="W305" s="163">
        <f>IFERROR(VLOOKUP(N305,TD!$B$50:$F$54,4,0)," ")</f>
        <v>20240255</v>
      </c>
      <c r="X305" s="162" t="s">
        <v>164</v>
      </c>
      <c r="Y305" s="163" t="str">
        <f>IFERROR(VLOOKUP(X305,TD!$J$51:$K$64,2,0)," ")</f>
        <v>Servicio de atención a incidentes y emergencias.</v>
      </c>
      <c r="Z305" s="164" t="str">
        <f>CONCATENATE(X305,"-",Y305)</f>
        <v>04-Servicio de atención a incidentes y emergencias.</v>
      </c>
      <c r="AA305" s="162" t="s">
        <v>221</v>
      </c>
      <c r="AB305" s="163" t="str">
        <f>IFERROR(VLOOKUP(AA305,TD!$N$51:$O$66,2,0)," ")</f>
        <v>Servicio de atención a emergencias y desastres</v>
      </c>
      <c r="AC305" s="164" t="str">
        <f>CONCATENATE(AA305,"_",AB305)</f>
        <v>004_Servicio de atención a emergencias y desastres</v>
      </c>
      <c r="AD305" s="164" t="str">
        <f>CONCATENATE(Z305," ",AC305)</f>
        <v>04-Servicio de atención a incidentes y emergencias. 004_Servicio de atención a emergencias y desastres</v>
      </c>
      <c r="AE305" s="163" t="str">
        <f>CONCATENATE(U305,V305,W305,X305,AA305)</f>
        <v>O23011745032024025504004</v>
      </c>
      <c r="AF305" s="163" t="str">
        <f>IFERROR(VLOOKUP(AD305,TD!$J$66:$K$89,2,0)," ")</f>
        <v>PM/0131/0104/45030040255</v>
      </c>
      <c r="AG305" s="118" t="s">
        <v>385</v>
      </c>
      <c r="AH305" s="162" t="s">
        <v>194</v>
      </c>
      <c r="AI305" s="165" t="str">
        <f>CONCATENATE(PAA[[#This Row],[Id Interno]],"-",PAA[[#This Row],[tipo de Contrato (TH talento humano - B/S bienes y/o servicios)]],"-",S305,"-",T305,"-",PAA[[#This Row],[Objeto de la contratación]])</f>
        <v>20260284-TH-8173-2-ADICIÓN Y PRÓRROGA al contrato de prestación de servicios # 540-2025, cuyo objeto es: "Prestación de servicios de apoyo a la gestión para ejecutar actividades administrativas y asistenciales, así como el diligenciamiento y seguimiento de las solicitudes en las herramientas de gestión de los procedimientos a cargo de la subdirección operativa -s.o".</v>
      </c>
    </row>
    <row r="306" spans="2:35" ht="56" x14ac:dyDescent="0.35">
      <c r="B306" s="23">
        <v>20260285</v>
      </c>
      <c r="C306" s="99" t="s">
        <v>488</v>
      </c>
      <c r="D306" s="99" t="s">
        <v>105</v>
      </c>
      <c r="E306" s="99" t="s">
        <v>363</v>
      </c>
      <c r="F306" s="160" t="s">
        <v>144</v>
      </c>
      <c r="G306" s="160" t="s">
        <v>373</v>
      </c>
      <c r="H306" s="167">
        <v>5</v>
      </c>
      <c r="I306" s="167">
        <v>15</v>
      </c>
      <c r="J306" s="118">
        <v>52250000</v>
      </c>
      <c r="K306" s="126" t="s">
        <v>398</v>
      </c>
      <c r="L306" s="160" t="s">
        <v>158</v>
      </c>
      <c r="M306" s="166" t="s">
        <v>421</v>
      </c>
      <c r="N306" s="99" t="s">
        <v>198</v>
      </c>
      <c r="O306" s="151" t="s">
        <v>946</v>
      </c>
      <c r="P306" s="160" t="s">
        <v>348</v>
      </c>
      <c r="Q306" s="128">
        <v>80111600</v>
      </c>
      <c r="R306" s="166" t="s">
        <v>211</v>
      </c>
      <c r="S306" s="162" t="str">
        <f>MID(PAA[[#This Row],[Meta Proyecto de Inversión]],1,4)</f>
        <v>8173</v>
      </c>
      <c r="T306" s="162" t="str">
        <f>MID(PAA[[#This Row],[Meta Proyecto de Inversión]],6,1)</f>
        <v>2</v>
      </c>
      <c r="U306" s="163" t="str">
        <f>IFERROR(VLOOKUP(N306,TD!$B$50:$F$54,2,0)," ")</f>
        <v>O230117</v>
      </c>
      <c r="V306" s="163" t="str">
        <f>IFERROR(VLOOKUP(N306,TD!$B$50:$F$54,3,0)," ")</f>
        <v>4503</v>
      </c>
      <c r="W306" s="163">
        <f>IFERROR(VLOOKUP(N306,TD!$B$50:$F$54,4,0)," ")</f>
        <v>20240255</v>
      </c>
      <c r="X306" s="162" t="s">
        <v>164</v>
      </c>
      <c r="Y306" s="163" t="str">
        <f>IFERROR(VLOOKUP(X306,TD!$J$51:$K$64,2,0)," ")</f>
        <v>Servicio de atención a incidentes y emergencias.</v>
      </c>
      <c r="Z306" s="164" t="str">
        <f>CONCATENATE(X306,"-",Y306)</f>
        <v>04-Servicio de atención a incidentes y emergencias.</v>
      </c>
      <c r="AA306" s="162" t="s">
        <v>221</v>
      </c>
      <c r="AB306" s="163" t="str">
        <f>IFERROR(VLOOKUP(AA306,TD!$N$51:$O$66,2,0)," ")</f>
        <v>Servicio de atención a emergencias y desastres</v>
      </c>
      <c r="AC306" s="164" t="str">
        <f>CONCATENATE(AA306,"_",AB306)</f>
        <v>004_Servicio de atención a emergencias y desastres</v>
      </c>
      <c r="AD306" s="164" t="str">
        <f>CONCATENATE(Z306," ",AC306)</f>
        <v>04-Servicio de atención a incidentes y emergencias. 004_Servicio de atención a emergencias y desastres</v>
      </c>
      <c r="AE306" s="163" t="str">
        <f>CONCATENATE(U306,V306,W306,X306,AA306)</f>
        <v>O23011745032024025504004</v>
      </c>
      <c r="AF306" s="163" t="str">
        <f>IFERROR(VLOOKUP(AD306,TD!$J$66:$K$89,2,0)," ")</f>
        <v>PM/0131/0104/45030040255</v>
      </c>
      <c r="AG306" s="118" t="s">
        <v>385</v>
      </c>
      <c r="AH306" s="162" t="s">
        <v>194</v>
      </c>
      <c r="AI306" s="165" t="str">
        <f>CONCATENATE(PAA[[#This Row],[Id Interno]],"-",PAA[[#This Row],[tipo de Contrato (TH talento humano - B/S bienes y/o servicios)]],"-",S306,"-",T306,"-",PAA[[#This Row],[Objeto de la contratación]])</f>
        <v>20260285-TH-8173-2-ADICIÓN Y PRÓRROGA al contrato de prestación de servicios # 118-2025, cuyo objeto es: "prestación de servicios profesionales para generar información de valor e instrumentos de seguimiento y control a partir de los datos asociados a la ejecución de los procesos, planes y proyectos adelantados en la dependencia. s.o."</v>
      </c>
    </row>
    <row r="307" spans="2:35" ht="70" x14ac:dyDescent="0.35">
      <c r="B307" s="23">
        <v>20260286</v>
      </c>
      <c r="C307" s="99" t="s">
        <v>661</v>
      </c>
      <c r="D307" s="99" t="s">
        <v>105</v>
      </c>
      <c r="E307" s="99" t="s">
        <v>363</v>
      </c>
      <c r="F307" s="160" t="s">
        <v>144</v>
      </c>
      <c r="G307" s="160" t="s">
        <v>373</v>
      </c>
      <c r="H307" s="167">
        <v>10</v>
      </c>
      <c r="I307" s="167">
        <v>0</v>
      </c>
      <c r="J307" s="118">
        <v>80000000</v>
      </c>
      <c r="K307" s="126" t="s">
        <v>398</v>
      </c>
      <c r="L307" s="160" t="s">
        <v>158</v>
      </c>
      <c r="M307" s="166" t="s">
        <v>421</v>
      </c>
      <c r="N307" s="99" t="s">
        <v>198</v>
      </c>
      <c r="O307" s="151" t="s">
        <v>946</v>
      </c>
      <c r="P307" s="160" t="s">
        <v>348</v>
      </c>
      <c r="Q307" s="128">
        <v>80111600</v>
      </c>
      <c r="R307" s="166" t="s">
        <v>211</v>
      </c>
      <c r="S307" s="162" t="str">
        <f>MID(PAA[[#This Row],[Meta Proyecto de Inversión]],1,4)</f>
        <v>8173</v>
      </c>
      <c r="T307" s="162" t="str">
        <f>MID(PAA[[#This Row],[Meta Proyecto de Inversión]],6,1)</f>
        <v>2</v>
      </c>
      <c r="U307" s="163" t="str">
        <f>IFERROR(VLOOKUP(N307,TD!$B$50:$F$54,2,0)," ")</f>
        <v>O230117</v>
      </c>
      <c r="V307" s="163" t="str">
        <f>IFERROR(VLOOKUP(N307,TD!$B$50:$F$54,3,0)," ")</f>
        <v>4503</v>
      </c>
      <c r="W307" s="163">
        <f>IFERROR(VLOOKUP(N307,TD!$B$50:$F$54,4,0)," ")</f>
        <v>20240255</v>
      </c>
      <c r="X307" s="162" t="s">
        <v>164</v>
      </c>
      <c r="Y307" s="163" t="str">
        <f>IFERROR(VLOOKUP(X307,TD!$J$51:$K$64,2,0)," ")</f>
        <v>Servicio de atención a incidentes y emergencias.</v>
      </c>
      <c r="Z307" s="164" t="str">
        <f>CONCATENATE(X307,"-",Y307)</f>
        <v>04-Servicio de atención a incidentes y emergencias.</v>
      </c>
      <c r="AA307" s="162" t="s">
        <v>221</v>
      </c>
      <c r="AB307" s="163" t="str">
        <f>IFERROR(VLOOKUP(AA307,TD!$N$51:$O$66,2,0)," ")</f>
        <v>Servicio de atención a emergencias y desastres</v>
      </c>
      <c r="AC307" s="164" t="str">
        <f>CONCATENATE(AA307,"_",AB307)</f>
        <v>004_Servicio de atención a emergencias y desastres</v>
      </c>
      <c r="AD307" s="164" t="str">
        <f>CONCATENATE(Z307," ",AC307)</f>
        <v>04-Servicio de atención a incidentes y emergencias. 004_Servicio de atención a emergencias y desastres</v>
      </c>
      <c r="AE307" s="163" t="str">
        <f>CONCATENATE(U307,V307,W307,X307,AA307)</f>
        <v>O23011745032024025504004</v>
      </c>
      <c r="AF307" s="163" t="str">
        <f>IFERROR(VLOOKUP(AD307,TD!$J$66:$K$89,2,0)," ")</f>
        <v>PM/0131/0104/45030040255</v>
      </c>
      <c r="AG307" s="118" t="s">
        <v>385</v>
      </c>
      <c r="AH307" s="162" t="s">
        <v>193</v>
      </c>
      <c r="AI307" s="165" t="str">
        <f>CONCATENATE(PAA[[#This Row],[Id Interno]],"-",PAA[[#This Row],[tipo de Contrato (TH talento humano - B/S bienes y/o servicios)]],"-",S307,"-",T307,"-",PAA[[#This Row],[Objeto de la contratación]])</f>
        <v>20260286-TH-8173-2-Prestación de servicios profesionales para el fortalecimiento de los procesos de comunicaciones y  en articulación con otras dependencias de la entidad y de los procesos y programas a cargo de la Subdirección  Operativa-S.O.</v>
      </c>
    </row>
    <row r="308" spans="2:35" ht="70" x14ac:dyDescent="0.35">
      <c r="B308" s="23">
        <v>20260287</v>
      </c>
      <c r="C308" s="99" t="s">
        <v>662</v>
      </c>
      <c r="D308" s="99" t="s">
        <v>105</v>
      </c>
      <c r="E308" s="99" t="s">
        <v>363</v>
      </c>
      <c r="F308" s="160" t="s">
        <v>144</v>
      </c>
      <c r="G308" s="160" t="s">
        <v>373</v>
      </c>
      <c r="H308" s="167">
        <v>10</v>
      </c>
      <c r="I308" s="167">
        <v>0</v>
      </c>
      <c r="J308" s="118">
        <v>49500000</v>
      </c>
      <c r="K308" s="126" t="s">
        <v>398</v>
      </c>
      <c r="L308" s="160" t="s">
        <v>158</v>
      </c>
      <c r="M308" s="166" t="s">
        <v>421</v>
      </c>
      <c r="N308" s="99" t="s">
        <v>198</v>
      </c>
      <c r="O308" s="151" t="s">
        <v>946</v>
      </c>
      <c r="P308" s="160" t="s">
        <v>348</v>
      </c>
      <c r="Q308" s="128">
        <v>80111600</v>
      </c>
      <c r="R308" s="166" t="s">
        <v>211</v>
      </c>
      <c r="S308" s="162" t="str">
        <f>MID(PAA[[#This Row],[Meta Proyecto de Inversión]],1,4)</f>
        <v>8173</v>
      </c>
      <c r="T308" s="162" t="str">
        <f>MID(PAA[[#This Row],[Meta Proyecto de Inversión]],6,1)</f>
        <v>2</v>
      </c>
      <c r="U308" s="163" t="str">
        <f>IFERROR(VLOOKUP(N308,TD!$B$50:$F$54,2,0)," ")</f>
        <v>O230117</v>
      </c>
      <c r="V308" s="163" t="str">
        <f>IFERROR(VLOOKUP(N308,TD!$B$50:$F$54,3,0)," ")</f>
        <v>4503</v>
      </c>
      <c r="W308" s="163">
        <f>IFERROR(VLOOKUP(N308,TD!$B$50:$F$54,4,0)," ")</f>
        <v>20240255</v>
      </c>
      <c r="X308" s="162" t="s">
        <v>164</v>
      </c>
      <c r="Y308" s="163" t="str">
        <f>IFERROR(VLOOKUP(X308,TD!$J$51:$K$64,2,0)," ")</f>
        <v>Servicio de atención a incidentes y emergencias.</v>
      </c>
      <c r="Z308" s="164" t="str">
        <f>CONCATENATE(X308,"-",Y308)</f>
        <v>04-Servicio de atención a incidentes y emergencias.</v>
      </c>
      <c r="AA308" s="162" t="s">
        <v>221</v>
      </c>
      <c r="AB308" s="163" t="str">
        <f>IFERROR(VLOOKUP(AA308,TD!$N$51:$O$66,2,0)," ")</f>
        <v>Servicio de atención a emergencias y desastres</v>
      </c>
      <c r="AC308" s="164" t="str">
        <f>CONCATENATE(AA308,"_",AB308)</f>
        <v>004_Servicio de atención a emergencias y desastres</v>
      </c>
      <c r="AD308" s="164" t="str">
        <f>CONCATENATE(Z308," ",AC308)</f>
        <v>04-Servicio de atención a incidentes y emergencias. 004_Servicio de atención a emergencias y desastres</v>
      </c>
      <c r="AE308" s="163" t="str">
        <f>CONCATENATE(U308,V308,W308,X308,AA308)</f>
        <v>O23011745032024025504004</v>
      </c>
      <c r="AF308" s="163" t="str">
        <f>IFERROR(VLOOKUP(AD308,TD!$J$66:$K$89,2,0)," ")</f>
        <v>PM/0131/0104/45030040255</v>
      </c>
      <c r="AG308" s="118" t="s">
        <v>385</v>
      </c>
      <c r="AH308" s="162" t="s">
        <v>193</v>
      </c>
      <c r="AI308" s="165" t="str">
        <f>CONCATENATE(PAA[[#This Row],[Id Interno]],"-",PAA[[#This Row],[tipo de Contrato (TH talento humano - B/S bienes y/o servicios)]],"-",S308,"-",T308,"-",PAA[[#This Row],[Objeto de la contratación]])</f>
        <v>20260287-TH-8173-2-Prestación de servicios profesionales para realizar seguimiento y verificación  de las actividades relacionadas con la Subdirección Logística en los procesos, procedimientos y programas a cargo de la Subdirección Operativa-S.O.</v>
      </c>
    </row>
    <row r="309" spans="2:35" ht="70" x14ac:dyDescent="0.35">
      <c r="B309" s="23">
        <v>20260288</v>
      </c>
      <c r="C309" s="99" t="s">
        <v>663</v>
      </c>
      <c r="D309" s="99" t="s">
        <v>105</v>
      </c>
      <c r="E309" s="99" t="s">
        <v>363</v>
      </c>
      <c r="F309" s="160" t="s">
        <v>144</v>
      </c>
      <c r="G309" s="160" t="s">
        <v>373</v>
      </c>
      <c r="H309" s="167">
        <v>7</v>
      </c>
      <c r="I309" s="167">
        <v>0</v>
      </c>
      <c r="J309" s="118">
        <v>47600000</v>
      </c>
      <c r="K309" s="126" t="s">
        <v>398</v>
      </c>
      <c r="L309" s="160" t="s">
        <v>158</v>
      </c>
      <c r="M309" s="166" t="s">
        <v>421</v>
      </c>
      <c r="N309" s="99" t="s">
        <v>198</v>
      </c>
      <c r="O309" s="151" t="s">
        <v>946</v>
      </c>
      <c r="P309" s="160" t="s">
        <v>348</v>
      </c>
      <c r="Q309" s="128">
        <v>80111600</v>
      </c>
      <c r="R309" s="166" t="s">
        <v>211</v>
      </c>
      <c r="S309" s="162" t="str">
        <f>MID(PAA[[#This Row],[Meta Proyecto de Inversión]],1,4)</f>
        <v>8173</v>
      </c>
      <c r="T309" s="162" t="str">
        <f>MID(PAA[[#This Row],[Meta Proyecto de Inversión]],6,1)</f>
        <v>2</v>
      </c>
      <c r="U309" s="163" t="str">
        <f>IFERROR(VLOOKUP(N309,TD!$B$50:$F$54,2,0)," ")</f>
        <v>O230117</v>
      </c>
      <c r="V309" s="163" t="str">
        <f>IFERROR(VLOOKUP(N309,TD!$B$50:$F$54,3,0)," ")</f>
        <v>4503</v>
      </c>
      <c r="W309" s="163">
        <f>IFERROR(VLOOKUP(N309,TD!$B$50:$F$54,4,0)," ")</f>
        <v>20240255</v>
      </c>
      <c r="X309" s="162" t="s">
        <v>164</v>
      </c>
      <c r="Y309" s="163" t="str">
        <f>IFERROR(VLOOKUP(X309,TD!$J$51:$K$64,2,0)," ")</f>
        <v>Servicio de atención a incidentes y emergencias.</v>
      </c>
      <c r="Z309" s="164" t="str">
        <f>CONCATENATE(X309,"-",Y309)</f>
        <v>04-Servicio de atención a incidentes y emergencias.</v>
      </c>
      <c r="AA309" s="162" t="s">
        <v>221</v>
      </c>
      <c r="AB309" s="163" t="str">
        <f>IFERROR(VLOOKUP(AA309,TD!$N$51:$O$66,2,0)," ")</f>
        <v>Servicio de atención a emergencias y desastres</v>
      </c>
      <c r="AC309" s="164" t="str">
        <f>CONCATENATE(AA309,"_",AB309)</f>
        <v>004_Servicio de atención a emergencias y desastres</v>
      </c>
      <c r="AD309" s="164" t="str">
        <f>CONCATENATE(Z309," ",AC309)</f>
        <v>04-Servicio de atención a incidentes y emergencias. 004_Servicio de atención a emergencias y desastres</v>
      </c>
      <c r="AE309" s="163" t="str">
        <f>CONCATENATE(U309,V309,W309,X309,AA309)</f>
        <v>O23011745032024025504004</v>
      </c>
      <c r="AF309" s="163" t="str">
        <f>IFERROR(VLOOKUP(AD309,TD!$J$66:$K$89,2,0)," ")</f>
        <v>PM/0131/0104/45030040255</v>
      </c>
      <c r="AG309" s="118" t="s">
        <v>385</v>
      </c>
      <c r="AH309" s="162" t="s">
        <v>193</v>
      </c>
      <c r="AI309" s="165" t="str">
        <f>CONCATENATE(PAA[[#This Row],[Id Interno]],"-",PAA[[#This Row],[tipo de Contrato (TH talento humano - B/S bienes y/o servicios)]],"-",S309,"-",T309,"-",PAA[[#This Row],[Objeto de la contratación]])</f>
        <v>20260288-TH-8173-2-Prestación de servicios profesionales para apoyar en el análisis de información, reportes, documentos técnicos y demás productos relacionados con la atención de emergencias de la entidad y  de los  programas a cargo de la Subdirección  Operativa-S.O.</v>
      </c>
    </row>
    <row r="310" spans="2:35" ht="70" x14ac:dyDescent="0.35">
      <c r="B310" s="23">
        <v>20260289</v>
      </c>
      <c r="C310" s="99" t="s">
        <v>867</v>
      </c>
      <c r="D310" s="99" t="s">
        <v>105</v>
      </c>
      <c r="E310" s="99" t="s">
        <v>363</v>
      </c>
      <c r="F310" s="160" t="s">
        <v>144</v>
      </c>
      <c r="G310" s="160" t="s">
        <v>379</v>
      </c>
      <c r="H310" s="167">
        <v>6</v>
      </c>
      <c r="I310" s="167">
        <v>0</v>
      </c>
      <c r="J310" s="118">
        <v>43200000</v>
      </c>
      <c r="K310" s="126" t="s">
        <v>398</v>
      </c>
      <c r="L310" s="160" t="s">
        <v>158</v>
      </c>
      <c r="M310" s="166" t="s">
        <v>421</v>
      </c>
      <c r="N310" s="99" t="s">
        <v>198</v>
      </c>
      <c r="O310" s="151" t="s">
        <v>946</v>
      </c>
      <c r="P310" s="160" t="s">
        <v>348</v>
      </c>
      <c r="Q310" s="128">
        <v>80111600</v>
      </c>
      <c r="R310" s="166" t="s">
        <v>211</v>
      </c>
      <c r="S310" s="162" t="str">
        <f>MID(PAA[[#This Row],[Meta Proyecto de Inversión]],1,4)</f>
        <v>8173</v>
      </c>
      <c r="T310" s="162" t="str">
        <f>MID(PAA[[#This Row],[Meta Proyecto de Inversión]],6,1)</f>
        <v>2</v>
      </c>
      <c r="U310" s="163" t="str">
        <f>IFERROR(VLOOKUP(N310,TD!$B$50:$F$54,2,0)," ")</f>
        <v>O230117</v>
      </c>
      <c r="V310" s="163" t="str">
        <f>IFERROR(VLOOKUP(N310,TD!$B$50:$F$54,3,0)," ")</f>
        <v>4503</v>
      </c>
      <c r="W310" s="163">
        <f>IFERROR(VLOOKUP(N310,TD!$B$50:$F$54,4,0)," ")</f>
        <v>20240255</v>
      </c>
      <c r="X310" s="162" t="s">
        <v>164</v>
      </c>
      <c r="Y310" s="163" t="str">
        <f>IFERROR(VLOOKUP(X310,TD!$J$51:$K$64,2,0)," ")</f>
        <v>Servicio de atención a incidentes y emergencias.</v>
      </c>
      <c r="Z310" s="164" t="str">
        <f>CONCATENATE(X310,"-",Y310)</f>
        <v>04-Servicio de atención a incidentes y emergencias.</v>
      </c>
      <c r="AA310" s="162" t="s">
        <v>221</v>
      </c>
      <c r="AB310" s="163" t="str">
        <f>IFERROR(VLOOKUP(AA310,TD!$N$51:$O$66,2,0)," ")</f>
        <v>Servicio de atención a emergencias y desastres</v>
      </c>
      <c r="AC310" s="164" t="str">
        <f>CONCATENATE(AA310,"_",AB310)</f>
        <v>004_Servicio de atención a emergencias y desastres</v>
      </c>
      <c r="AD310" s="164" t="str">
        <f>CONCATENATE(Z310," ",AC310)</f>
        <v>04-Servicio de atención a incidentes y emergencias. 004_Servicio de atención a emergencias y desastres</v>
      </c>
      <c r="AE310" s="163" t="str">
        <f>CONCATENATE(U310,V310,W310,X310,AA310)</f>
        <v>O23011745032024025504004</v>
      </c>
      <c r="AF310" s="163" t="str">
        <f>IFERROR(VLOOKUP(AD310,TD!$J$66:$K$89,2,0)," ")</f>
        <v>PM/0131/0104/45030040255</v>
      </c>
      <c r="AG310" s="118" t="s">
        <v>385</v>
      </c>
      <c r="AH310" s="162" t="s">
        <v>193</v>
      </c>
      <c r="AI310" s="165" t="str">
        <f>CONCATENATE(PAA[[#This Row],[Id Interno]],"-",PAA[[#This Row],[tipo de Contrato (TH talento humano - B/S bienes y/o servicios)]],"-",S310,"-",T310,"-",PAA[[#This Row],[Objeto de la contratación]])</f>
        <v>20260289-TH-8173-2-Prestación de servicios profesionales para apoyar el fortalecimiento de la dependencia y la articulación con entidades externas, para el desarrollo de los programas a cargo de la Subdirección Operativa-S. O.</v>
      </c>
    </row>
    <row r="311" spans="2:35" ht="56" x14ac:dyDescent="0.35">
      <c r="B311" s="23">
        <v>20260290</v>
      </c>
      <c r="C311" s="99" t="s">
        <v>868</v>
      </c>
      <c r="D311" s="99" t="s">
        <v>105</v>
      </c>
      <c r="E311" s="99" t="s">
        <v>363</v>
      </c>
      <c r="F311" s="160" t="s">
        <v>144</v>
      </c>
      <c r="G311" s="160" t="s">
        <v>373</v>
      </c>
      <c r="H311" s="167">
        <v>8</v>
      </c>
      <c r="I311" s="167">
        <v>0</v>
      </c>
      <c r="J311" s="118">
        <v>41200000</v>
      </c>
      <c r="K311" s="126" t="s">
        <v>398</v>
      </c>
      <c r="L311" s="160" t="s">
        <v>158</v>
      </c>
      <c r="M311" s="166" t="s">
        <v>421</v>
      </c>
      <c r="N311" s="99" t="s">
        <v>198</v>
      </c>
      <c r="O311" s="151" t="s">
        <v>946</v>
      </c>
      <c r="P311" s="160" t="s">
        <v>348</v>
      </c>
      <c r="Q311" s="128">
        <v>80111600</v>
      </c>
      <c r="R311" s="166" t="s">
        <v>211</v>
      </c>
      <c r="S311" s="162" t="str">
        <f>MID(PAA[[#This Row],[Meta Proyecto de Inversión]],1,4)</f>
        <v>8173</v>
      </c>
      <c r="T311" s="162" t="str">
        <f>MID(PAA[[#This Row],[Meta Proyecto de Inversión]],6,1)</f>
        <v>2</v>
      </c>
      <c r="U311" s="163" t="str">
        <f>IFERROR(VLOOKUP(N311,TD!$B$50:$F$54,2,0)," ")</f>
        <v>O230117</v>
      </c>
      <c r="V311" s="163" t="str">
        <f>IFERROR(VLOOKUP(N311,TD!$B$50:$F$54,3,0)," ")</f>
        <v>4503</v>
      </c>
      <c r="W311" s="163">
        <f>IFERROR(VLOOKUP(N311,TD!$B$50:$F$54,4,0)," ")</f>
        <v>20240255</v>
      </c>
      <c r="X311" s="162" t="s">
        <v>164</v>
      </c>
      <c r="Y311" s="163" t="str">
        <f>IFERROR(VLOOKUP(X311,TD!$J$51:$K$64,2,0)," ")</f>
        <v>Servicio de atención a incidentes y emergencias.</v>
      </c>
      <c r="Z311" s="164" t="str">
        <f>CONCATENATE(X311,"-",Y311)</f>
        <v>04-Servicio de atención a incidentes y emergencias.</v>
      </c>
      <c r="AA311" s="162" t="s">
        <v>221</v>
      </c>
      <c r="AB311" s="163" t="str">
        <f>IFERROR(VLOOKUP(AA311,TD!$N$51:$O$66,2,0)," ")</f>
        <v>Servicio de atención a emergencias y desastres</v>
      </c>
      <c r="AC311" s="164" t="str">
        <f>CONCATENATE(AA311,"_",AB311)</f>
        <v>004_Servicio de atención a emergencias y desastres</v>
      </c>
      <c r="AD311" s="164" t="str">
        <f>CONCATENATE(Z311," ",AC311)</f>
        <v>04-Servicio de atención a incidentes y emergencias. 004_Servicio de atención a emergencias y desastres</v>
      </c>
      <c r="AE311" s="163" t="str">
        <f>CONCATENATE(U311,V311,W311,X311,AA311)</f>
        <v>O23011745032024025504004</v>
      </c>
      <c r="AF311" s="163" t="str">
        <f>IFERROR(VLOOKUP(AD311,TD!$J$66:$K$89,2,0)," ")</f>
        <v>PM/0131/0104/45030040255</v>
      </c>
      <c r="AG311" s="118" t="s">
        <v>385</v>
      </c>
      <c r="AH311" s="162" t="s">
        <v>193</v>
      </c>
      <c r="AI311" s="165" t="str">
        <f>CONCATENATE(PAA[[#This Row],[Id Interno]],"-",PAA[[#This Row],[tipo de Contrato (TH talento humano - B/S bienes y/o servicios)]],"-",S311,"-",T311,"-",PAA[[#This Row],[Objeto de la contratación]])</f>
        <v>20260290-TH-8173-2-Prestación de servicios profesionales para brindar el apoyo administrativo de las gestiones  de la Subdirección, así como proyectar las respuestas a las solicitudes de carácter interno o externo para  el desarrollo de los programas a cargo de la Subdirección Operativa-S.O.</v>
      </c>
    </row>
    <row r="312" spans="2:35" ht="70" x14ac:dyDescent="0.35">
      <c r="B312" s="23">
        <v>20260291</v>
      </c>
      <c r="C312" s="99" t="s">
        <v>664</v>
      </c>
      <c r="D312" s="99" t="s">
        <v>105</v>
      </c>
      <c r="E312" s="99" t="s">
        <v>363</v>
      </c>
      <c r="F312" s="160" t="s">
        <v>144</v>
      </c>
      <c r="G312" s="160" t="s">
        <v>373</v>
      </c>
      <c r="H312" s="167">
        <v>10</v>
      </c>
      <c r="I312" s="167">
        <v>0</v>
      </c>
      <c r="J312" s="118">
        <v>67000000</v>
      </c>
      <c r="K312" s="126" t="s">
        <v>398</v>
      </c>
      <c r="L312" s="160" t="s">
        <v>158</v>
      </c>
      <c r="M312" s="166" t="s">
        <v>421</v>
      </c>
      <c r="N312" s="99" t="s">
        <v>198</v>
      </c>
      <c r="O312" s="151" t="s">
        <v>946</v>
      </c>
      <c r="P312" s="160" t="s">
        <v>348</v>
      </c>
      <c r="Q312" s="128">
        <v>80111600</v>
      </c>
      <c r="R312" s="166" t="s">
        <v>211</v>
      </c>
      <c r="S312" s="162" t="str">
        <f>MID(PAA[[#This Row],[Meta Proyecto de Inversión]],1,4)</f>
        <v>8173</v>
      </c>
      <c r="T312" s="162" t="str">
        <f>MID(PAA[[#This Row],[Meta Proyecto de Inversión]],6,1)</f>
        <v>2</v>
      </c>
      <c r="U312" s="163" t="str">
        <f>IFERROR(VLOOKUP(N312,TD!$B$50:$F$54,2,0)," ")</f>
        <v>O230117</v>
      </c>
      <c r="V312" s="163" t="str">
        <f>IFERROR(VLOOKUP(N312,TD!$B$50:$F$54,3,0)," ")</f>
        <v>4503</v>
      </c>
      <c r="W312" s="163">
        <f>IFERROR(VLOOKUP(N312,TD!$B$50:$F$54,4,0)," ")</f>
        <v>20240255</v>
      </c>
      <c r="X312" s="162" t="s">
        <v>164</v>
      </c>
      <c r="Y312" s="163" t="str">
        <f>IFERROR(VLOOKUP(X312,TD!$J$51:$K$64,2,0)," ")</f>
        <v>Servicio de atención a incidentes y emergencias.</v>
      </c>
      <c r="Z312" s="164" t="str">
        <f>CONCATENATE(X312,"-",Y312)</f>
        <v>04-Servicio de atención a incidentes y emergencias.</v>
      </c>
      <c r="AA312" s="162" t="s">
        <v>221</v>
      </c>
      <c r="AB312" s="163" t="str">
        <f>IFERROR(VLOOKUP(AA312,TD!$N$51:$O$66,2,0)," ")</f>
        <v>Servicio de atención a emergencias y desastres</v>
      </c>
      <c r="AC312" s="164" t="str">
        <f>CONCATENATE(AA312,"_",AB312)</f>
        <v>004_Servicio de atención a emergencias y desastres</v>
      </c>
      <c r="AD312" s="164" t="str">
        <f>CONCATENATE(Z312," ",AC312)</f>
        <v>04-Servicio de atención a incidentes y emergencias. 004_Servicio de atención a emergencias y desastres</v>
      </c>
      <c r="AE312" s="163" t="str">
        <f>CONCATENATE(U312,V312,W312,X312,AA312)</f>
        <v>O23011745032024025504004</v>
      </c>
      <c r="AF312" s="163" t="str">
        <f>IFERROR(VLOOKUP(AD312,TD!$J$66:$K$89,2,0)," ")</f>
        <v>PM/0131/0104/45030040255</v>
      </c>
      <c r="AG312" s="118" t="s">
        <v>385</v>
      </c>
      <c r="AH312" s="162" t="s">
        <v>193</v>
      </c>
      <c r="AI312" s="165" t="str">
        <f>CONCATENATE(PAA[[#This Row],[Id Interno]],"-",PAA[[#This Row],[tipo de Contrato (TH talento humano - B/S bienes y/o servicios)]],"-",S312,"-",T312,"-",PAA[[#This Row],[Objeto de la contratación]])</f>
        <v>20260291-TH-8173-2-Prestación de servicios profesionales para ejecutar los aspectos jurídicos en las diferentes modalidades de contratación que requiera la Subdirección operativa para el cumplimiento de su misionalidad y de los programas a cargo-S.O.</v>
      </c>
    </row>
    <row r="313" spans="2:35" ht="112" x14ac:dyDescent="0.35">
      <c r="B313" s="23">
        <v>20260292</v>
      </c>
      <c r="C313" s="99" t="s">
        <v>869</v>
      </c>
      <c r="D313" s="99" t="s">
        <v>105</v>
      </c>
      <c r="E313" s="99" t="s">
        <v>363</v>
      </c>
      <c r="F313" s="160" t="s">
        <v>144</v>
      </c>
      <c r="G313" s="160" t="s">
        <v>373</v>
      </c>
      <c r="H313" s="167">
        <v>8</v>
      </c>
      <c r="I313" s="167">
        <v>0</v>
      </c>
      <c r="J313" s="118">
        <v>65600000</v>
      </c>
      <c r="K313" s="126" t="s">
        <v>398</v>
      </c>
      <c r="L313" s="160" t="s">
        <v>158</v>
      </c>
      <c r="M313" s="166" t="s">
        <v>421</v>
      </c>
      <c r="N313" s="99" t="s">
        <v>198</v>
      </c>
      <c r="O313" s="151" t="s">
        <v>946</v>
      </c>
      <c r="P313" s="160" t="s">
        <v>348</v>
      </c>
      <c r="Q313" s="128">
        <v>80111600</v>
      </c>
      <c r="R313" s="166" t="s">
        <v>211</v>
      </c>
      <c r="S313" s="162" t="str">
        <f>MID(PAA[[#This Row],[Meta Proyecto de Inversión]],1,4)</f>
        <v>8173</v>
      </c>
      <c r="T313" s="162" t="str">
        <f>MID(PAA[[#This Row],[Meta Proyecto de Inversión]],6,1)</f>
        <v>2</v>
      </c>
      <c r="U313" s="163" t="str">
        <f>IFERROR(VLOOKUP(N313,TD!$B$50:$F$54,2,0)," ")</f>
        <v>O230117</v>
      </c>
      <c r="V313" s="163" t="str">
        <f>IFERROR(VLOOKUP(N313,TD!$B$50:$F$54,3,0)," ")</f>
        <v>4503</v>
      </c>
      <c r="W313" s="163">
        <f>IFERROR(VLOOKUP(N313,TD!$B$50:$F$54,4,0)," ")</f>
        <v>20240255</v>
      </c>
      <c r="X313" s="162" t="s">
        <v>164</v>
      </c>
      <c r="Y313" s="163" t="str">
        <f>IFERROR(VLOOKUP(X313,TD!$J$51:$K$64,2,0)," ")</f>
        <v>Servicio de atención a incidentes y emergencias.</v>
      </c>
      <c r="Z313" s="164" t="str">
        <f>CONCATENATE(X313,"-",Y313)</f>
        <v>04-Servicio de atención a incidentes y emergencias.</v>
      </c>
      <c r="AA313" s="162" t="s">
        <v>221</v>
      </c>
      <c r="AB313" s="163" t="str">
        <f>IFERROR(VLOOKUP(AA313,TD!$N$51:$O$66,2,0)," ")</f>
        <v>Servicio de atención a emergencias y desastres</v>
      </c>
      <c r="AC313" s="164" t="str">
        <f>CONCATENATE(AA313,"_",AB313)</f>
        <v>004_Servicio de atención a emergencias y desastres</v>
      </c>
      <c r="AD313" s="164" t="str">
        <f>CONCATENATE(Z313," ",AC313)</f>
        <v>04-Servicio de atención a incidentes y emergencias. 004_Servicio de atención a emergencias y desastres</v>
      </c>
      <c r="AE313" s="163" t="str">
        <f>CONCATENATE(U313,V313,W313,X313,AA313)</f>
        <v>O23011745032024025504004</v>
      </c>
      <c r="AF313" s="163" t="str">
        <f>IFERROR(VLOOKUP(AD313,TD!$J$66:$K$89,2,0)," ")</f>
        <v>PM/0131/0104/45030040255</v>
      </c>
      <c r="AG313" s="118" t="s">
        <v>385</v>
      </c>
      <c r="AH313" s="162" t="s">
        <v>193</v>
      </c>
      <c r="AI313" s="165" t="str">
        <f>CONCATENATE(PAA[[#This Row],[Id Interno]],"-",PAA[[#This Row],[tipo de Contrato (TH talento humano - B/S bienes y/o servicios)]],"-",S313,"-",T313,"-",PAA[[#This Row],[Objeto de la contratación]])</f>
        <v>20260292-TH-8173-2-Prestación de servicios profesionales para apoyar las gestiones de carácter contractual en sus diferentes etapas y las gestiones administrativas a cargo, para el desarrollo de los programas de la Subdirección operativa-S.O.</v>
      </c>
    </row>
    <row r="314" spans="2:35" ht="112" x14ac:dyDescent="0.35">
      <c r="B314" s="23">
        <v>20260293</v>
      </c>
      <c r="C314" s="99" t="s">
        <v>870</v>
      </c>
      <c r="D314" s="99" t="s">
        <v>105</v>
      </c>
      <c r="E314" s="99" t="s">
        <v>363</v>
      </c>
      <c r="F314" s="160" t="s">
        <v>144</v>
      </c>
      <c r="G314" s="160" t="s">
        <v>373</v>
      </c>
      <c r="H314" s="167">
        <v>10</v>
      </c>
      <c r="I314" s="167">
        <v>0</v>
      </c>
      <c r="J314" s="118">
        <v>72000000</v>
      </c>
      <c r="K314" s="126" t="s">
        <v>398</v>
      </c>
      <c r="L314" s="160" t="s">
        <v>158</v>
      </c>
      <c r="M314" s="166" t="s">
        <v>421</v>
      </c>
      <c r="N314" s="99" t="s">
        <v>198</v>
      </c>
      <c r="O314" s="151" t="s">
        <v>946</v>
      </c>
      <c r="P314" s="160" t="s">
        <v>348</v>
      </c>
      <c r="Q314" s="128">
        <v>80111600</v>
      </c>
      <c r="R314" s="166" t="s">
        <v>211</v>
      </c>
      <c r="S314" s="162" t="str">
        <f>MID(PAA[[#This Row],[Meta Proyecto de Inversión]],1,4)</f>
        <v>8173</v>
      </c>
      <c r="T314" s="162" t="str">
        <f>MID(PAA[[#This Row],[Meta Proyecto de Inversión]],6,1)</f>
        <v>2</v>
      </c>
      <c r="U314" s="163" t="str">
        <f>IFERROR(VLOOKUP(N314,TD!$B$50:$F$54,2,0)," ")</f>
        <v>O230117</v>
      </c>
      <c r="V314" s="163" t="str">
        <f>IFERROR(VLOOKUP(N314,TD!$B$50:$F$54,3,0)," ")</f>
        <v>4503</v>
      </c>
      <c r="W314" s="163">
        <f>IFERROR(VLOOKUP(N314,TD!$B$50:$F$54,4,0)," ")</f>
        <v>20240255</v>
      </c>
      <c r="X314" s="162" t="s">
        <v>164</v>
      </c>
      <c r="Y314" s="163" t="str">
        <f>IFERROR(VLOOKUP(X314,TD!$J$51:$K$64,2,0)," ")</f>
        <v>Servicio de atención a incidentes y emergencias.</v>
      </c>
      <c r="Z314" s="164" t="str">
        <f>CONCATENATE(X314,"-",Y314)</f>
        <v>04-Servicio de atención a incidentes y emergencias.</v>
      </c>
      <c r="AA314" s="162" t="s">
        <v>221</v>
      </c>
      <c r="AB314" s="163" t="str">
        <f>IFERROR(VLOOKUP(AA314,TD!$N$51:$O$66,2,0)," ")</f>
        <v>Servicio de atención a emergencias y desastres</v>
      </c>
      <c r="AC314" s="164" t="str">
        <f>CONCATENATE(AA314,"_",AB314)</f>
        <v>004_Servicio de atención a emergencias y desastres</v>
      </c>
      <c r="AD314" s="164" t="str">
        <f>CONCATENATE(Z314," ",AC314)</f>
        <v>04-Servicio de atención a incidentes y emergencias. 004_Servicio de atención a emergencias y desastres</v>
      </c>
      <c r="AE314" s="163" t="str">
        <f>CONCATENATE(U314,V314,W314,X314,AA314)</f>
        <v>O23011745032024025504004</v>
      </c>
      <c r="AF314" s="163" t="str">
        <f>IFERROR(VLOOKUP(AD314,TD!$J$66:$K$89,2,0)," ")</f>
        <v>PM/0131/0104/45030040255</v>
      </c>
      <c r="AG314" s="118" t="s">
        <v>385</v>
      </c>
      <c r="AH314" s="162" t="s">
        <v>193</v>
      </c>
      <c r="AI314" s="165" t="str">
        <f>CONCATENATE(PAA[[#This Row],[Id Interno]],"-",PAA[[#This Row],[tipo de Contrato (TH talento humano - B/S bienes y/o servicios)]],"-",S314,"-",T314,"-",PAA[[#This Row],[Objeto de la contratación]])</f>
        <v>20260293-TH-8173-2-Prestar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v>
      </c>
    </row>
    <row r="315" spans="2:35" ht="70" x14ac:dyDescent="0.35">
      <c r="B315" s="23">
        <v>20260294</v>
      </c>
      <c r="C315" s="99" t="s">
        <v>871</v>
      </c>
      <c r="D315" s="99" t="s">
        <v>105</v>
      </c>
      <c r="E315" s="99" t="s">
        <v>363</v>
      </c>
      <c r="F315" s="160" t="s">
        <v>144</v>
      </c>
      <c r="G315" s="160" t="s">
        <v>373</v>
      </c>
      <c r="H315" s="167">
        <v>10</v>
      </c>
      <c r="I315" s="167">
        <v>0</v>
      </c>
      <c r="J315" s="118">
        <v>97000000</v>
      </c>
      <c r="K315" s="126" t="s">
        <v>398</v>
      </c>
      <c r="L315" s="160" t="s">
        <v>158</v>
      </c>
      <c r="M315" s="166" t="s">
        <v>421</v>
      </c>
      <c r="N315" s="99" t="s">
        <v>198</v>
      </c>
      <c r="O315" s="151" t="s">
        <v>946</v>
      </c>
      <c r="P315" s="160" t="s">
        <v>348</v>
      </c>
      <c r="Q315" s="128">
        <v>80111600</v>
      </c>
      <c r="R315" s="166" t="s">
        <v>211</v>
      </c>
      <c r="S315" s="162" t="str">
        <f>MID(PAA[[#This Row],[Meta Proyecto de Inversión]],1,4)</f>
        <v>8173</v>
      </c>
      <c r="T315" s="162" t="str">
        <f>MID(PAA[[#This Row],[Meta Proyecto de Inversión]],6,1)</f>
        <v>2</v>
      </c>
      <c r="U315" s="163" t="str">
        <f>IFERROR(VLOOKUP(N315,TD!$B$50:$F$54,2,0)," ")</f>
        <v>O230117</v>
      </c>
      <c r="V315" s="163" t="str">
        <f>IFERROR(VLOOKUP(N315,TD!$B$50:$F$54,3,0)," ")</f>
        <v>4503</v>
      </c>
      <c r="W315" s="163">
        <f>IFERROR(VLOOKUP(N315,TD!$B$50:$F$54,4,0)," ")</f>
        <v>20240255</v>
      </c>
      <c r="X315" s="162" t="s">
        <v>164</v>
      </c>
      <c r="Y315" s="163" t="str">
        <f>IFERROR(VLOOKUP(X315,TD!$J$51:$K$64,2,0)," ")</f>
        <v>Servicio de atención a incidentes y emergencias.</v>
      </c>
      <c r="Z315" s="164" t="str">
        <f>CONCATENATE(X315,"-",Y315)</f>
        <v>04-Servicio de atención a incidentes y emergencias.</v>
      </c>
      <c r="AA315" s="162" t="s">
        <v>221</v>
      </c>
      <c r="AB315" s="163" t="str">
        <f>IFERROR(VLOOKUP(AA315,TD!$N$51:$O$66,2,0)," ")</f>
        <v>Servicio de atención a emergencias y desastres</v>
      </c>
      <c r="AC315" s="164" t="str">
        <f>CONCATENATE(AA315,"_",AB315)</f>
        <v>004_Servicio de atención a emergencias y desastres</v>
      </c>
      <c r="AD315" s="164" t="str">
        <f>CONCATENATE(Z315," ",AC315)</f>
        <v>04-Servicio de atención a incidentes y emergencias. 004_Servicio de atención a emergencias y desastres</v>
      </c>
      <c r="AE315" s="163" t="str">
        <f>CONCATENATE(U315,V315,W315,X315,AA315)</f>
        <v>O23011745032024025504004</v>
      </c>
      <c r="AF315" s="163" t="str">
        <f>IFERROR(VLOOKUP(AD315,TD!$J$66:$K$89,2,0)," ")</f>
        <v>PM/0131/0104/45030040255</v>
      </c>
      <c r="AG315" s="118" t="s">
        <v>385</v>
      </c>
      <c r="AH315" s="162" t="s">
        <v>193</v>
      </c>
      <c r="AI315" s="165" t="str">
        <f>CONCATENATE(PAA[[#This Row],[Id Interno]],"-",PAA[[#This Row],[tipo de Contrato (TH talento humano - B/S bienes y/o servicios)]],"-",S315,"-",T315,"-",PAA[[#This Row],[Objeto de la contratación]])</f>
        <v>20260294-TH-8173-2-Prestar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v>
      </c>
    </row>
    <row r="316" spans="2:35" ht="84" x14ac:dyDescent="0.35">
      <c r="B316" s="23">
        <v>20260295</v>
      </c>
      <c r="C316" s="99" t="s">
        <v>870</v>
      </c>
      <c r="D316" s="99" t="s">
        <v>105</v>
      </c>
      <c r="E316" s="99" t="s">
        <v>363</v>
      </c>
      <c r="F316" s="160" t="s">
        <v>144</v>
      </c>
      <c r="G316" s="160" t="s">
        <v>373</v>
      </c>
      <c r="H316" s="167">
        <v>10</v>
      </c>
      <c r="I316" s="167">
        <v>0</v>
      </c>
      <c r="J316" s="118">
        <v>72000000</v>
      </c>
      <c r="K316" s="126" t="s">
        <v>398</v>
      </c>
      <c r="L316" s="160" t="s">
        <v>158</v>
      </c>
      <c r="M316" s="166" t="s">
        <v>421</v>
      </c>
      <c r="N316" s="99" t="s">
        <v>198</v>
      </c>
      <c r="O316" s="151" t="s">
        <v>946</v>
      </c>
      <c r="P316" s="160" t="s">
        <v>348</v>
      </c>
      <c r="Q316" s="128">
        <v>80111600</v>
      </c>
      <c r="R316" s="166" t="s">
        <v>211</v>
      </c>
      <c r="S316" s="162" t="str">
        <f>MID(PAA[[#This Row],[Meta Proyecto de Inversión]],1,4)</f>
        <v>8173</v>
      </c>
      <c r="T316" s="162" t="str">
        <f>MID(PAA[[#This Row],[Meta Proyecto de Inversión]],6,1)</f>
        <v>2</v>
      </c>
      <c r="U316" s="163" t="str">
        <f>IFERROR(VLOOKUP(N316,TD!$B$50:$F$54,2,0)," ")</f>
        <v>O230117</v>
      </c>
      <c r="V316" s="163" t="str">
        <f>IFERROR(VLOOKUP(N316,TD!$B$50:$F$54,3,0)," ")</f>
        <v>4503</v>
      </c>
      <c r="W316" s="163">
        <f>IFERROR(VLOOKUP(N316,TD!$B$50:$F$54,4,0)," ")</f>
        <v>20240255</v>
      </c>
      <c r="X316" s="162" t="s">
        <v>164</v>
      </c>
      <c r="Y316" s="163" t="str">
        <f>IFERROR(VLOOKUP(X316,TD!$J$51:$K$64,2,0)," ")</f>
        <v>Servicio de atención a incidentes y emergencias.</v>
      </c>
      <c r="Z316" s="164" t="str">
        <f>CONCATENATE(X316,"-",Y316)</f>
        <v>04-Servicio de atención a incidentes y emergencias.</v>
      </c>
      <c r="AA316" s="162" t="s">
        <v>221</v>
      </c>
      <c r="AB316" s="163" t="str">
        <f>IFERROR(VLOOKUP(AA316,TD!$N$51:$O$66,2,0)," ")</f>
        <v>Servicio de atención a emergencias y desastres</v>
      </c>
      <c r="AC316" s="164" t="str">
        <f>CONCATENATE(AA316,"_",AB316)</f>
        <v>004_Servicio de atención a emergencias y desastres</v>
      </c>
      <c r="AD316" s="164" t="str">
        <f>CONCATENATE(Z316," ",AC316)</f>
        <v>04-Servicio de atención a incidentes y emergencias. 004_Servicio de atención a emergencias y desastres</v>
      </c>
      <c r="AE316" s="163" t="str">
        <f>CONCATENATE(U316,V316,W316,X316,AA316)</f>
        <v>O23011745032024025504004</v>
      </c>
      <c r="AF316" s="163" t="str">
        <f>IFERROR(VLOOKUP(AD316,TD!$J$66:$K$89,2,0)," ")</f>
        <v>PM/0131/0104/45030040255</v>
      </c>
      <c r="AG316" s="118" t="s">
        <v>385</v>
      </c>
      <c r="AH316" s="162" t="s">
        <v>193</v>
      </c>
      <c r="AI316" s="165" t="str">
        <f>CONCATENATE(PAA[[#This Row],[Id Interno]],"-",PAA[[#This Row],[tipo de Contrato (TH talento humano - B/S bienes y/o servicios)]],"-",S316,"-",T316,"-",PAA[[#This Row],[Objeto de la contratación]])</f>
        <v>20260295-TH-8173-2-Prestar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v>
      </c>
    </row>
    <row r="317" spans="2:35" ht="84" x14ac:dyDescent="0.35">
      <c r="B317" s="23">
        <v>20260296</v>
      </c>
      <c r="C317" s="99" t="s">
        <v>489</v>
      </c>
      <c r="D317" s="99" t="s">
        <v>105</v>
      </c>
      <c r="E317" s="99" t="s">
        <v>363</v>
      </c>
      <c r="F317" s="160" t="s">
        <v>144</v>
      </c>
      <c r="G317" s="160" t="s">
        <v>373</v>
      </c>
      <c r="H317" s="167">
        <v>5</v>
      </c>
      <c r="I317" s="167">
        <v>0</v>
      </c>
      <c r="J317" s="118">
        <v>32500000</v>
      </c>
      <c r="K317" s="126" t="s">
        <v>398</v>
      </c>
      <c r="L317" s="160" t="s">
        <v>158</v>
      </c>
      <c r="M317" s="166" t="s">
        <v>421</v>
      </c>
      <c r="N317" s="99" t="s">
        <v>198</v>
      </c>
      <c r="O317" s="151" t="s">
        <v>946</v>
      </c>
      <c r="P317" s="160" t="s">
        <v>348</v>
      </c>
      <c r="Q317" s="128">
        <v>80111600</v>
      </c>
      <c r="R317" s="166" t="s">
        <v>211</v>
      </c>
      <c r="S317" s="162" t="str">
        <f>MID(PAA[[#This Row],[Meta Proyecto de Inversión]],1,4)</f>
        <v>8173</v>
      </c>
      <c r="T317" s="162" t="str">
        <f>MID(PAA[[#This Row],[Meta Proyecto de Inversión]],6,1)</f>
        <v>2</v>
      </c>
      <c r="U317" s="163" t="str">
        <f>IFERROR(VLOOKUP(N317,TD!$B$50:$F$54,2,0)," ")</f>
        <v>O230117</v>
      </c>
      <c r="V317" s="163" t="str">
        <f>IFERROR(VLOOKUP(N317,TD!$B$50:$F$54,3,0)," ")</f>
        <v>4503</v>
      </c>
      <c r="W317" s="163">
        <f>IFERROR(VLOOKUP(N317,TD!$B$50:$F$54,4,0)," ")</f>
        <v>20240255</v>
      </c>
      <c r="X317" s="162" t="s">
        <v>164</v>
      </c>
      <c r="Y317" s="163" t="str">
        <f>IFERROR(VLOOKUP(X317,TD!$J$51:$K$64,2,0)," ")</f>
        <v>Servicio de atención a incidentes y emergencias.</v>
      </c>
      <c r="Z317" s="164" t="str">
        <f>CONCATENATE(X317,"-",Y317)</f>
        <v>04-Servicio de atención a incidentes y emergencias.</v>
      </c>
      <c r="AA317" s="162" t="s">
        <v>221</v>
      </c>
      <c r="AB317" s="163" t="str">
        <f>IFERROR(VLOOKUP(AA317,TD!$N$51:$O$66,2,0)," ")</f>
        <v>Servicio de atención a emergencias y desastres</v>
      </c>
      <c r="AC317" s="164" t="str">
        <f>CONCATENATE(AA317,"_",AB317)</f>
        <v>004_Servicio de atención a emergencias y desastres</v>
      </c>
      <c r="AD317" s="164" t="str">
        <f>CONCATENATE(Z317," ",AC317)</f>
        <v>04-Servicio de atención a incidentes y emergencias. 004_Servicio de atención a emergencias y desastres</v>
      </c>
      <c r="AE317" s="163" t="str">
        <f>CONCATENATE(U317,V317,W317,X317,AA317)</f>
        <v>O23011745032024025504004</v>
      </c>
      <c r="AF317" s="163" t="str">
        <f>IFERROR(VLOOKUP(AD317,TD!$J$66:$K$89,2,0)," ")</f>
        <v>PM/0131/0104/45030040255</v>
      </c>
      <c r="AG317" s="118" t="s">
        <v>385</v>
      </c>
      <c r="AH317" s="162" t="s">
        <v>194</v>
      </c>
      <c r="AI317" s="165" t="str">
        <f>CONCATENATE(PAA[[#This Row],[Id Interno]],"-",PAA[[#This Row],[tipo de Contrato (TH talento humano - B/S bienes y/o servicios)]],"-",S317,"-",T317,"-",PAA[[#This Row],[Objeto de la contratación]])</f>
        <v>20260296-TH-8173-2-ADICIÓN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v>
      </c>
    </row>
    <row r="318" spans="2:35" ht="70" x14ac:dyDescent="0.35">
      <c r="B318" s="23">
        <v>20260297</v>
      </c>
      <c r="C318" s="99" t="s">
        <v>944</v>
      </c>
      <c r="D318" s="99" t="s">
        <v>105</v>
      </c>
      <c r="E318" s="99" t="s">
        <v>363</v>
      </c>
      <c r="F318" s="160" t="s">
        <v>144</v>
      </c>
      <c r="G318" s="160" t="s">
        <v>373</v>
      </c>
      <c r="H318" s="167">
        <v>4</v>
      </c>
      <c r="I318" s="167">
        <v>15</v>
      </c>
      <c r="J318" s="118">
        <v>42750000</v>
      </c>
      <c r="K318" s="126" t="s">
        <v>398</v>
      </c>
      <c r="L318" s="160" t="s">
        <v>158</v>
      </c>
      <c r="M318" s="166" t="s">
        <v>421</v>
      </c>
      <c r="N318" s="99" t="s">
        <v>198</v>
      </c>
      <c r="O318" s="151" t="s">
        <v>946</v>
      </c>
      <c r="P318" s="160" t="s">
        <v>348</v>
      </c>
      <c r="Q318" s="128">
        <v>80111600</v>
      </c>
      <c r="R318" s="166" t="s">
        <v>211</v>
      </c>
      <c r="S318" s="162" t="str">
        <f>MID(PAA[[#This Row],[Meta Proyecto de Inversión]],1,4)</f>
        <v>8173</v>
      </c>
      <c r="T318" s="162" t="str">
        <f>MID(PAA[[#This Row],[Meta Proyecto de Inversión]],6,1)</f>
        <v>2</v>
      </c>
      <c r="U318" s="163" t="str">
        <f>IFERROR(VLOOKUP(N318,TD!$B$50:$F$54,2,0)," ")</f>
        <v>O230117</v>
      </c>
      <c r="V318" s="163" t="str">
        <f>IFERROR(VLOOKUP(N318,TD!$B$50:$F$54,3,0)," ")</f>
        <v>4503</v>
      </c>
      <c r="W318" s="163">
        <f>IFERROR(VLOOKUP(N318,TD!$B$50:$F$54,4,0)," ")</f>
        <v>20240255</v>
      </c>
      <c r="X318" s="162" t="s">
        <v>164</v>
      </c>
      <c r="Y318" s="163" t="str">
        <f>IFERROR(VLOOKUP(X318,TD!$J$51:$K$64,2,0)," ")</f>
        <v>Servicio de atención a incidentes y emergencias.</v>
      </c>
      <c r="Z318" s="164" t="str">
        <f>CONCATENATE(X318,"-",Y318)</f>
        <v>04-Servicio de atención a incidentes y emergencias.</v>
      </c>
      <c r="AA318" s="162" t="s">
        <v>221</v>
      </c>
      <c r="AB318" s="163" t="str">
        <f>IFERROR(VLOOKUP(AA318,TD!$N$51:$O$66,2,0)," ")</f>
        <v>Servicio de atención a emergencias y desastres</v>
      </c>
      <c r="AC318" s="164" t="str">
        <f>CONCATENATE(AA318,"_",AB318)</f>
        <v>004_Servicio de atención a emergencias y desastres</v>
      </c>
      <c r="AD318" s="164" t="str">
        <f>CONCATENATE(Z318," ",AC318)</f>
        <v>04-Servicio de atención a incidentes y emergencias. 004_Servicio de atención a emergencias y desastres</v>
      </c>
      <c r="AE318" s="163" t="str">
        <f>CONCATENATE(U318,V318,W318,X318,AA318)</f>
        <v>O23011745032024025504004</v>
      </c>
      <c r="AF318" s="163" t="str">
        <f>IFERROR(VLOOKUP(AD318,TD!$J$66:$K$89,2,0)," ")</f>
        <v>PM/0131/0104/45030040255</v>
      </c>
      <c r="AG318" s="118" t="s">
        <v>385</v>
      </c>
      <c r="AH318" s="162" t="s">
        <v>194</v>
      </c>
      <c r="AI318" s="165" t="str">
        <f>CONCATENATE(PAA[[#This Row],[Id Interno]],"-",PAA[[#This Row],[tipo de Contrato (TH talento humano - B/S bienes y/o servicios)]],"-",S318,"-",T318,"-",PAA[[#This Row],[Objeto de la contratación]])</f>
        <v>20260297-TH-8173-2-Adición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v>
      </c>
    </row>
    <row r="319" spans="2:35" ht="84" x14ac:dyDescent="0.35">
      <c r="B319" s="23">
        <v>20260298</v>
      </c>
      <c r="C319" s="99" t="s">
        <v>490</v>
      </c>
      <c r="D319" s="99" t="s">
        <v>105</v>
      </c>
      <c r="E319" s="99" t="s">
        <v>363</v>
      </c>
      <c r="F319" s="160" t="s">
        <v>144</v>
      </c>
      <c r="G319" s="160" t="s">
        <v>373</v>
      </c>
      <c r="H319" s="167">
        <v>4</v>
      </c>
      <c r="I319" s="167">
        <v>15</v>
      </c>
      <c r="J319" s="118">
        <v>42750000</v>
      </c>
      <c r="K319" s="126" t="s">
        <v>398</v>
      </c>
      <c r="L319" s="160" t="s">
        <v>158</v>
      </c>
      <c r="M319" s="166" t="s">
        <v>421</v>
      </c>
      <c r="N319" s="99" t="s">
        <v>198</v>
      </c>
      <c r="O319" s="151" t="s">
        <v>946</v>
      </c>
      <c r="P319" s="160" t="s">
        <v>348</v>
      </c>
      <c r="Q319" s="128">
        <v>80111600</v>
      </c>
      <c r="R319" s="166" t="s">
        <v>211</v>
      </c>
      <c r="S319" s="162" t="str">
        <f>MID(PAA[[#This Row],[Meta Proyecto de Inversión]],1,4)</f>
        <v>8173</v>
      </c>
      <c r="T319" s="162" t="str">
        <f>MID(PAA[[#This Row],[Meta Proyecto de Inversión]],6,1)</f>
        <v>2</v>
      </c>
      <c r="U319" s="163" t="str">
        <f>IFERROR(VLOOKUP(N319,TD!$B$50:$F$54,2,0)," ")</f>
        <v>O230117</v>
      </c>
      <c r="V319" s="163" t="str">
        <f>IFERROR(VLOOKUP(N319,TD!$B$50:$F$54,3,0)," ")</f>
        <v>4503</v>
      </c>
      <c r="W319" s="163">
        <f>IFERROR(VLOOKUP(N319,TD!$B$50:$F$54,4,0)," ")</f>
        <v>20240255</v>
      </c>
      <c r="X319" s="162" t="s">
        <v>164</v>
      </c>
      <c r="Y319" s="163" t="str">
        <f>IFERROR(VLOOKUP(X319,TD!$J$51:$K$64,2,0)," ")</f>
        <v>Servicio de atención a incidentes y emergencias.</v>
      </c>
      <c r="Z319" s="164" t="str">
        <f>CONCATENATE(X319,"-",Y319)</f>
        <v>04-Servicio de atención a incidentes y emergencias.</v>
      </c>
      <c r="AA319" s="162" t="s">
        <v>221</v>
      </c>
      <c r="AB319" s="163" t="str">
        <f>IFERROR(VLOOKUP(AA319,TD!$N$51:$O$66,2,0)," ")</f>
        <v>Servicio de atención a emergencias y desastres</v>
      </c>
      <c r="AC319" s="164" t="str">
        <f>CONCATENATE(AA319,"_",AB319)</f>
        <v>004_Servicio de atención a emergencias y desastres</v>
      </c>
      <c r="AD319" s="164" t="str">
        <f>CONCATENATE(Z319," ",AC319)</f>
        <v>04-Servicio de atención a incidentes y emergencias. 004_Servicio de atención a emergencias y desastres</v>
      </c>
      <c r="AE319" s="163" t="str">
        <f>CONCATENATE(U319,V319,W319,X319,AA319)</f>
        <v>O23011745032024025504004</v>
      </c>
      <c r="AF319" s="163" t="str">
        <f>IFERROR(VLOOKUP(AD319,TD!$J$66:$K$89,2,0)," ")</f>
        <v>PM/0131/0104/45030040255</v>
      </c>
      <c r="AG319" s="118" t="s">
        <v>385</v>
      </c>
      <c r="AH319" s="162" t="s">
        <v>194</v>
      </c>
      <c r="AI319" s="165" t="str">
        <f>CONCATENATE(PAA[[#This Row],[Id Interno]],"-",PAA[[#This Row],[tipo de Contrato (TH talento humano - B/S bienes y/o servicios)]],"-",S319,"-",T319,"-",PAA[[#This Row],[Objeto de la contratación]])</f>
        <v>20260298-TH-8173-2-ADICIÓN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v>
      </c>
    </row>
    <row r="320" spans="2:35" ht="70" x14ac:dyDescent="0.35">
      <c r="B320" s="23">
        <v>20260299</v>
      </c>
      <c r="C320" s="99" t="s">
        <v>491</v>
      </c>
      <c r="D320" s="99" t="s">
        <v>105</v>
      </c>
      <c r="E320" s="99" t="s">
        <v>363</v>
      </c>
      <c r="F320" s="160" t="s">
        <v>144</v>
      </c>
      <c r="G320" s="160" t="s">
        <v>373</v>
      </c>
      <c r="H320" s="167">
        <v>3</v>
      </c>
      <c r="I320" s="167">
        <v>0</v>
      </c>
      <c r="J320" s="118">
        <v>28500000</v>
      </c>
      <c r="K320" s="126" t="s">
        <v>398</v>
      </c>
      <c r="L320" s="160" t="s">
        <v>158</v>
      </c>
      <c r="M320" s="166" t="s">
        <v>421</v>
      </c>
      <c r="N320" s="99" t="s">
        <v>198</v>
      </c>
      <c r="O320" s="151" t="s">
        <v>946</v>
      </c>
      <c r="P320" s="160" t="s">
        <v>348</v>
      </c>
      <c r="Q320" s="128">
        <v>80111600</v>
      </c>
      <c r="R320" s="166" t="s">
        <v>211</v>
      </c>
      <c r="S320" s="162" t="str">
        <f>MID(PAA[[#This Row],[Meta Proyecto de Inversión]],1,4)</f>
        <v>8173</v>
      </c>
      <c r="T320" s="162" t="str">
        <f>MID(PAA[[#This Row],[Meta Proyecto de Inversión]],6,1)</f>
        <v>2</v>
      </c>
      <c r="U320" s="163" t="str">
        <f>IFERROR(VLOOKUP(N320,TD!$B$50:$F$54,2,0)," ")</f>
        <v>O230117</v>
      </c>
      <c r="V320" s="163" t="str">
        <f>IFERROR(VLOOKUP(N320,TD!$B$50:$F$54,3,0)," ")</f>
        <v>4503</v>
      </c>
      <c r="W320" s="163">
        <f>IFERROR(VLOOKUP(N320,TD!$B$50:$F$54,4,0)," ")</f>
        <v>20240255</v>
      </c>
      <c r="X320" s="162" t="s">
        <v>164</v>
      </c>
      <c r="Y320" s="163" t="str">
        <f>IFERROR(VLOOKUP(X320,TD!$J$51:$K$64,2,0)," ")</f>
        <v>Servicio de atención a incidentes y emergencias.</v>
      </c>
      <c r="Z320" s="164" t="str">
        <f>CONCATENATE(X320,"-",Y320)</f>
        <v>04-Servicio de atención a incidentes y emergencias.</v>
      </c>
      <c r="AA320" s="162" t="s">
        <v>221</v>
      </c>
      <c r="AB320" s="163" t="str">
        <f>IFERROR(VLOOKUP(AA320,TD!$N$51:$O$66,2,0)," ")</f>
        <v>Servicio de atención a emergencias y desastres</v>
      </c>
      <c r="AC320" s="164" t="str">
        <f>CONCATENATE(AA320,"_",AB320)</f>
        <v>004_Servicio de atención a emergencias y desastres</v>
      </c>
      <c r="AD320" s="164" t="str">
        <f>CONCATENATE(Z320," ",AC320)</f>
        <v>04-Servicio de atención a incidentes y emergencias. 004_Servicio de atención a emergencias y desastres</v>
      </c>
      <c r="AE320" s="163" t="str">
        <f>CONCATENATE(U320,V320,W320,X320,AA320)</f>
        <v>O23011745032024025504004</v>
      </c>
      <c r="AF320" s="163" t="str">
        <f>IFERROR(VLOOKUP(AD320,TD!$J$66:$K$89,2,0)," ")</f>
        <v>PM/0131/0104/45030040255</v>
      </c>
      <c r="AG320" s="118" t="s">
        <v>385</v>
      </c>
      <c r="AH320" s="162" t="s">
        <v>194</v>
      </c>
      <c r="AI320" s="165" t="str">
        <f>CONCATENATE(PAA[[#This Row],[Id Interno]],"-",PAA[[#This Row],[tipo de Contrato (TH talento humano - B/S bienes y/o servicios)]],"-",S320,"-",T320,"-",PAA[[#This Row],[Objeto de la contratación]])</f>
        <v>20260299-TH-8173-2-ADICIÓN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v>
      </c>
    </row>
    <row r="321" spans="2:35" ht="84" x14ac:dyDescent="0.35">
      <c r="B321" s="23">
        <v>20260300</v>
      </c>
      <c r="C321" s="99" t="s">
        <v>872</v>
      </c>
      <c r="D321" s="99" t="s">
        <v>105</v>
      </c>
      <c r="E321" s="99" t="s">
        <v>363</v>
      </c>
      <c r="F321" s="160" t="s">
        <v>144</v>
      </c>
      <c r="G321" s="160" t="s">
        <v>373</v>
      </c>
      <c r="H321" s="167">
        <v>8</v>
      </c>
      <c r="I321" s="167">
        <v>0</v>
      </c>
      <c r="J321" s="118">
        <v>72000000</v>
      </c>
      <c r="K321" s="126" t="s">
        <v>398</v>
      </c>
      <c r="L321" s="160" t="s">
        <v>158</v>
      </c>
      <c r="M321" s="166" t="s">
        <v>421</v>
      </c>
      <c r="N321" s="99" t="s">
        <v>198</v>
      </c>
      <c r="O321" s="151" t="s">
        <v>946</v>
      </c>
      <c r="P321" s="160" t="s">
        <v>348</v>
      </c>
      <c r="Q321" s="128">
        <v>80111600</v>
      </c>
      <c r="R321" s="166" t="s">
        <v>211</v>
      </c>
      <c r="S321" s="162" t="str">
        <f>MID(PAA[[#This Row],[Meta Proyecto de Inversión]],1,4)</f>
        <v>8173</v>
      </c>
      <c r="T321" s="162" t="str">
        <f>MID(PAA[[#This Row],[Meta Proyecto de Inversión]],6,1)</f>
        <v>2</v>
      </c>
      <c r="U321" s="163" t="str">
        <f>IFERROR(VLOOKUP(N321,TD!$B$50:$F$54,2,0)," ")</f>
        <v>O230117</v>
      </c>
      <c r="V321" s="163" t="str">
        <f>IFERROR(VLOOKUP(N321,TD!$B$50:$F$54,3,0)," ")</f>
        <v>4503</v>
      </c>
      <c r="W321" s="163">
        <f>IFERROR(VLOOKUP(N321,TD!$B$50:$F$54,4,0)," ")</f>
        <v>20240255</v>
      </c>
      <c r="X321" s="162" t="s">
        <v>164</v>
      </c>
      <c r="Y321" s="163" t="str">
        <f>IFERROR(VLOOKUP(X321,TD!$J$51:$K$64,2,0)," ")</f>
        <v>Servicio de atención a incidentes y emergencias.</v>
      </c>
      <c r="Z321" s="164" t="str">
        <f>CONCATENATE(X321,"-",Y321)</f>
        <v>04-Servicio de atención a incidentes y emergencias.</v>
      </c>
      <c r="AA321" s="162" t="s">
        <v>221</v>
      </c>
      <c r="AB321" s="163" t="str">
        <f>IFERROR(VLOOKUP(AA321,TD!$N$51:$O$66,2,0)," ")</f>
        <v>Servicio de atención a emergencias y desastres</v>
      </c>
      <c r="AC321" s="164" t="str">
        <f>CONCATENATE(AA321,"_",AB321)</f>
        <v>004_Servicio de atención a emergencias y desastres</v>
      </c>
      <c r="AD321" s="164" t="str">
        <f>CONCATENATE(Z321," ",AC321)</f>
        <v>04-Servicio de atención a incidentes y emergencias. 004_Servicio de atención a emergencias y desastres</v>
      </c>
      <c r="AE321" s="163" t="str">
        <f>CONCATENATE(U321,V321,W321,X321,AA321)</f>
        <v>O23011745032024025504004</v>
      </c>
      <c r="AF321" s="163" t="str">
        <f>IFERROR(VLOOKUP(AD321,TD!$J$66:$K$89,2,0)," ")</f>
        <v>PM/0131/0104/45030040255</v>
      </c>
      <c r="AG321" s="118" t="s">
        <v>385</v>
      </c>
      <c r="AH321" s="162" t="s">
        <v>193</v>
      </c>
      <c r="AI321" s="165" t="str">
        <f>CONCATENATE(PAA[[#This Row],[Id Interno]],"-",PAA[[#This Row],[tipo de Contrato (TH talento humano - B/S bienes y/o servicios)]],"-",S321,"-",T321,"-",PAA[[#This Row],[Objeto de la contratación]])</f>
        <v>20260300-TH-8173-2-Prestación de servicios profesionales para apoyar jurídicamente los proyectos, procesos y procedimientos, para e desarrollo de los programas de la subdirección operativa-S.O</v>
      </c>
    </row>
    <row r="322" spans="2:35" ht="70" x14ac:dyDescent="0.35">
      <c r="B322" s="23">
        <v>20260301</v>
      </c>
      <c r="C322" s="99" t="s">
        <v>873</v>
      </c>
      <c r="D322" s="99" t="s">
        <v>105</v>
      </c>
      <c r="E322" s="99" t="s">
        <v>363</v>
      </c>
      <c r="F322" s="160" t="s">
        <v>144</v>
      </c>
      <c r="G322" s="160" t="s">
        <v>373</v>
      </c>
      <c r="H322" s="167">
        <v>10</v>
      </c>
      <c r="I322" s="167">
        <v>0</v>
      </c>
      <c r="J322" s="118">
        <v>97000000</v>
      </c>
      <c r="K322" s="126" t="s">
        <v>398</v>
      </c>
      <c r="L322" s="160" t="s">
        <v>158</v>
      </c>
      <c r="M322" s="166" t="s">
        <v>421</v>
      </c>
      <c r="N322" s="99" t="s">
        <v>198</v>
      </c>
      <c r="O322" s="151" t="s">
        <v>946</v>
      </c>
      <c r="P322" s="160" t="s">
        <v>348</v>
      </c>
      <c r="Q322" s="128">
        <v>80111600</v>
      </c>
      <c r="R322" s="166" t="s">
        <v>211</v>
      </c>
      <c r="S322" s="162" t="str">
        <f>MID(PAA[[#This Row],[Meta Proyecto de Inversión]],1,4)</f>
        <v>8173</v>
      </c>
      <c r="T322" s="162" t="str">
        <f>MID(PAA[[#This Row],[Meta Proyecto de Inversión]],6,1)</f>
        <v>2</v>
      </c>
      <c r="U322" s="163" t="str">
        <f>IFERROR(VLOOKUP(N322,TD!$B$50:$F$54,2,0)," ")</f>
        <v>O230117</v>
      </c>
      <c r="V322" s="163" t="str">
        <f>IFERROR(VLOOKUP(N322,TD!$B$50:$F$54,3,0)," ")</f>
        <v>4503</v>
      </c>
      <c r="W322" s="163">
        <f>IFERROR(VLOOKUP(N322,TD!$B$50:$F$54,4,0)," ")</f>
        <v>20240255</v>
      </c>
      <c r="X322" s="162" t="s">
        <v>164</v>
      </c>
      <c r="Y322" s="163" t="str">
        <f>IFERROR(VLOOKUP(X322,TD!$J$51:$K$64,2,0)," ")</f>
        <v>Servicio de atención a incidentes y emergencias.</v>
      </c>
      <c r="Z322" s="164" t="str">
        <f>CONCATENATE(X322,"-",Y322)</f>
        <v>04-Servicio de atención a incidentes y emergencias.</v>
      </c>
      <c r="AA322" s="162" t="s">
        <v>221</v>
      </c>
      <c r="AB322" s="163" t="str">
        <f>IFERROR(VLOOKUP(AA322,TD!$N$51:$O$66,2,0)," ")</f>
        <v>Servicio de atención a emergencias y desastres</v>
      </c>
      <c r="AC322" s="164" t="str">
        <f>CONCATENATE(AA322,"_",AB322)</f>
        <v>004_Servicio de atención a emergencias y desastres</v>
      </c>
      <c r="AD322" s="164" t="str">
        <f>CONCATENATE(Z322," ",AC322)</f>
        <v>04-Servicio de atención a incidentes y emergencias. 004_Servicio de atención a emergencias y desastres</v>
      </c>
      <c r="AE322" s="163" t="str">
        <f>CONCATENATE(U322,V322,W322,X322,AA322)</f>
        <v>O23011745032024025504004</v>
      </c>
      <c r="AF322" s="163" t="str">
        <f>IFERROR(VLOOKUP(AD322,TD!$J$66:$K$89,2,0)," ")</f>
        <v>PM/0131/0104/45030040255</v>
      </c>
      <c r="AG322" s="118" t="s">
        <v>385</v>
      </c>
      <c r="AH322" s="162" t="s">
        <v>193</v>
      </c>
      <c r="AI322" s="165" t="str">
        <f>CONCATENATE(PAA[[#This Row],[Id Interno]],"-",PAA[[#This Row],[tipo de Contrato (TH talento humano - B/S bienes y/o servicios)]],"-",S322,"-",T322,"-",PAA[[#This Row],[Objeto de la contratación]])</f>
        <v>20260301-TH-8173-2-Prestar servicios profesionales  para apoyar el fortalecimiento, articulación, seguimiento y gestión de los proyectos de inversión,  planes e indicadores de gestión, para el desarrollo de los programas de la Subdirección Operativa-S.O.</v>
      </c>
    </row>
    <row r="323" spans="2:35" ht="66" customHeight="1" x14ac:dyDescent="0.35">
      <c r="B323" s="23">
        <v>20260302</v>
      </c>
      <c r="C323" s="99" t="s">
        <v>874</v>
      </c>
      <c r="D323" s="99" t="s">
        <v>105</v>
      </c>
      <c r="E323" s="99" t="s">
        <v>363</v>
      </c>
      <c r="F323" s="160" t="s">
        <v>144</v>
      </c>
      <c r="G323" s="160" t="s">
        <v>373</v>
      </c>
      <c r="H323" s="167">
        <v>8</v>
      </c>
      <c r="I323" s="167">
        <v>0</v>
      </c>
      <c r="J323" s="118">
        <v>37600000</v>
      </c>
      <c r="K323" s="126" t="s">
        <v>398</v>
      </c>
      <c r="L323" s="160" t="s">
        <v>158</v>
      </c>
      <c r="M323" s="166" t="s">
        <v>421</v>
      </c>
      <c r="N323" s="99" t="s">
        <v>198</v>
      </c>
      <c r="O323" s="151" t="s">
        <v>946</v>
      </c>
      <c r="P323" s="160" t="s">
        <v>348</v>
      </c>
      <c r="Q323" s="128">
        <v>80111600</v>
      </c>
      <c r="R323" s="166" t="s">
        <v>211</v>
      </c>
      <c r="S323" s="162" t="str">
        <f>MID(PAA[[#This Row],[Meta Proyecto de Inversión]],1,4)</f>
        <v>8173</v>
      </c>
      <c r="T323" s="162" t="str">
        <f>MID(PAA[[#This Row],[Meta Proyecto de Inversión]],6,1)</f>
        <v>2</v>
      </c>
      <c r="U323" s="163" t="str">
        <f>IFERROR(VLOOKUP(N323,TD!$B$50:$F$54,2,0)," ")</f>
        <v>O230117</v>
      </c>
      <c r="V323" s="163" t="str">
        <f>IFERROR(VLOOKUP(N323,TD!$B$50:$F$54,3,0)," ")</f>
        <v>4503</v>
      </c>
      <c r="W323" s="163">
        <f>IFERROR(VLOOKUP(N323,TD!$B$50:$F$54,4,0)," ")</f>
        <v>20240255</v>
      </c>
      <c r="X323" s="162" t="s">
        <v>164</v>
      </c>
      <c r="Y323" s="163" t="str">
        <f>IFERROR(VLOOKUP(X323,TD!$J$51:$K$64,2,0)," ")</f>
        <v>Servicio de atención a incidentes y emergencias.</v>
      </c>
      <c r="Z323" s="164" t="str">
        <f>CONCATENATE(X323,"-",Y323)</f>
        <v>04-Servicio de atención a incidentes y emergencias.</v>
      </c>
      <c r="AA323" s="162" t="s">
        <v>221</v>
      </c>
      <c r="AB323" s="163" t="str">
        <f>IFERROR(VLOOKUP(AA323,TD!$N$51:$O$66,2,0)," ")</f>
        <v>Servicio de atención a emergencias y desastres</v>
      </c>
      <c r="AC323" s="164" t="str">
        <f>CONCATENATE(AA323,"_",AB323)</f>
        <v>004_Servicio de atención a emergencias y desastres</v>
      </c>
      <c r="AD323" s="164" t="str">
        <f>CONCATENATE(Z323," ",AC323)</f>
        <v>04-Servicio de atención a incidentes y emergencias. 004_Servicio de atención a emergencias y desastres</v>
      </c>
      <c r="AE323" s="163" t="str">
        <f>CONCATENATE(U323,V323,W323,X323,AA323)</f>
        <v>O23011745032024025504004</v>
      </c>
      <c r="AF323" s="163" t="str">
        <f>IFERROR(VLOOKUP(AD323,TD!$J$66:$K$89,2,0)," ")</f>
        <v>PM/0131/0104/45030040255</v>
      </c>
      <c r="AG323" s="118" t="s">
        <v>385</v>
      </c>
      <c r="AH323" s="162" t="s">
        <v>193</v>
      </c>
      <c r="AI323" s="165" t="str">
        <f>CONCATENATE(PAA[[#This Row],[Id Interno]],"-",PAA[[#This Row],[tipo de Contrato (TH talento humano - B/S bienes y/o servicios)]],"-",S323,"-",T323,"-",PAA[[#This Row],[Objeto de la contratación]])</f>
        <v>20260302-TH-8173-2-Prestación de servicios profesionales para realizar el seguimiento, verificación, control y  diligenciamiento de los requerimientos propios, en los sistemas de información de la Entidad, para el desarrollo de los programas de la Subdirección Operativa-S.O.</v>
      </c>
    </row>
    <row r="324" spans="2:35" ht="56" x14ac:dyDescent="0.35">
      <c r="B324" s="23">
        <v>20260303</v>
      </c>
      <c r="C324" s="99" t="s">
        <v>875</v>
      </c>
      <c r="D324" s="99" t="s">
        <v>105</v>
      </c>
      <c r="E324" s="99" t="s">
        <v>363</v>
      </c>
      <c r="F324" s="160" t="s">
        <v>144</v>
      </c>
      <c r="G324" s="160" t="s">
        <v>373</v>
      </c>
      <c r="H324" s="167">
        <v>10</v>
      </c>
      <c r="I324" s="167">
        <v>0</v>
      </c>
      <c r="J324" s="118">
        <v>97000000</v>
      </c>
      <c r="K324" s="126" t="s">
        <v>398</v>
      </c>
      <c r="L324" s="160" t="s">
        <v>158</v>
      </c>
      <c r="M324" s="166" t="s">
        <v>421</v>
      </c>
      <c r="N324" s="99" t="s">
        <v>198</v>
      </c>
      <c r="O324" s="151" t="s">
        <v>946</v>
      </c>
      <c r="P324" s="160" t="s">
        <v>348</v>
      </c>
      <c r="Q324" s="128">
        <v>80111600</v>
      </c>
      <c r="R324" s="166" t="s">
        <v>211</v>
      </c>
      <c r="S324" s="162" t="str">
        <f>MID(PAA[[#This Row],[Meta Proyecto de Inversión]],1,4)</f>
        <v>8173</v>
      </c>
      <c r="T324" s="162" t="str">
        <f>MID(PAA[[#This Row],[Meta Proyecto de Inversión]],6,1)</f>
        <v>2</v>
      </c>
      <c r="U324" s="163" t="str">
        <f>IFERROR(VLOOKUP(N324,TD!$B$50:$F$54,2,0)," ")</f>
        <v>O230117</v>
      </c>
      <c r="V324" s="163" t="str">
        <f>IFERROR(VLOOKUP(N324,TD!$B$50:$F$54,3,0)," ")</f>
        <v>4503</v>
      </c>
      <c r="W324" s="163">
        <f>IFERROR(VLOOKUP(N324,TD!$B$50:$F$54,4,0)," ")</f>
        <v>20240255</v>
      </c>
      <c r="X324" s="162" t="s">
        <v>164</v>
      </c>
      <c r="Y324" s="163" t="str">
        <f>IFERROR(VLOOKUP(X324,TD!$J$51:$K$64,2,0)," ")</f>
        <v>Servicio de atención a incidentes y emergencias.</v>
      </c>
      <c r="Z324" s="164" t="str">
        <f>CONCATENATE(X324,"-",Y324)</f>
        <v>04-Servicio de atención a incidentes y emergencias.</v>
      </c>
      <c r="AA324" s="162" t="s">
        <v>221</v>
      </c>
      <c r="AB324" s="163" t="str">
        <f>IFERROR(VLOOKUP(AA324,TD!$N$51:$O$66,2,0)," ")</f>
        <v>Servicio de atención a emergencias y desastres</v>
      </c>
      <c r="AC324" s="164" t="str">
        <f>CONCATENATE(AA324,"_",AB324)</f>
        <v>004_Servicio de atención a emergencias y desastres</v>
      </c>
      <c r="AD324" s="164" t="str">
        <f>CONCATENATE(Z324," ",AC324)</f>
        <v>04-Servicio de atención a incidentes y emergencias. 004_Servicio de atención a emergencias y desastres</v>
      </c>
      <c r="AE324" s="163" t="str">
        <f>CONCATENATE(U324,V324,W324,X324,AA324)</f>
        <v>O23011745032024025504004</v>
      </c>
      <c r="AF324" s="163" t="str">
        <f>IFERROR(VLOOKUP(AD324,TD!$J$66:$K$89,2,0)," ")</f>
        <v>PM/0131/0104/45030040255</v>
      </c>
      <c r="AG324" s="118" t="s">
        <v>385</v>
      </c>
      <c r="AH324" s="162" t="s">
        <v>193</v>
      </c>
      <c r="AI324" s="165" t="str">
        <f>CONCATENATE(PAA[[#This Row],[Id Interno]],"-",PAA[[#This Row],[tipo de Contrato (TH talento humano - B/S bienes y/o servicios)]],"-",S324,"-",T324,"-",PAA[[#This Row],[Objeto de la contratación]])</f>
        <v>20260303-TH-8173-2-Prestación de servicios profesionales para liderar y gestionar los temas operativos, incluyendo  el trabajo articulado con tecnología para implementar el sistema de información   de emergencias,  para el desarrollo de los programas  de la Subdirección Operativa-S.O.</v>
      </c>
    </row>
    <row r="325" spans="2:35" ht="70" x14ac:dyDescent="0.35">
      <c r="B325" s="23">
        <v>20260304</v>
      </c>
      <c r="C325" s="99" t="s">
        <v>876</v>
      </c>
      <c r="D325" s="99" t="s">
        <v>105</v>
      </c>
      <c r="E325" s="99" t="s">
        <v>363</v>
      </c>
      <c r="F325" s="160" t="s">
        <v>144</v>
      </c>
      <c r="G325" s="160" t="s">
        <v>373</v>
      </c>
      <c r="H325" s="167">
        <v>8</v>
      </c>
      <c r="I325" s="167">
        <v>0</v>
      </c>
      <c r="J325" s="118">
        <v>44800000</v>
      </c>
      <c r="K325" s="126" t="s">
        <v>398</v>
      </c>
      <c r="L325" s="160" t="s">
        <v>158</v>
      </c>
      <c r="M325" s="166" t="s">
        <v>421</v>
      </c>
      <c r="N325" s="99" t="s">
        <v>198</v>
      </c>
      <c r="O325" s="151" t="s">
        <v>946</v>
      </c>
      <c r="P325" s="160" t="s">
        <v>348</v>
      </c>
      <c r="Q325" s="128">
        <v>80111600</v>
      </c>
      <c r="R325" s="166" t="s">
        <v>211</v>
      </c>
      <c r="S325" s="162" t="str">
        <f>MID(PAA[[#This Row],[Meta Proyecto de Inversión]],1,4)</f>
        <v>8173</v>
      </c>
      <c r="T325" s="162" t="str">
        <f>MID(PAA[[#This Row],[Meta Proyecto de Inversión]],6,1)</f>
        <v>2</v>
      </c>
      <c r="U325" s="163" t="str">
        <f>IFERROR(VLOOKUP(N325,TD!$B$50:$F$54,2,0)," ")</f>
        <v>O230117</v>
      </c>
      <c r="V325" s="163" t="str">
        <f>IFERROR(VLOOKUP(N325,TD!$B$50:$F$54,3,0)," ")</f>
        <v>4503</v>
      </c>
      <c r="W325" s="163">
        <f>IFERROR(VLOOKUP(N325,TD!$B$50:$F$54,4,0)," ")</f>
        <v>20240255</v>
      </c>
      <c r="X325" s="162" t="s">
        <v>164</v>
      </c>
      <c r="Y325" s="163" t="str">
        <f>IFERROR(VLOOKUP(X325,TD!$J$51:$K$64,2,0)," ")</f>
        <v>Servicio de atención a incidentes y emergencias.</v>
      </c>
      <c r="Z325" s="164" t="str">
        <f>CONCATENATE(X325,"-",Y325)</f>
        <v>04-Servicio de atención a incidentes y emergencias.</v>
      </c>
      <c r="AA325" s="162" t="s">
        <v>221</v>
      </c>
      <c r="AB325" s="163" t="str">
        <f>IFERROR(VLOOKUP(AA325,TD!$N$51:$O$66,2,0)," ")</f>
        <v>Servicio de atención a emergencias y desastres</v>
      </c>
      <c r="AC325" s="164" t="str">
        <f>CONCATENATE(AA325,"_",AB325)</f>
        <v>004_Servicio de atención a emergencias y desastres</v>
      </c>
      <c r="AD325" s="164" t="str">
        <f>CONCATENATE(Z325," ",AC325)</f>
        <v>04-Servicio de atención a incidentes y emergencias. 004_Servicio de atención a emergencias y desastres</v>
      </c>
      <c r="AE325" s="163" t="str">
        <f>CONCATENATE(U325,V325,W325,X325,AA325)</f>
        <v>O23011745032024025504004</v>
      </c>
      <c r="AF325" s="163" t="str">
        <f>IFERROR(VLOOKUP(AD325,TD!$J$66:$K$89,2,0)," ")</f>
        <v>PM/0131/0104/45030040255</v>
      </c>
      <c r="AG325" s="118" t="s">
        <v>385</v>
      </c>
      <c r="AH325" s="162" t="s">
        <v>193</v>
      </c>
      <c r="AI325" s="165" t="str">
        <f>CONCATENATE(PAA[[#This Row],[Id Interno]],"-",PAA[[#This Row],[tipo de Contrato (TH talento humano - B/S bienes y/o servicios)]],"-",S325,"-",T325,"-",PAA[[#This Row],[Objeto de la contratación]])</f>
        <v>20260304-TH-8173-2-Prestación de servicios profesionales para la elaboración, diagramación de piezas gráficas con estilos de textos e informes requeridos frente a los procesos y procedimientos, para el desarrollo de los programas de la Subdirección Operativa-S.O.</v>
      </c>
    </row>
    <row r="326" spans="2:35" ht="70" x14ac:dyDescent="0.35">
      <c r="B326" s="23">
        <v>20260305</v>
      </c>
      <c r="C326" s="99" t="s">
        <v>877</v>
      </c>
      <c r="D326" s="99" t="s">
        <v>105</v>
      </c>
      <c r="E326" s="99" t="s">
        <v>363</v>
      </c>
      <c r="F326" s="160" t="s">
        <v>144</v>
      </c>
      <c r="G326" s="160" t="s">
        <v>373</v>
      </c>
      <c r="H326" s="167">
        <v>9</v>
      </c>
      <c r="I326" s="167">
        <v>0</v>
      </c>
      <c r="J326" s="118">
        <v>29700000</v>
      </c>
      <c r="K326" s="126" t="s">
        <v>398</v>
      </c>
      <c r="L326" s="160" t="s">
        <v>158</v>
      </c>
      <c r="M326" s="166" t="s">
        <v>421</v>
      </c>
      <c r="N326" s="99" t="s">
        <v>198</v>
      </c>
      <c r="O326" s="151" t="s">
        <v>946</v>
      </c>
      <c r="P326" s="160" t="s">
        <v>348</v>
      </c>
      <c r="Q326" s="128">
        <v>80111600</v>
      </c>
      <c r="R326" s="166" t="s">
        <v>211</v>
      </c>
      <c r="S326" s="162" t="str">
        <f>MID(PAA[[#This Row],[Meta Proyecto de Inversión]],1,4)</f>
        <v>8173</v>
      </c>
      <c r="T326" s="162" t="str">
        <f>MID(PAA[[#This Row],[Meta Proyecto de Inversión]],6,1)</f>
        <v>2</v>
      </c>
      <c r="U326" s="163" t="str">
        <f>IFERROR(VLOOKUP(N326,TD!$B$50:$F$54,2,0)," ")</f>
        <v>O230117</v>
      </c>
      <c r="V326" s="163" t="str">
        <f>IFERROR(VLOOKUP(N326,TD!$B$50:$F$54,3,0)," ")</f>
        <v>4503</v>
      </c>
      <c r="W326" s="163">
        <f>IFERROR(VLOOKUP(N326,TD!$B$50:$F$54,4,0)," ")</f>
        <v>20240255</v>
      </c>
      <c r="X326" s="162" t="s">
        <v>164</v>
      </c>
      <c r="Y326" s="163" t="str">
        <f>IFERROR(VLOOKUP(X326,TD!$J$51:$K$64,2,0)," ")</f>
        <v>Servicio de atención a incidentes y emergencias.</v>
      </c>
      <c r="Z326" s="164" t="str">
        <f>CONCATENATE(X326,"-",Y326)</f>
        <v>04-Servicio de atención a incidentes y emergencias.</v>
      </c>
      <c r="AA326" s="162" t="s">
        <v>221</v>
      </c>
      <c r="AB326" s="163" t="str">
        <f>IFERROR(VLOOKUP(AA326,TD!$N$51:$O$66,2,0)," ")</f>
        <v>Servicio de atención a emergencias y desastres</v>
      </c>
      <c r="AC326" s="164" t="str">
        <f>CONCATENATE(AA326,"_",AB326)</f>
        <v>004_Servicio de atención a emergencias y desastres</v>
      </c>
      <c r="AD326" s="164" t="str">
        <f>CONCATENATE(Z326," ",AC326)</f>
        <v>04-Servicio de atención a incidentes y emergencias. 004_Servicio de atención a emergencias y desastres</v>
      </c>
      <c r="AE326" s="163" t="str">
        <f>CONCATENATE(U326,V326,W326,X326,AA326)</f>
        <v>O23011745032024025504004</v>
      </c>
      <c r="AF326" s="163" t="str">
        <f>IFERROR(VLOOKUP(AD326,TD!$J$66:$K$89,2,0)," ")</f>
        <v>PM/0131/0104/45030040255</v>
      </c>
      <c r="AG326" s="118" t="s">
        <v>385</v>
      </c>
      <c r="AH326" s="162" t="s">
        <v>193</v>
      </c>
      <c r="AI326" s="165" t="str">
        <f>CONCATENATE(PAA[[#This Row],[Id Interno]],"-",PAA[[#This Row],[tipo de Contrato (TH talento humano - B/S bienes y/o servicios)]],"-",S326,"-",T326,"-",PAA[[#This Row],[Objeto de la contratación]])</f>
        <v>20260305-TH-8173-2-Prestación de servicios de apoyo para ejecutar las actividades administrativas, trámite, seguimiento y verificación de solicitudes recibidas en el canal de comunicación de gestión operativa para el desarrollo de los programas de la Subdirección Operativa-S.O.</v>
      </c>
    </row>
    <row r="327" spans="2:35" ht="70" x14ac:dyDescent="0.35">
      <c r="B327" s="23">
        <v>20260306</v>
      </c>
      <c r="C327" s="99" t="s">
        <v>878</v>
      </c>
      <c r="D327" s="99" t="s">
        <v>105</v>
      </c>
      <c r="E327" s="99" t="s">
        <v>363</v>
      </c>
      <c r="F327" s="160" t="s">
        <v>144</v>
      </c>
      <c r="G327" s="160" t="s">
        <v>373</v>
      </c>
      <c r="H327" s="167">
        <v>10</v>
      </c>
      <c r="I327" s="167">
        <v>0</v>
      </c>
      <c r="J327" s="118">
        <v>67000000</v>
      </c>
      <c r="K327" s="126" t="s">
        <v>398</v>
      </c>
      <c r="L327" s="160" t="s">
        <v>158</v>
      </c>
      <c r="M327" s="166" t="s">
        <v>421</v>
      </c>
      <c r="N327" s="99" t="s">
        <v>198</v>
      </c>
      <c r="O327" s="151" t="s">
        <v>946</v>
      </c>
      <c r="P327" s="160" t="s">
        <v>348</v>
      </c>
      <c r="Q327" s="128">
        <v>80111600</v>
      </c>
      <c r="R327" s="166" t="s">
        <v>211</v>
      </c>
      <c r="S327" s="162" t="str">
        <f>MID(PAA[[#This Row],[Meta Proyecto de Inversión]],1,4)</f>
        <v>8173</v>
      </c>
      <c r="T327" s="162" t="str">
        <f>MID(PAA[[#This Row],[Meta Proyecto de Inversión]],6,1)</f>
        <v>2</v>
      </c>
      <c r="U327" s="163" t="str">
        <f>IFERROR(VLOOKUP(N327,TD!$B$50:$F$54,2,0)," ")</f>
        <v>O230117</v>
      </c>
      <c r="V327" s="163" t="str">
        <f>IFERROR(VLOOKUP(N327,TD!$B$50:$F$54,3,0)," ")</f>
        <v>4503</v>
      </c>
      <c r="W327" s="163">
        <f>IFERROR(VLOOKUP(N327,TD!$B$50:$F$54,4,0)," ")</f>
        <v>20240255</v>
      </c>
      <c r="X327" s="162" t="s">
        <v>164</v>
      </c>
      <c r="Y327" s="163" t="str">
        <f>IFERROR(VLOOKUP(X327,TD!$J$51:$K$64,2,0)," ")</f>
        <v>Servicio de atención a incidentes y emergencias.</v>
      </c>
      <c r="Z327" s="164" t="str">
        <f>CONCATENATE(X327,"-",Y327)</f>
        <v>04-Servicio de atención a incidentes y emergencias.</v>
      </c>
      <c r="AA327" s="162" t="s">
        <v>221</v>
      </c>
      <c r="AB327" s="163" t="str">
        <f>IFERROR(VLOOKUP(AA327,TD!$N$51:$O$66,2,0)," ")</f>
        <v>Servicio de atención a emergencias y desastres</v>
      </c>
      <c r="AC327" s="164" t="str">
        <f>CONCATENATE(AA327,"_",AB327)</f>
        <v>004_Servicio de atención a emergencias y desastres</v>
      </c>
      <c r="AD327" s="164" t="str">
        <f>CONCATENATE(Z327," ",AC327)</f>
        <v>04-Servicio de atención a incidentes y emergencias. 004_Servicio de atención a emergencias y desastres</v>
      </c>
      <c r="AE327" s="163" t="str">
        <f>CONCATENATE(U327,V327,W327,X327,AA327)</f>
        <v>O23011745032024025504004</v>
      </c>
      <c r="AF327" s="163" t="str">
        <f>IFERROR(VLOOKUP(AD327,TD!$J$66:$K$89,2,0)," ")</f>
        <v>PM/0131/0104/45030040255</v>
      </c>
      <c r="AG327" s="118" t="s">
        <v>385</v>
      </c>
      <c r="AH327" s="162" t="s">
        <v>193</v>
      </c>
      <c r="AI327" s="165" t="str">
        <f>CONCATENATE(PAA[[#This Row],[Id Interno]],"-",PAA[[#This Row],[tipo de Contrato (TH talento humano - B/S bienes y/o servicios)]],"-",S327,"-",T327,"-",PAA[[#This Row],[Objeto de la contratación]])</f>
        <v>20260306-TH-8173-2-Prestación de servicios profesionales para ejecutar las actividades relacionadas con el sistema de gestión de calidad, el sistema ambiental y el sistema de control interno, para el desarrollo los programas de la Subdireccion Operativa-S.O.</v>
      </c>
    </row>
    <row r="328" spans="2:35" ht="98" x14ac:dyDescent="0.35">
      <c r="B328" s="23">
        <v>20260307</v>
      </c>
      <c r="C328" s="99" t="s">
        <v>879</v>
      </c>
      <c r="D328" s="99" t="s">
        <v>105</v>
      </c>
      <c r="E328" s="99" t="s">
        <v>363</v>
      </c>
      <c r="F328" s="160" t="s">
        <v>144</v>
      </c>
      <c r="G328" s="160" t="s">
        <v>373</v>
      </c>
      <c r="H328" s="167">
        <v>10</v>
      </c>
      <c r="I328" s="167">
        <v>0</v>
      </c>
      <c r="J328" s="118">
        <v>67000000</v>
      </c>
      <c r="K328" s="126" t="s">
        <v>398</v>
      </c>
      <c r="L328" s="160" t="s">
        <v>158</v>
      </c>
      <c r="M328" s="166" t="s">
        <v>421</v>
      </c>
      <c r="N328" s="99" t="s">
        <v>198</v>
      </c>
      <c r="O328" s="151" t="s">
        <v>946</v>
      </c>
      <c r="P328" s="160" t="s">
        <v>348</v>
      </c>
      <c r="Q328" s="128">
        <v>80111600</v>
      </c>
      <c r="R328" s="166" t="s">
        <v>211</v>
      </c>
      <c r="S328" s="162" t="str">
        <f>MID(PAA[[#This Row],[Meta Proyecto de Inversión]],1,4)</f>
        <v>8173</v>
      </c>
      <c r="T328" s="162" t="str">
        <f>MID(PAA[[#This Row],[Meta Proyecto de Inversión]],6,1)</f>
        <v>2</v>
      </c>
      <c r="U328" s="163" t="str">
        <f>IFERROR(VLOOKUP(N328,TD!$B$50:$F$54,2,0)," ")</f>
        <v>O230117</v>
      </c>
      <c r="V328" s="163" t="str">
        <f>IFERROR(VLOOKUP(N328,TD!$B$50:$F$54,3,0)," ")</f>
        <v>4503</v>
      </c>
      <c r="W328" s="163">
        <f>IFERROR(VLOOKUP(N328,TD!$B$50:$F$54,4,0)," ")</f>
        <v>20240255</v>
      </c>
      <c r="X328" s="162" t="s">
        <v>164</v>
      </c>
      <c r="Y328" s="163" t="str">
        <f>IFERROR(VLOOKUP(X328,TD!$J$51:$K$64,2,0)," ")</f>
        <v>Servicio de atención a incidentes y emergencias.</v>
      </c>
      <c r="Z328" s="164" t="str">
        <f>CONCATENATE(X328,"-",Y328)</f>
        <v>04-Servicio de atención a incidentes y emergencias.</v>
      </c>
      <c r="AA328" s="162" t="s">
        <v>221</v>
      </c>
      <c r="AB328" s="163" t="str">
        <f>IFERROR(VLOOKUP(AA328,TD!$N$51:$O$66,2,0)," ")</f>
        <v>Servicio de atención a emergencias y desastres</v>
      </c>
      <c r="AC328" s="164" t="str">
        <f>CONCATENATE(AA328,"_",AB328)</f>
        <v>004_Servicio de atención a emergencias y desastres</v>
      </c>
      <c r="AD328" s="164" t="str">
        <f>CONCATENATE(Z328," ",AC328)</f>
        <v>04-Servicio de atención a incidentes y emergencias. 004_Servicio de atención a emergencias y desastres</v>
      </c>
      <c r="AE328" s="163" t="str">
        <f>CONCATENATE(U328,V328,W328,X328,AA328)</f>
        <v>O23011745032024025504004</v>
      </c>
      <c r="AF328" s="163" t="str">
        <f>IFERROR(VLOOKUP(AD328,TD!$J$66:$K$89,2,0)," ")</f>
        <v>PM/0131/0104/45030040255</v>
      </c>
      <c r="AG328" s="118" t="s">
        <v>385</v>
      </c>
      <c r="AH328" s="162" t="s">
        <v>193</v>
      </c>
      <c r="AI328" s="165" t="str">
        <f>CONCATENATE(PAA[[#This Row],[Id Interno]],"-",PAA[[#This Row],[tipo de Contrato (TH talento humano - B/S bienes y/o servicios)]],"-",S328,"-",T328,"-",PAA[[#This Row],[Objeto de la contratación]])</f>
        <v>20260307-TH-8173-2-Prestación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v>
      </c>
    </row>
    <row r="329" spans="2:35" ht="56" x14ac:dyDescent="0.35">
      <c r="B329" s="23">
        <v>20260308</v>
      </c>
      <c r="C329" s="99" t="s">
        <v>492</v>
      </c>
      <c r="D329" s="99" t="s">
        <v>105</v>
      </c>
      <c r="E329" s="99" t="s">
        <v>363</v>
      </c>
      <c r="F329" s="160" t="s">
        <v>144</v>
      </c>
      <c r="G329" s="160" t="s">
        <v>373</v>
      </c>
      <c r="H329" s="167">
        <v>4</v>
      </c>
      <c r="I329" s="167">
        <v>15</v>
      </c>
      <c r="J329" s="118">
        <v>29250000</v>
      </c>
      <c r="K329" s="126" t="s">
        <v>398</v>
      </c>
      <c r="L329" s="160" t="s">
        <v>158</v>
      </c>
      <c r="M329" s="166" t="s">
        <v>421</v>
      </c>
      <c r="N329" s="99" t="s">
        <v>198</v>
      </c>
      <c r="O329" s="151" t="s">
        <v>946</v>
      </c>
      <c r="P329" s="160" t="s">
        <v>348</v>
      </c>
      <c r="Q329" s="128">
        <v>80111600</v>
      </c>
      <c r="R329" s="166" t="s">
        <v>211</v>
      </c>
      <c r="S329" s="162" t="str">
        <f>MID(PAA[[#This Row],[Meta Proyecto de Inversión]],1,4)</f>
        <v>8173</v>
      </c>
      <c r="T329" s="162" t="str">
        <f>MID(PAA[[#This Row],[Meta Proyecto de Inversión]],6,1)</f>
        <v>2</v>
      </c>
      <c r="U329" s="163" t="str">
        <f>IFERROR(VLOOKUP(N329,TD!$B$50:$F$54,2,0)," ")</f>
        <v>O230117</v>
      </c>
      <c r="V329" s="163" t="str">
        <f>IFERROR(VLOOKUP(N329,TD!$B$50:$F$54,3,0)," ")</f>
        <v>4503</v>
      </c>
      <c r="W329" s="163">
        <f>IFERROR(VLOOKUP(N329,TD!$B$50:$F$54,4,0)," ")</f>
        <v>20240255</v>
      </c>
      <c r="X329" s="162" t="s">
        <v>164</v>
      </c>
      <c r="Y329" s="163" t="str">
        <f>IFERROR(VLOOKUP(X329,TD!$J$51:$K$64,2,0)," ")</f>
        <v>Servicio de atención a incidentes y emergencias.</v>
      </c>
      <c r="Z329" s="164" t="str">
        <f>CONCATENATE(X329,"-",Y329)</f>
        <v>04-Servicio de atención a incidentes y emergencias.</v>
      </c>
      <c r="AA329" s="162" t="s">
        <v>221</v>
      </c>
      <c r="AB329" s="163" t="str">
        <f>IFERROR(VLOOKUP(AA329,TD!$N$51:$O$66,2,0)," ")</f>
        <v>Servicio de atención a emergencias y desastres</v>
      </c>
      <c r="AC329" s="164" t="str">
        <f>CONCATENATE(AA329,"_",AB329)</f>
        <v>004_Servicio de atención a emergencias y desastres</v>
      </c>
      <c r="AD329" s="164" t="str">
        <f>CONCATENATE(Z329," ",AC329)</f>
        <v>04-Servicio de atención a incidentes y emergencias. 004_Servicio de atención a emergencias y desastres</v>
      </c>
      <c r="AE329" s="163" t="str">
        <f>CONCATENATE(U329,V329,W329,X329,AA329)</f>
        <v>O23011745032024025504004</v>
      </c>
      <c r="AF329" s="163" t="str">
        <f>IFERROR(VLOOKUP(AD329,TD!$J$66:$K$89,2,0)," ")</f>
        <v>PM/0131/0104/45030040255</v>
      </c>
      <c r="AG329" s="118" t="s">
        <v>385</v>
      </c>
      <c r="AH329" s="162" t="s">
        <v>194</v>
      </c>
      <c r="AI329" s="165" t="str">
        <f>CONCATENATE(PAA[[#This Row],[Id Interno]],"-",PAA[[#This Row],[tipo de Contrato (TH talento humano - B/S bienes y/o servicios)]],"-",S329,"-",T329,"-",PAA[[#This Row],[Objeto de la contratación]])</f>
        <v>20260308-TH-8173-2-ADICIÓN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v>
      </c>
    </row>
    <row r="330" spans="2:35" ht="70" x14ac:dyDescent="0.35">
      <c r="B330" s="23">
        <v>20260309</v>
      </c>
      <c r="C330" s="99" t="s">
        <v>493</v>
      </c>
      <c r="D330" s="99" t="s">
        <v>105</v>
      </c>
      <c r="E330" s="99" t="s">
        <v>363</v>
      </c>
      <c r="F330" s="160" t="s">
        <v>144</v>
      </c>
      <c r="G330" s="160" t="s">
        <v>373</v>
      </c>
      <c r="H330" s="167">
        <v>4</v>
      </c>
      <c r="I330" s="167">
        <v>15</v>
      </c>
      <c r="J330" s="118">
        <v>31500000</v>
      </c>
      <c r="K330" s="126" t="s">
        <v>398</v>
      </c>
      <c r="L330" s="160" t="s">
        <v>158</v>
      </c>
      <c r="M330" s="166" t="s">
        <v>421</v>
      </c>
      <c r="N330" s="99" t="s">
        <v>198</v>
      </c>
      <c r="O330" s="151" t="s">
        <v>946</v>
      </c>
      <c r="P330" s="160" t="s">
        <v>348</v>
      </c>
      <c r="Q330" s="128">
        <v>80111600</v>
      </c>
      <c r="R330" s="166" t="s">
        <v>211</v>
      </c>
      <c r="S330" s="162" t="str">
        <f>MID(PAA[[#This Row],[Meta Proyecto de Inversión]],1,4)</f>
        <v>8173</v>
      </c>
      <c r="T330" s="162" t="str">
        <f>MID(PAA[[#This Row],[Meta Proyecto de Inversión]],6,1)</f>
        <v>2</v>
      </c>
      <c r="U330" s="163" t="str">
        <f>IFERROR(VLOOKUP(N330,TD!$B$50:$F$54,2,0)," ")</f>
        <v>O230117</v>
      </c>
      <c r="V330" s="163" t="str">
        <f>IFERROR(VLOOKUP(N330,TD!$B$50:$F$54,3,0)," ")</f>
        <v>4503</v>
      </c>
      <c r="W330" s="163">
        <f>IFERROR(VLOOKUP(N330,TD!$B$50:$F$54,4,0)," ")</f>
        <v>20240255</v>
      </c>
      <c r="X330" s="162" t="s">
        <v>164</v>
      </c>
      <c r="Y330" s="163" t="str">
        <f>IFERROR(VLOOKUP(X330,TD!$J$51:$K$64,2,0)," ")</f>
        <v>Servicio de atención a incidentes y emergencias.</v>
      </c>
      <c r="Z330" s="164" t="str">
        <f>CONCATENATE(X330,"-",Y330)</f>
        <v>04-Servicio de atención a incidentes y emergencias.</v>
      </c>
      <c r="AA330" s="162" t="s">
        <v>221</v>
      </c>
      <c r="AB330" s="163" t="str">
        <f>IFERROR(VLOOKUP(AA330,TD!$N$51:$O$66,2,0)," ")</f>
        <v>Servicio de atención a emergencias y desastres</v>
      </c>
      <c r="AC330" s="164" t="str">
        <f>CONCATENATE(AA330,"_",AB330)</f>
        <v>004_Servicio de atención a emergencias y desastres</v>
      </c>
      <c r="AD330" s="164" t="str">
        <f>CONCATENATE(Z330," ",AC330)</f>
        <v>04-Servicio de atención a incidentes y emergencias. 004_Servicio de atención a emergencias y desastres</v>
      </c>
      <c r="AE330" s="163" t="str">
        <f>CONCATENATE(U330,V330,W330,X330,AA330)</f>
        <v>O23011745032024025504004</v>
      </c>
      <c r="AF330" s="163" t="str">
        <f>IFERROR(VLOOKUP(AD330,TD!$J$66:$K$89,2,0)," ")</f>
        <v>PM/0131/0104/45030040255</v>
      </c>
      <c r="AG330" s="118" t="s">
        <v>385</v>
      </c>
      <c r="AH330" s="162" t="s">
        <v>194</v>
      </c>
      <c r="AI330" s="165" t="str">
        <f>CONCATENATE(PAA[[#This Row],[Id Interno]],"-",PAA[[#This Row],[tipo de Contrato (TH talento humano - B/S bienes y/o servicios)]],"-",S330,"-",T330,"-",PAA[[#This Row],[Objeto de la contratación]])</f>
        <v>20260309-TH-8173-2-ADICIÓN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v>
      </c>
    </row>
    <row r="331" spans="2:35" ht="98" x14ac:dyDescent="0.35">
      <c r="B331" s="23">
        <v>20260310</v>
      </c>
      <c r="C331" s="99" t="s">
        <v>880</v>
      </c>
      <c r="D331" s="99" t="s">
        <v>105</v>
      </c>
      <c r="E331" s="99" t="s">
        <v>363</v>
      </c>
      <c r="F331" s="160" t="s">
        <v>144</v>
      </c>
      <c r="G331" s="160" t="s">
        <v>373</v>
      </c>
      <c r="H331" s="167">
        <v>8</v>
      </c>
      <c r="I331" s="167">
        <v>0</v>
      </c>
      <c r="J331" s="118">
        <v>57600000</v>
      </c>
      <c r="K331" s="126" t="s">
        <v>398</v>
      </c>
      <c r="L331" s="160" t="s">
        <v>158</v>
      </c>
      <c r="M331" s="166" t="s">
        <v>421</v>
      </c>
      <c r="N331" s="99" t="s">
        <v>198</v>
      </c>
      <c r="O331" s="151" t="s">
        <v>946</v>
      </c>
      <c r="P331" s="160" t="s">
        <v>348</v>
      </c>
      <c r="Q331" s="128">
        <v>80111600</v>
      </c>
      <c r="R331" s="166" t="s">
        <v>211</v>
      </c>
      <c r="S331" s="162" t="str">
        <f>MID(PAA[[#This Row],[Meta Proyecto de Inversión]],1,4)</f>
        <v>8173</v>
      </c>
      <c r="T331" s="162" t="str">
        <f>MID(PAA[[#This Row],[Meta Proyecto de Inversión]],6,1)</f>
        <v>2</v>
      </c>
      <c r="U331" s="163" t="str">
        <f>IFERROR(VLOOKUP(N331,TD!$B$50:$F$54,2,0)," ")</f>
        <v>O230117</v>
      </c>
      <c r="V331" s="163" t="str">
        <f>IFERROR(VLOOKUP(N331,TD!$B$50:$F$54,3,0)," ")</f>
        <v>4503</v>
      </c>
      <c r="W331" s="163">
        <f>IFERROR(VLOOKUP(N331,TD!$B$50:$F$54,4,0)," ")</f>
        <v>20240255</v>
      </c>
      <c r="X331" s="162" t="s">
        <v>164</v>
      </c>
      <c r="Y331" s="163" t="str">
        <f>IFERROR(VLOOKUP(X331,TD!$J$51:$K$64,2,0)," ")</f>
        <v>Servicio de atención a incidentes y emergencias.</v>
      </c>
      <c r="Z331" s="164" t="str">
        <f>CONCATENATE(X331,"-",Y331)</f>
        <v>04-Servicio de atención a incidentes y emergencias.</v>
      </c>
      <c r="AA331" s="162" t="s">
        <v>221</v>
      </c>
      <c r="AB331" s="163" t="str">
        <f>IFERROR(VLOOKUP(AA331,TD!$N$51:$O$66,2,0)," ")</f>
        <v>Servicio de atención a emergencias y desastres</v>
      </c>
      <c r="AC331" s="164" t="str">
        <f>CONCATENATE(AA331,"_",AB331)</f>
        <v>004_Servicio de atención a emergencias y desastres</v>
      </c>
      <c r="AD331" s="164" t="str">
        <f>CONCATENATE(Z331," ",AC331)</f>
        <v>04-Servicio de atención a incidentes y emergencias. 004_Servicio de atención a emergencias y desastres</v>
      </c>
      <c r="AE331" s="163" t="str">
        <f>CONCATENATE(U331,V331,W331,X331,AA331)</f>
        <v>O23011745032024025504004</v>
      </c>
      <c r="AF331" s="163" t="str">
        <f>IFERROR(VLOOKUP(AD331,TD!$J$66:$K$89,2,0)," ")</f>
        <v>PM/0131/0104/45030040255</v>
      </c>
      <c r="AG331" s="118" t="s">
        <v>385</v>
      </c>
      <c r="AH331" s="162" t="s">
        <v>193</v>
      </c>
      <c r="AI331" s="165" t="str">
        <f>CONCATENATE(PAA[[#This Row],[Id Interno]],"-",PAA[[#This Row],[tipo de Contrato (TH talento humano - B/S bienes y/o servicios)]],"-",S331,"-",T331,"-",PAA[[#This Row],[Objeto de la contratación]])</f>
        <v>20260310-TH-8173-2-Prestación de servicios profesionales para la elaboración de informes o documentos técnicos, infografías, reportes y consolidación de indicadores relacionados con los procesos, y procedimientos, para el desarrollo de los programas de la Subdirección Operativa-S.O.</v>
      </c>
    </row>
    <row r="332" spans="2:35" ht="98" x14ac:dyDescent="0.35">
      <c r="B332" s="23">
        <v>20260311</v>
      </c>
      <c r="C332" s="99" t="s">
        <v>494</v>
      </c>
      <c r="D332" s="99" t="s">
        <v>105</v>
      </c>
      <c r="E332" s="99" t="s">
        <v>363</v>
      </c>
      <c r="F332" s="160" t="s">
        <v>144</v>
      </c>
      <c r="G332" s="160" t="s">
        <v>373</v>
      </c>
      <c r="H332" s="167">
        <v>4</v>
      </c>
      <c r="I332" s="167">
        <v>15</v>
      </c>
      <c r="J332" s="118">
        <v>31500000</v>
      </c>
      <c r="K332" s="126" t="s">
        <v>398</v>
      </c>
      <c r="L332" s="160" t="s">
        <v>158</v>
      </c>
      <c r="M332" s="166" t="s">
        <v>421</v>
      </c>
      <c r="N332" s="99" t="s">
        <v>198</v>
      </c>
      <c r="O332" s="151" t="s">
        <v>946</v>
      </c>
      <c r="P332" s="160" t="s">
        <v>348</v>
      </c>
      <c r="Q332" s="128">
        <v>80111600</v>
      </c>
      <c r="R332" s="166" t="s">
        <v>211</v>
      </c>
      <c r="S332" s="162" t="str">
        <f>MID(PAA[[#This Row],[Meta Proyecto de Inversión]],1,4)</f>
        <v>8173</v>
      </c>
      <c r="T332" s="162" t="str">
        <f>MID(PAA[[#This Row],[Meta Proyecto de Inversión]],6,1)</f>
        <v>2</v>
      </c>
      <c r="U332" s="163" t="str">
        <f>IFERROR(VLOOKUP(N332,TD!$B$50:$F$54,2,0)," ")</f>
        <v>O230117</v>
      </c>
      <c r="V332" s="163" t="str">
        <f>IFERROR(VLOOKUP(N332,TD!$B$50:$F$54,3,0)," ")</f>
        <v>4503</v>
      </c>
      <c r="W332" s="163">
        <f>IFERROR(VLOOKUP(N332,TD!$B$50:$F$54,4,0)," ")</f>
        <v>20240255</v>
      </c>
      <c r="X332" s="162" t="s">
        <v>164</v>
      </c>
      <c r="Y332" s="163" t="str">
        <f>IFERROR(VLOOKUP(X332,TD!$J$51:$K$64,2,0)," ")</f>
        <v>Servicio de atención a incidentes y emergencias.</v>
      </c>
      <c r="Z332" s="164" t="str">
        <f>CONCATENATE(X332,"-",Y332)</f>
        <v>04-Servicio de atención a incidentes y emergencias.</v>
      </c>
      <c r="AA332" s="162" t="s">
        <v>221</v>
      </c>
      <c r="AB332" s="163" t="str">
        <f>IFERROR(VLOOKUP(AA332,TD!$N$51:$O$66,2,0)," ")</f>
        <v>Servicio de atención a emergencias y desastres</v>
      </c>
      <c r="AC332" s="164" t="str">
        <f>CONCATENATE(AA332,"_",AB332)</f>
        <v>004_Servicio de atención a emergencias y desastres</v>
      </c>
      <c r="AD332" s="164" t="str">
        <f>CONCATENATE(Z332," ",AC332)</f>
        <v>04-Servicio de atención a incidentes y emergencias. 004_Servicio de atención a emergencias y desastres</v>
      </c>
      <c r="AE332" s="163" t="str">
        <f>CONCATENATE(U332,V332,W332,X332,AA332)</f>
        <v>O23011745032024025504004</v>
      </c>
      <c r="AF332" s="163" t="str">
        <f>IFERROR(VLOOKUP(AD332,TD!$J$66:$K$89,2,0)," ")</f>
        <v>PM/0131/0104/45030040255</v>
      </c>
      <c r="AG332" s="118" t="s">
        <v>385</v>
      </c>
      <c r="AH332" s="162" t="s">
        <v>194</v>
      </c>
      <c r="AI332" s="165" t="str">
        <f>CONCATENATE(PAA[[#This Row],[Id Interno]],"-",PAA[[#This Row],[tipo de Contrato (TH talento humano - B/S bienes y/o servicios)]],"-",S332,"-",T332,"-",PAA[[#This Row],[Objeto de la contratación]])</f>
        <v>20260311-TH-8173-2-ADICIÓN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v>
      </c>
    </row>
    <row r="333" spans="2:35" ht="56" x14ac:dyDescent="0.35">
      <c r="B333" s="23">
        <v>20260312</v>
      </c>
      <c r="C333" s="99" t="s">
        <v>495</v>
      </c>
      <c r="D333" s="99" t="s">
        <v>105</v>
      </c>
      <c r="E333" s="99" t="s">
        <v>363</v>
      </c>
      <c r="F333" s="160" t="s">
        <v>144</v>
      </c>
      <c r="G333" s="160" t="s">
        <v>373</v>
      </c>
      <c r="H333" s="167">
        <v>5</v>
      </c>
      <c r="I333" s="167">
        <v>0</v>
      </c>
      <c r="J333" s="118">
        <v>40000000</v>
      </c>
      <c r="K333" s="126" t="s">
        <v>398</v>
      </c>
      <c r="L333" s="160" t="s">
        <v>158</v>
      </c>
      <c r="M333" s="166" t="s">
        <v>421</v>
      </c>
      <c r="N333" s="99" t="s">
        <v>198</v>
      </c>
      <c r="O333" s="151" t="s">
        <v>946</v>
      </c>
      <c r="P333" s="160" t="s">
        <v>348</v>
      </c>
      <c r="Q333" s="128">
        <v>80111600</v>
      </c>
      <c r="R333" s="166" t="s">
        <v>211</v>
      </c>
      <c r="S333" s="162" t="str">
        <f>MID(PAA[[#This Row],[Meta Proyecto de Inversión]],1,4)</f>
        <v>8173</v>
      </c>
      <c r="T333" s="162" t="str">
        <f>MID(PAA[[#This Row],[Meta Proyecto de Inversión]],6,1)</f>
        <v>2</v>
      </c>
      <c r="U333" s="163" t="str">
        <f>IFERROR(VLOOKUP(N333,TD!$B$50:$F$54,2,0)," ")</f>
        <v>O230117</v>
      </c>
      <c r="V333" s="163" t="str">
        <f>IFERROR(VLOOKUP(N333,TD!$B$50:$F$54,3,0)," ")</f>
        <v>4503</v>
      </c>
      <c r="W333" s="163">
        <f>IFERROR(VLOOKUP(N333,TD!$B$50:$F$54,4,0)," ")</f>
        <v>20240255</v>
      </c>
      <c r="X333" s="162" t="s">
        <v>164</v>
      </c>
      <c r="Y333" s="163" t="str">
        <f>IFERROR(VLOOKUP(X333,TD!$J$51:$K$64,2,0)," ")</f>
        <v>Servicio de atención a incidentes y emergencias.</v>
      </c>
      <c r="Z333" s="164" t="str">
        <f>CONCATENATE(X333,"-",Y333)</f>
        <v>04-Servicio de atención a incidentes y emergencias.</v>
      </c>
      <c r="AA333" s="162" t="s">
        <v>221</v>
      </c>
      <c r="AB333" s="163" t="str">
        <f>IFERROR(VLOOKUP(AA333,TD!$N$51:$O$66,2,0)," ")</f>
        <v>Servicio de atención a emergencias y desastres</v>
      </c>
      <c r="AC333" s="164" t="str">
        <f>CONCATENATE(AA333,"_",AB333)</f>
        <v>004_Servicio de atención a emergencias y desastres</v>
      </c>
      <c r="AD333" s="164" t="str">
        <f>CONCATENATE(Z333," ",AC333)</f>
        <v>04-Servicio de atención a incidentes y emergencias. 004_Servicio de atención a emergencias y desastres</v>
      </c>
      <c r="AE333" s="163" t="str">
        <f>CONCATENATE(U333,V333,W333,X333,AA333)</f>
        <v>O23011745032024025504004</v>
      </c>
      <c r="AF333" s="163" t="str">
        <f>IFERROR(VLOOKUP(AD333,TD!$J$66:$K$89,2,0)," ")</f>
        <v>PM/0131/0104/45030040255</v>
      </c>
      <c r="AG333" s="118" t="s">
        <v>385</v>
      </c>
      <c r="AH333" s="162" t="s">
        <v>194</v>
      </c>
      <c r="AI333" s="165" t="str">
        <f>CONCATENATE(PAA[[#This Row],[Id Interno]],"-",PAA[[#This Row],[tipo de Contrato (TH talento humano - B/S bienes y/o servicios)]],"-",S333,"-",T333,"-",PAA[[#This Row],[Objeto de la contratación]])</f>
        <v>20260312-TH-8173-2-ADICIÓN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v>
      </c>
    </row>
    <row r="334" spans="2:35" ht="84" x14ac:dyDescent="0.35">
      <c r="B334" s="23">
        <v>20260313</v>
      </c>
      <c r="C334" s="99" t="s">
        <v>881</v>
      </c>
      <c r="D334" s="99" t="s">
        <v>105</v>
      </c>
      <c r="E334" s="99" t="s">
        <v>363</v>
      </c>
      <c r="F334" s="160" t="s">
        <v>144</v>
      </c>
      <c r="G334" s="160" t="s">
        <v>373</v>
      </c>
      <c r="H334" s="167">
        <v>9</v>
      </c>
      <c r="I334" s="167">
        <v>0</v>
      </c>
      <c r="J334" s="118">
        <v>67500000</v>
      </c>
      <c r="K334" s="126" t="s">
        <v>398</v>
      </c>
      <c r="L334" s="160" t="s">
        <v>158</v>
      </c>
      <c r="M334" s="166" t="s">
        <v>421</v>
      </c>
      <c r="N334" s="99" t="s">
        <v>198</v>
      </c>
      <c r="O334" s="151" t="s">
        <v>946</v>
      </c>
      <c r="P334" s="160" t="s">
        <v>348</v>
      </c>
      <c r="Q334" s="128">
        <v>80111600</v>
      </c>
      <c r="R334" s="166" t="s">
        <v>211</v>
      </c>
      <c r="S334" s="162" t="str">
        <f>MID(PAA[[#This Row],[Meta Proyecto de Inversión]],1,4)</f>
        <v>8173</v>
      </c>
      <c r="T334" s="162" t="str">
        <f>MID(PAA[[#This Row],[Meta Proyecto de Inversión]],6,1)</f>
        <v>2</v>
      </c>
      <c r="U334" s="163" t="str">
        <f>IFERROR(VLOOKUP(N334,TD!$B$50:$F$54,2,0)," ")</f>
        <v>O230117</v>
      </c>
      <c r="V334" s="163" t="str">
        <f>IFERROR(VLOOKUP(N334,TD!$B$50:$F$54,3,0)," ")</f>
        <v>4503</v>
      </c>
      <c r="W334" s="163">
        <f>IFERROR(VLOOKUP(N334,TD!$B$50:$F$54,4,0)," ")</f>
        <v>20240255</v>
      </c>
      <c r="X334" s="162" t="s">
        <v>164</v>
      </c>
      <c r="Y334" s="163" t="str">
        <f>IFERROR(VLOOKUP(X334,TD!$J$51:$K$64,2,0)," ")</f>
        <v>Servicio de atención a incidentes y emergencias.</v>
      </c>
      <c r="Z334" s="164" t="str">
        <f>CONCATENATE(X334,"-",Y334)</f>
        <v>04-Servicio de atención a incidentes y emergencias.</v>
      </c>
      <c r="AA334" s="162" t="s">
        <v>221</v>
      </c>
      <c r="AB334" s="163" t="str">
        <f>IFERROR(VLOOKUP(AA334,TD!$N$51:$O$66,2,0)," ")</f>
        <v>Servicio de atención a emergencias y desastres</v>
      </c>
      <c r="AC334" s="164" t="str">
        <f>CONCATENATE(AA334,"_",AB334)</f>
        <v>004_Servicio de atención a emergencias y desastres</v>
      </c>
      <c r="AD334" s="164" t="str">
        <f>CONCATENATE(Z334," ",AC334)</f>
        <v>04-Servicio de atención a incidentes y emergencias. 004_Servicio de atención a emergencias y desastres</v>
      </c>
      <c r="AE334" s="163" t="str">
        <f>CONCATENATE(U334,V334,W334,X334,AA334)</f>
        <v>O23011745032024025504004</v>
      </c>
      <c r="AF334" s="163" t="str">
        <f>IFERROR(VLOOKUP(AD334,TD!$J$66:$K$89,2,0)," ")</f>
        <v>PM/0131/0104/45030040255</v>
      </c>
      <c r="AG334" s="118" t="s">
        <v>385</v>
      </c>
      <c r="AH334" s="162" t="s">
        <v>193</v>
      </c>
      <c r="AI334" s="165" t="str">
        <f>CONCATENATE(PAA[[#This Row],[Id Interno]],"-",PAA[[#This Row],[tipo de Contrato (TH talento humano - B/S bienes y/o servicios)]],"-",S334,"-",T334,"-",PAA[[#This Row],[Objeto de la contratación]])</f>
        <v>20260313-TH-8173-2-Prestación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v>
      </c>
    </row>
    <row r="335" spans="2:35" ht="56" x14ac:dyDescent="0.35">
      <c r="B335" s="23">
        <v>20260314</v>
      </c>
      <c r="C335" s="99" t="s">
        <v>496</v>
      </c>
      <c r="D335" s="99" t="s">
        <v>105</v>
      </c>
      <c r="E335" s="99" t="s">
        <v>363</v>
      </c>
      <c r="F335" s="160" t="s">
        <v>144</v>
      </c>
      <c r="G335" s="160" t="s">
        <v>373</v>
      </c>
      <c r="H335" s="167">
        <v>5</v>
      </c>
      <c r="I335" s="167">
        <v>0</v>
      </c>
      <c r="J335" s="118">
        <v>47500000</v>
      </c>
      <c r="K335" s="126" t="s">
        <v>398</v>
      </c>
      <c r="L335" s="160" t="s">
        <v>158</v>
      </c>
      <c r="M335" s="166" t="s">
        <v>421</v>
      </c>
      <c r="N335" s="99" t="s">
        <v>198</v>
      </c>
      <c r="O335" s="151" t="s">
        <v>946</v>
      </c>
      <c r="P335" s="160" t="s">
        <v>348</v>
      </c>
      <c r="Q335" s="128">
        <v>80111600</v>
      </c>
      <c r="R335" s="166" t="s">
        <v>211</v>
      </c>
      <c r="S335" s="162" t="str">
        <f>MID(PAA[[#This Row],[Meta Proyecto de Inversión]],1,4)</f>
        <v>8173</v>
      </c>
      <c r="T335" s="162" t="str">
        <f>MID(PAA[[#This Row],[Meta Proyecto de Inversión]],6,1)</f>
        <v>2</v>
      </c>
      <c r="U335" s="163" t="str">
        <f>IFERROR(VLOOKUP(N335,TD!$B$50:$F$54,2,0)," ")</f>
        <v>O230117</v>
      </c>
      <c r="V335" s="163" t="str">
        <f>IFERROR(VLOOKUP(N335,TD!$B$50:$F$54,3,0)," ")</f>
        <v>4503</v>
      </c>
      <c r="W335" s="163">
        <f>IFERROR(VLOOKUP(N335,TD!$B$50:$F$54,4,0)," ")</f>
        <v>20240255</v>
      </c>
      <c r="X335" s="162" t="s">
        <v>164</v>
      </c>
      <c r="Y335" s="163" t="str">
        <f>IFERROR(VLOOKUP(X335,TD!$J$51:$K$64,2,0)," ")</f>
        <v>Servicio de atención a incidentes y emergencias.</v>
      </c>
      <c r="Z335" s="164" t="str">
        <f>CONCATENATE(X335,"-",Y335)</f>
        <v>04-Servicio de atención a incidentes y emergencias.</v>
      </c>
      <c r="AA335" s="162" t="s">
        <v>221</v>
      </c>
      <c r="AB335" s="163" t="str">
        <f>IFERROR(VLOOKUP(AA335,TD!$N$51:$O$66,2,0)," ")</f>
        <v>Servicio de atención a emergencias y desastres</v>
      </c>
      <c r="AC335" s="164" t="str">
        <f>CONCATENATE(AA335,"_",AB335)</f>
        <v>004_Servicio de atención a emergencias y desastres</v>
      </c>
      <c r="AD335" s="164" t="str">
        <f>CONCATENATE(Z335," ",AC335)</f>
        <v>04-Servicio de atención a incidentes y emergencias. 004_Servicio de atención a emergencias y desastres</v>
      </c>
      <c r="AE335" s="163" t="str">
        <f>CONCATENATE(U335,V335,W335,X335,AA335)</f>
        <v>O23011745032024025504004</v>
      </c>
      <c r="AF335" s="163" t="str">
        <f>IFERROR(VLOOKUP(AD335,TD!$J$66:$K$89,2,0)," ")</f>
        <v>PM/0131/0104/45030040255</v>
      </c>
      <c r="AG335" s="118" t="s">
        <v>385</v>
      </c>
      <c r="AH335" s="162" t="s">
        <v>194</v>
      </c>
      <c r="AI335" s="165" t="str">
        <f>CONCATENATE(PAA[[#This Row],[Id Interno]],"-",PAA[[#This Row],[tipo de Contrato (TH talento humano - B/S bienes y/o servicios)]],"-",S335,"-",T335,"-",PAA[[#This Row],[Objeto de la contratación]])</f>
        <v>20260314-TH-8173-2-ADICIÓN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v>
      </c>
    </row>
    <row r="336" spans="2:35" ht="28" x14ac:dyDescent="0.35">
      <c r="B336" s="23">
        <v>20260315</v>
      </c>
      <c r="C336" s="99" t="s">
        <v>497</v>
      </c>
      <c r="D336" s="99" t="s">
        <v>105</v>
      </c>
      <c r="E336" s="99" t="s">
        <v>363</v>
      </c>
      <c r="F336" s="160" t="s">
        <v>144</v>
      </c>
      <c r="G336" s="160" t="s">
        <v>373</v>
      </c>
      <c r="H336" s="167">
        <v>5</v>
      </c>
      <c r="I336" s="167">
        <v>0</v>
      </c>
      <c r="J336" s="118">
        <v>35000000</v>
      </c>
      <c r="K336" s="126" t="s">
        <v>398</v>
      </c>
      <c r="L336" s="160" t="s">
        <v>158</v>
      </c>
      <c r="M336" s="166" t="s">
        <v>421</v>
      </c>
      <c r="N336" s="99" t="s">
        <v>198</v>
      </c>
      <c r="O336" s="151" t="s">
        <v>946</v>
      </c>
      <c r="P336" s="160" t="s">
        <v>348</v>
      </c>
      <c r="Q336" s="128">
        <v>80111600</v>
      </c>
      <c r="R336" s="166" t="s">
        <v>211</v>
      </c>
      <c r="S336" s="162" t="str">
        <f>MID(PAA[[#This Row],[Meta Proyecto de Inversión]],1,4)</f>
        <v>8173</v>
      </c>
      <c r="T336" s="162" t="str">
        <f>MID(PAA[[#This Row],[Meta Proyecto de Inversión]],6,1)</f>
        <v>2</v>
      </c>
      <c r="U336" s="163" t="str">
        <f>IFERROR(VLOOKUP(N336,TD!$B$50:$F$54,2,0)," ")</f>
        <v>O230117</v>
      </c>
      <c r="V336" s="163" t="str">
        <f>IFERROR(VLOOKUP(N336,TD!$B$50:$F$54,3,0)," ")</f>
        <v>4503</v>
      </c>
      <c r="W336" s="163">
        <f>IFERROR(VLOOKUP(N336,TD!$B$50:$F$54,4,0)," ")</f>
        <v>20240255</v>
      </c>
      <c r="X336" s="162" t="s">
        <v>164</v>
      </c>
      <c r="Y336" s="163" t="str">
        <f>IFERROR(VLOOKUP(X336,TD!$J$51:$K$64,2,0)," ")</f>
        <v>Servicio de atención a incidentes y emergencias.</v>
      </c>
      <c r="Z336" s="164" t="str">
        <f>CONCATENATE(X336,"-",Y336)</f>
        <v>04-Servicio de atención a incidentes y emergencias.</v>
      </c>
      <c r="AA336" s="162" t="s">
        <v>221</v>
      </c>
      <c r="AB336" s="163" t="str">
        <f>IFERROR(VLOOKUP(AA336,TD!$N$51:$O$66,2,0)," ")</f>
        <v>Servicio de atención a emergencias y desastres</v>
      </c>
      <c r="AC336" s="164" t="str">
        <f>CONCATENATE(AA336,"_",AB336)</f>
        <v>004_Servicio de atención a emergencias y desastres</v>
      </c>
      <c r="AD336" s="164" t="str">
        <f>CONCATENATE(Z336," ",AC336)</f>
        <v>04-Servicio de atención a incidentes y emergencias. 004_Servicio de atención a emergencias y desastres</v>
      </c>
      <c r="AE336" s="163" t="str">
        <f>CONCATENATE(U336,V336,W336,X336,AA336)</f>
        <v>O23011745032024025504004</v>
      </c>
      <c r="AF336" s="163" t="str">
        <f>IFERROR(VLOOKUP(AD336,TD!$J$66:$K$89,2,0)," ")</f>
        <v>PM/0131/0104/45030040255</v>
      </c>
      <c r="AG336" s="118" t="s">
        <v>385</v>
      </c>
      <c r="AH336" s="162" t="s">
        <v>194</v>
      </c>
      <c r="AI336" s="165" t="str">
        <f>CONCATENATE(PAA[[#This Row],[Id Interno]],"-",PAA[[#This Row],[tipo de Contrato (TH talento humano - B/S bienes y/o servicios)]],"-",S336,"-",T336,"-",PAA[[#This Row],[Objeto de la contratación]])</f>
        <v>20260315-TH-8173-2-ADICIÓN Y PRÓRROGA al contrato de prestación de servicios # 313-2025, cuyo objeto es: Prestación de servicios profesionales para apoyar los procesos contractuales de la Subdirección Operativa en todas sus etapas y apoyo técnico en los proyectos y procesos de la dependencia S.O.</v>
      </c>
    </row>
    <row r="337" spans="2:35" ht="70" x14ac:dyDescent="0.35">
      <c r="B337" s="23">
        <v>20260316</v>
      </c>
      <c r="C337" s="99" t="s">
        <v>882</v>
      </c>
      <c r="D337" s="99" t="s">
        <v>105</v>
      </c>
      <c r="E337" s="99" t="s">
        <v>363</v>
      </c>
      <c r="F337" s="160" t="s">
        <v>144</v>
      </c>
      <c r="G337" s="160" t="s">
        <v>373</v>
      </c>
      <c r="H337" s="167">
        <v>9</v>
      </c>
      <c r="I337" s="167">
        <v>0</v>
      </c>
      <c r="J337" s="118">
        <v>80715000</v>
      </c>
      <c r="K337" s="126" t="s">
        <v>398</v>
      </c>
      <c r="L337" s="160" t="s">
        <v>158</v>
      </c>
      <c r="M337" s="166" t="s">
        <v>421</v>
      </c>
      <c r="N337" s="99" t="s">
        <v>198</v>
      </c>
      <c r="O337" s="151" t="s">
        <v>946</v>
      </c>
      <c r="P337" s="160" t="s">
        <v>348</v>
      </c>
      <c r="Q337" s="128">
        <v>80111600</v>
      </c>
      <c r="R337" s="166" t="s">
        <v>211</v>
      </c>
      <c r="S337" s="162" t="str">
        <f>MID(PAA[[#This Row],[Meta Proyecto de Inversión]],1,4)</f>
        <v>8173</v>
      </c>
      <c r="T337" s="162" t="str">
        <f>MID(PAA[[#This Row],[Meta Proyecto de Inversión]],6,1)</f>
        <v>2</v>
      </c>
      <c r="U337" s="163" t="str">
        <f>IFERROR(VLOOKUP(N337,TD!$B$50:$F$54,2,0)," ")</f>
        <v>O230117</v>
      </c>
      <c r="V337" s="163" t="str">
        <f>IFERROR(VLOOKUP(N337,TD!$B$50:$F$54,3,0)," ")</f>
        <v>4503</v>
      </c>
      <c r="W337" s="163">
        <f>IFERROR(VLOOKUP(N337,TD!$B$50:$F$54,4,0)," ")</f>
        <v>20240255</v>
      </c>
      <c r="X337" s="162" t="s">
        <v>164</v>
      </c>
      <c r="Y337" s="163" t="str">
        <f>IFERROR(VLOOKUP(X337,TD!$J$51:$K$64,2,0)," ")</f>
        <v>Servicio de atención a incidentes y emergencias.</v>
      </c>
      <c r="Z337" s="164" t="str">
        <f>CONCATENATE(X337,"-",Y337)</f>
        <v>04-Servicio de atención a incidentes y emergencias.</v>
      </c>
      <c r="AA337" s="162" t="s">
        <v>221</v>
      </c>
      <c r="AB337" s="163" t="str">
        <f>IFERROR(VLOOKUP(AA337,TD!$N$51:$O$66,2,0)," ")</f>
        <v>Servicio de atención a emergencias y desastres</v>
      </c>
      <c r="AC337" s="164" t="str">
        <f>CONCATENATE(AA337,"_",AB337)</f>
        <v>004_Servicio de atención a emergencias y desastres</v>
      </c>
      <c r="AD337" s="164" t="str">
        <f>CONCATENATE(Z337," ",AC337)</f>
        <v>04-Servicio de atención a incidentes y emergencias. 004_Servicio de atención a emergencias y desastres</v>
      </c>
      <c r="AE337" s="163" t="str">
        <f>CONCATENATE(U337,V337,W337,X337,AA337)</f>
        <v>O23011745032024025504004</v>
      </c>
      <c r="AF337" s="163" t="str">
        <f>IFERROR(VLOOKUP(AD337,TD!$J$66:$K$89,2,0)," ")</f>
        <v>PM/0131/0104/45030040255</v>
      </c>
      <c r="AG337" s="118" t="s">
        <v>385</v>
      </c>
      <c r="AH337" s="162" t="s">
        <v>193</v>
      </c>
      <c r="AI337" s="165" t="str">
        <f>CONCATENATE(PAA[[#This Row],[Id Interno]],"-",PAA[[#This Row],[tipo de Contrato (TH talento humano - B/S bienes y/o servicios)]],"-",S337,"-",T337,"-",PAA[[#This Row],[Objeto de la contratación]])</f>
        <v>20260316-TH-8173-2-Prestación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v>
      </c>
    </row>
    <row r="338" spans="2:35" ht="56" x14ac:dyDescent="0.35">
      <c r="B338" s="23">
        <v>20260317</v>
      </c>
      <c r="C338" s="99" t="s">
        <v>498</v>
      </c>
      <c r="D338" s="99" t="s">
        <v>119</v>
      </c>
      <c r="E338" s="99" t="s">
        <v>402</v>
      </c>
      <c r="F338" s="160" t="s">
        <v>128</v>
      </c>
      <c r="G338" s="160" t="s">
        <v>373</v>
      </c>
      <c r="H338" s="167">
        <v>12</v>
      </c>
      <c r="I338" s="167">
        <v>0</v>
      </c>
      <c r="J338" s="118">
        <v>6914369000</v>
      </c>
      <c r="K338" s="126" t="s">
        <v>398</v>
      </c>
      <c r="L338" s="160" t="s">
        <v>158</v>
      </c>
      <c r="M338" s="166" t="s">
        <v>421</v>
      </c>
      <c r="N338" s="99" t="s">
        <v>198</v>
      </c>
      <c r="O338" s="151" t="s">
        <v>946</v>
      </c>
      <c r="P338" s="160" t="s">
        <v>575</v>
      </c>
      <c r="Q338" s="128">
        <v>80111600</v>
      </c>
      <c r="R338" s="166" t="s">
        <v>212</v>
      </c>
      <c r="S338" s="162" t="str">
        <f>MID(PAA[[#This Row],[Meta Proyecto de Inversión]],1,4)</f>
        <v>8173</v>
      </c>
      <c r="T338" s="162" t="str">
        <f>MID(PAA[[#This Row],[Meta Proyecto de Inversión]],6,1)</f>
        <v>3</v>
      </c>
      <c r="U338" s="163" t="str">
        <f>IFERROR(VLOOKUP(N338,TD!$B$50:$F$54,2,0)," ")</f>
        <v>O230117</v>
      </c>
      <c r="V338" s="163" t="str">
        <f>IFERROR(VLOOKUP(N338,TD!$B$50:$F$54,3,0)," ")</f>
        <v>4503</v>
      </c>
      <c r="W338" s="163">
        <f>IFERROR(VLOOKUP(N338,TD!$B$50:$F$54,4,0)," ")</f>
        <v>20240255</v>
      </c>
      <c r="X338" s="162" t="s">
        <v>164</v>
      </c>
      <c r="Y338" s="163" t="str">
        <f>IFERROR(VLOOKUP(X338,TD!$J$51:$K$64,2,0)," ")</f>
        <v>Servicio de atención a incidentes y emergencias.</v>
      </c>
      <c r="Z338" s="164" t="str">
        <f>CONCATENATE(X338,"-",Y338)</f>
        <v>04-Servicio de atención a incidentes y emergencias.</v>
      </c>
      <c r="AA338" s="162" t="s">
        <v>221</v>
      </c>
      <c r="AB338" s="163" t="str">
        <f>IFERROR(VLOOKUP(AA338,TD!$N$51:$O$66,2,0)," ")</f>
        <v>Servicio de atención a emergencias y desastres</v>
      </c>
      <c r="AC338" s="164" t="str">
        <f>CONCATENATE(AA338,"_",AB338)</f>
        <v>004_Servicio de atención a emergencias y desastres</v>
      </c>
      <c r="AD338" s="164" t="str">
        <f>CONCATENATE(Z338," ",AC338)</f>
        <v>04-Servicio de atención a incidentes y emergencias. 004_Servicio de atención a emergencias y desastres</v>
      </c>
      <c r="AE338" s="163" t="str">
        <f>CONCATENATE(U338,V338,W338,X338,AA338)</f>
        <v>O23011745032024025504004</v>
      </c>
      <c r="AF338" s="163" t="str">
        <f>IFERROR(VLOOKUP(AD338,TD!$J$66:$K$89,2,0)," ")</f>
        <v>PM/0131/0104/45030040255</v>
      </c>
      <c r="AG338" s="118" t="s">
        <v>80</v>
      </c>
      <c r="AH338" s="162" t="s">
        <v>194</v>
      </c>
      <c r="AI338" s="165" t="str">
        <f>CONCATENATE(PAA[[#This Row],[Id Interno]],"-",PAA[[#This Row],[tipo de Contrato (TH talento humano - B/S bienes y/o servicios)]],"-",S338,"-",T338,"-",PAA[[#This Row],[Objeto de la contratación]])</f>
        <v>20260317-BS-8173-3-Pago pasivo exigible Subdirección Operativa</v>
      </c>
    </row>
    <row r="339" spans="2:35" ht="56" x14ac:dyDescent="0.35">
      <c r="B339" s="23">
        <v>20260320</v>
      </c>
      <c r="C339" s="99" t="s">
        <v>883</v>
      </c>
      <c r="D339" s="99" t="s">
        <v>105</v>
      </c>
      <c r="E339" s="99" t="s">
        <v>363</v>
      </c>
      <c r="F339" s="160" t="s">
        <v>145</v>
      </c>
      <c r="G339" s="160" t="s">
        <v>379</v>
      </c>
      <c r="H339" s="167">
        <v>5</v>
      </c>
      <c r="I339" s="167">
        <v>15</v>
      </c>
      <c r="J339" s="118">
        <v>24915000</v>
      </c>
      <c r="K339" s="126" t="s">
        <v>398</v>
      </c>
      <c r="L339" s="160" t="s">
        <v>158</v>
      </c>
      <c r="M339" s="166" t="s">
        <v>421</v>
      </c>
      <c r="N339" s="99" t="s">
        <v>198</v>
      </c>
      <c r="O339" s="151" t="s">
        <v>946</v>
      </c>
      <c r="P339" s="160" t="s">
        <v>348</v>
      </c>
      <c r="Q339" s="128">
        <v>80111600</v>
      </c>
      <c r="R339" s="166" t="s">
        <v>211</v>
      </c>
      <c r="S339" s="162" t="str">
        <f>MID(PAA[[#This Row],[Meta Proyecto de Inversión]],1,4)</f>
        <v>8173</v>
      </c>
      <c r="T339" s="162" t="str">
        <f>MID(PAA[[#This Row],[Meta Proyecto de Inversión]],6,1)</f>
        <v>2</v>
      </c>
      <c r="U339" s="163" t="str">
        <f>IFERROR(VLOOKUP(N339,TD!$B$50:$F$54,2,0)," ")</f>
        <v>O230117</v>
      </c>
      <c r="V339" s="163" t="str">
        <f>IFERROR(VLOOKUP(N339,TD!$B$50:$F$54,3,0)," ")</f>
        <v>4503</v>
      </c>
      <c r="W339" s="163">
        <f>IFERROR(VLOOKUP(N339,TD!$B$50:$F$54,4,0)," ")</f>
        <v>20240255</v>
      </c>
      <c r="X339" s="162" t="s">
        <v>164</v>
      </c>
      <c r="Y339" s="163" t="str">
        <f>IFERROR(VLOOKUP(X339,TD!$J$51:$K$64,2,0)," ")</f>
        <v>Servicio de atención a incidentes y emergencias.</v>
      </c>
      <c r="Z339" s="164" t="str">
        <f>CONCATENATE(X339,"-",Y339)</f>
        <v>04-Servicio de atención a incidentes y emergencias.</v>
      </c>
      <c r="AA339" s="162" t="s">
        <v>221</v>
      </c>
      <c r="AB339" s="163" t="str">
        <f>IFERROR(VLOOKUP(AA339,TD!$N$51:$O$66,2,0)," ")</f>
        <v>Servicio de atención a emergencias y desastres</v>
      </c>
      <c r="AC339" s="164" t="str">
        <f>CONCATENATE(AA339,"_",AB339)</f>
        <v>004_Servicio de atención a emergencias y desastres</v>
      </c>
      <c r="AD339" s="164" t="str">
        <f>CONCATENATE(Z339," ",AC339)</f>
        <v>04-Servicio de atención a incidentes y emergencias. 004_Servicio de atención a emergencias y desastres</v>
      </c>
      <c r="AE339" s="163" t="str">
        <f>CONCATENATE(U339,V339,W339,X339,AA339)</f>
        <v>O23011745032024025504004</v>
      </c>
      <c r="AF339" s="163" t="str">
        <f>IFERROR(VLOOKUP(AD339,TD!$J$66:$K$89,2,0)," ")</f>
        <v>PM/0131/0104/45030040255</v>
      </c>
      <c r="AG339" s="118" t="s">
        <v>385</v>
      </c>
      <c r="AH339" s="162" t="s">
        <v>193</v>
      </c>
      <c r="AI339" s="165" t="str">
        <f>CONCATENATE(PAA[[#This Row],[Id Interno]],"-",PAA[[#This Row],[tipo de Contrato (TH talento humano - B/S bienes y/o servicios)]],"-",S339,"-",T339,"-",PAA[[#This Row],[Objeto de la contratación]])</f>
        <v>20260320-TH-8173-2-Prestación de servicios de apoyo a la gestión para ejecutar actividades administrativas y asistenciales para el diligenciamiento y seguimiento de las solicitudes en las herramientas de gestión de los procedimientos, para el desarrollo de los programas de la Subdirección Operativa-S.O.</v>
      </c>
    </row>
    <row r="340" spans="2:35" ht="56" x14ac:dyDescent="0.35">
      <c r="B340" s="23">
        <v>20260321</v>
      </c>
      <c r="C340" s="99" t="s">
        <v>884</v>
      </c>
      <c r="D340" s="99" t="s">
        <v>105</v>
      </c>
      <c r="E340" s="99" t="s">
        <v>363</v>
      </c>
      <c r="F340" s="160" t="s">
        <v>144</v>
      </c>
      <c r="G340" s="160" t="s">
        <v>379</v>
      </c>
      <c r="H340" s="167">
        <v>5</v>
      </c>
      <c r="I340" s="167">
        <v>0</v>
      </c>
      <c r="J340" s="118">
        <v>48500000</v>
      </c>
      <c r="K340" s="126" t="s">
        <v>398</v>
      </c>
      <c r="L340" s="160" t="s">
        <v>158</v>
      </c>
      <c r="M340" s="166" t="s">
        <v>421</v>
      </c>
      <c r="N340" s="99" t="s">
        <v>198</v>
      </c>
      <c r="O340" s="151" t="s">
        <v>946</v>
      </c>
      <c r="P340" s="160" t="s">
        <v>348</v>
      </c>
      <c r="Q340" s="128">
        <v>80111600</v>
      </c>
      <c r="R340" s="166" t="s">
        <v>211</v>
      </c>
      <c r="S340" s="162" t="str">
        <f>MID(PAA[[#This Row],[Meta Proyecto de Inversión]],1,4)</f>
        <v>8173</v>
      </c>
      <c r="T340" s="162" t="str">
        <f>MID(PAA[[#This Row],[Meta Proyecto de Inversión]],6,1)</f>
        <v>2</v>
      </c>
      <c r="U340" s="163" t="str">
        <f>IFERROR(VLOOKUP(N340,TD!$B$50:$F$54,2,0)," ")</f>
        <v>O230117</v>
      </c>
      <c r="V340" s="163" t="str">
        <f>IFERROR(VLOOKUP(N340,TD!$B$50:$F$54,3,0)," ")</f>
        <v>4503</v>
      </c>
      <c r="W340" s="163">
        <f>IFERROR(VLOOKUP(N340,TD!$B$50:$F$54,4,0)," ")</f>
        <v>20240255</v>
      </c>
      <c r="X340" s="162" t="s">
        <v>164</v>
      </c>
      <c r="Y340" s="163" t="str">
        <f>IFERROR(VLOOKUP(X340,TD!$J$51:$K$64,2,0)," ")</f>
        <v>Servicio de atención a incidentes y emergencias.</v>
      </c>
      <c r="Z340" s="164" t="str">
        <f>CONCATENATE(X340,"-",Y340)</f>
        <v>04-Servicio de atención a incidentes y emergencias.</v>
      </c>
      <c r="AA340" s="162" t="s">
        <v>221</v>
      </c>
      <c r="AB340" s="163" t="str">
        <f>IFERROR(VLOOKUP(AA340,TD!$N$51:$O$66,2,0)," ")</f>
        <v>Servicio de atención a emergencias y desastres</v>
      </c>
      <c r="AC340" s="164" t="str">
        <f>CONCATENATE(AA340,"_",AB340)</f>
        <v>004_Servicio de atención a emergencias y desastres</v>
      </c>
      <c r="AD340" s="164" t="str">
        <f>CONCATENATE(Z340," ",AC340)</f>
        <v>04-Servicio de atención a incidentes y emergencias. 004_Servicio de atención a emergencias y desastres</v>
      </c>
      <c r="AE340" s="163" t="str">
        <f>CONCATENATE(U340,V340,W340,X340,AA340)</f>
        <v>O23011745032024025504004</v>
      </c>
      <c r="AF340" s="163" t="str">
        <f>IFERROR(VLOOKUP(AD340,TD!$J$66:$K$89,2,0)," ")</f>
        <v>PM/0131/0104/45030040255</v>
      </c>
      <c r="AG340" s="118" t="s">
        <v>385</v>
      </c>
      <c r="AH340" s="162" t="s">
        <v>193</v>
      </c>
      <c r="AI340" s="165" t="str">
        <f>CONCATENATE(PAA[[#This Row],[Id Interno]],"-",PAA[[#This Row],[tipo de Contrato (TH talento humano - B/S bienes y/o servicios)]],"-",S340,"-",T340,"-",PAA[[#This Row],[Objeto de la contratación]])</f>
        <v>20260321-TH-8173-2-Prestación de servicios profesionales liderando la elaboración de informes estadísticos a partir de los datos asociados a los incidentes atendidos en el marco de la misionalidad de la UAECOB, para el acompañamiento de los programas de la Subdirección Operativa.</v>
      </c>
    </row>
    <row r="341" spans="2:35" ht="56" x14ac:dyDescent="0.35">
      <c r="B341" s="23">
        <v>20260322</v>
      </c>
      <c r="C341" s="99" t="s">
        <v>885</v>
      </c>
      <c r="D341" s="99" t="s">
        <v>105</v>
      </c>
      <c r="E341" s="99" t="s">
        <v>363</v>
      </c>
      <c r="F341" s="160" t="s">
        <v>144</v>
      </c>
      <c r="G341" s="160" t="s">
        <v>379</v>
      </c>
      <c r="H341" s="167">
        <v>4</v>
      </c>
      <c r="I341" s="167">
        <v>0</v>
      </c>
      <c r="J341" s="118">
        <v>26400000</v>
      </c>
      <c r="K341" s="126" t="s">
        <v>398</v>
      </c>
      <c r="L341" s="160" t="s">
        <v>158</v>
      </c>
      <c r="M341" s="166" t="s">
        <v>421</v>
      </c>
      <c r="N341" s="99" t="s">
        <v>198</v>
      </c>
      <c r="O341" s="151" t="s">
        <v>946</v>
      </c>
      <c r="P341" s="160" t="s">
        <v>348</v>
      </c>
      <c r="Q341" s="128">
        <v>80111600</v>
      </c>
      <c r="R341" s="166" t="s">
        <v>211</v>
      </c>
      <c r="S341" s="162" t="str">
        <f>MID(PAA[[#This Row],[Meta Proyecto de Inversión]],1,4)</f>
        <v>8173</v>
      </c>
      <c r="T341" s="162" t="str">
        <f>MID(PAA[[#This Row],[Meta Proyecto de Inversión]],6,1)</f>
        <v>2</v>
      </c>
      <c r="U341" s="163" t="str">
        <f>IFERROR(VLOOKUP(N341,TD!$B$50:$F$54,2,0)," ")</f>
        <v>O230117</v>
      </c>
      <c r="V341" s="163" t="str">
        <f>IFERROR(VLOOKUP(N341,TD!$B$50:$F$54,3,0)," ")</f>
        <v>4503</v>
      </c>
      <c r="W341" s="163">
        <f>IFERROR(VLOOKUP(N341,TD!$B$50:$F$54,4,0)," ")</f>
        <v>20240255</v>
      </c>
      <c r="X341" s="162" t="s">
        <v>164</v>
      </c>
      <c r="Y341" s="163" t="str">
        <f>IFERROR(VLOOKUP(X341,TD!$J$51:$K$64,2,0)," ")</f>
        <v>Servicio de atención a incidentes y emergencias.</v>
      </c>
      <c r="Z341" s="164" t="str">
        <f>CONCATENATE(X341,"-",Y341)</f>
        <v>04-Servicio de atención a incidentes y emergencias.</v>
      </c>
      <c r="AA341" s="162" t="s">
        <v>221</v>
      </c>
      <c r="AB341" s="163" t="str">
        <f>IFERROR(VLOOKUP(AA341,TD!$N$51:$O$66,2,0)," ")</f>
        <v>Servicio de atención a emergencias y desastres</v>
      </c>
      <c r="AC341" s="164" t="str">
        <f>CONCATENATE(AA341,"_",AB341)</f>
        <v>004_Servicio de atención a emergencias y desastres</v>
      </c>
      <c r="AD341" s="164" t="str">
        <f>CONCATENATE(Z341," ",AC341)</f>
        <v>04-Servicio de atención a incidentes y emergencias. 004_Servicio de atención a emergencias y desastres</v>
      </c>
      <c r="AE341" s="163" t="str">
        <f>CONCATENATE(U341,V341,W341,X341,AA341)</f>
        <v>O23011745032024025504004</v>
      </c>
      <c r="AF341" s="163" t="str">
        <f>IFERROR(VLOOKUP(AD341,TD!$J$66:$K$89,2,0)," ")</f>
        <v>PM/0131/0104/45030040255</v>
      </c>
      <c r="AG341" s="118" t="s">
        <v>385</v>
      </c>
      <c r="AH341" s="162" t="s">
        <v>193</v>
      </c>
      <c r="AI341" s="165" t="str">
        <f>CONCATENATE(PAA[[#This Row],[Id Interno]],"-",PAA[[#This Row],[tipo de Contrato (TH talento humano - B/S bienes y/o servicios)]],"-",S341,"-",T341,"-",PAA[[#This Row],[Objeto de la contratación]])</f>
        <v>20260322-TH-8173-2-Prestación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v>
      </c>
    </row>
    <row r="342" spans="2:35" ht="56" x14ac:dyDescent="0.35">
      <c r="B342" s="23">
        <v>20260323</v>
      </c>
      <c r="C342" s="99" t="s">
        <v>886</v>
      </c>
      <c r="D342" s="99" t="s">
        <v>105</v>
      </c>
      <c r="E342" s="99" t="s">
        <v>363</v>
      </c>
      <c r="F342" s="160" t="s">
        <v>144</v>
      </c>
      <c r="G342" s="160" t="s">
        <v>379</v>
      </c>
      <c r="H342" s="167">
        <v>5</v>
      </c>
      <c r="I342" s="167">
        <v>0</v>
      </c>
      <c r="J342" s="118">
        <v>48500000</v>
      </c>
      <c r="K342" s="126" t="s">
        <v>398</v>
      </c>
      <c r="L342" s="160" t="s">
        <v>158</v>
      </c>
      <c r="M342" s="166" t="s">
        <v>421</v>
      </c>
      <c r="N342" s="99" t="s">
        <v>198</v>
      </c>
      <c r="O342" s="151" t="s">
        <v>946</v>
      </c>
      <c r="P342" s="160" t="s">
        <v>348</v>
      </c>
      <c r="Q342" s="128">
        <v>80111600</v>
      </c>
      <c r="R342" s="166" t="s">
        <v>211</v>
      </c>
      <c r="S342" s="162" t="str">
        <f>MID(PAA[[#This Row],[Meta Proyecto de Inversión]],1,4)</f>
        <v>8173</v>
      </c>
      <c r="T342" s="162" t="str">
        <f>MID(PAA[[#This Row],[Meta Proyecto de Inversión]],6,1)</f>
        <v>2</v>
      </c>
      <c r="U342" s="163" t="str">
        <f>IFERROR(VLOOKUP(N342,TD!$B$50:$F$54,2,0)," ")</f>
        <v>O230117</v>
      </c>
      <c r="V342" s="163" t="str">
        <f>IFERROR(VLOOKUP(N342,TD!$B$50:$F$54,3,0)," ")</f>
        <v>4503</v>
      </c>
      <c r="W342" s="163">
        <f>IFERROR(VLOOKUP(N342,TD!$B$50:$F$54,4,0)," ")</f>
        <v>20240255</v>
      </c>
      <c r="X342" s="162" t="s">
        <v>164</v>
      </c>
      <c r="Y342" s="163" t="str">
        <f>IFERROR(VLOOKUP(X342,TD!$J$51:$K$64,2,0)," ")</f>
        <v>Servicio de atención a incidentes y emergencias.</v>
      </c>
      <c r="Z342" s="164" t="str">
        <f>CONCATENATE(X342,"-",Y342)</f>
        <v>04-Servicio de atención a incidentes y emergencias.</v>
      </c>
      <c r="AA342" s="162" t="s">
        <v>221</v>
      </c>
      <c r="AB342" s="163" t="str">
        <f>IFERROR(VLOOKUP(AA342,TD!$N$51:$O$66,2,0)," ")</f>
        <v>Servicio de atención a emergencias y desastres</v>
      </c>
      <c r="AC342" s="164" t="str">
        <f>CONCATENATE(AA342,"_",AB342)</f>
        <v>004_Servicio de atención a emergencias y desastres</v>
      </c>
      <c r="AD342" s="164" t="str">
        <f>CONCATENATE(Z342," ",AC342)</f>
        <v>04-Servicio de atención a incidentes y emergencias. 004_Servicio de atención a emergencias y desastres</v>
      </c>
      <c r="AE342" s="163" t="str">
        <f>CONCATENATE(U342,V342,W342,X342,AA342)</f>
        <v>O23011745032024025504004</v>
      </c>
      <c r="AF342" s="163" t="str">
        <f>IFERROR(VLOOKUP(AD342,TD!$J$66:$K$89,2,0)," ")</f>
        <v>PM/0131/0104/45030040255</v>
      </c>
      <c r="AG342" s="118" t="s">
        <v>385</v>
      </c>
      <c r="AH342" s="162" t="s">
        <v>193</v>
      </c>
      <c r="AI342" s="165" t="str">
        <f>CONCATENATE(PAA[[#This Row],[Id Interno]],"-",PAA[[#This Row],[tipo de Contrato (TH talento humano - B/S bienes y/o servicios)]],"-",S342,"-",T342,"-",PAA[[#This Row],[Objeto de la contratación]])</f>
        <v>20260323-TH-8173-2-Prestar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v>
      </c>
    </row>
    <row r="343" spans="2:35" ht="56" x14ac:dyDescent="0.35">
      <c r="B343" s="23">
        <v>20260324</v>
      </c>
      <c r="C343" s="99" t="s">
        <v>887</v>
      </c>
      <c r="D343" s="99" t="s">
        <v>105</v>
      </c>
      <c r="E343" s="99" t="s">
        <v>363</v>
      </c>
      <c r="F343" s="160" t="s">
        <v>144</v>
      </c>
      <c r="G343" s="160" t="s">
        <v>379</v>
      </c>
      <c r="H343" s="167">
        <v>5</v>
      </c>
      <c r="I343" s="167">
        <v>0</v>
      </c>
      <c r="J343" s="118">
        <v>48500000</v>
      </c>
      <c r="K343" s="126" t="s">
        <v>398</v>
      </c>
      <c r="L343" s="160" t="s">
        <v>158</v>
      </c>
      <c r="M343" s="166" t="s">
        <v>421</v>
      </c>
      <c r="N343" s="99" t="s">
        <v>198</v>
      </c>
      <c r="O343" s="151" t="s">
        <v>946</v>
      </c>
      <c r="P343" s="160" t="s">
        <v>348</v>
      </c>
      <c r="Q343" s="128">
        <v>80111600</v>
      </c>
      <c r="R343" s="166" t="s">
        <v>211</v>
      </c>
      <c r="S343" s="162" t="str">
        <f>MID(PAA[[#This Row],[Meta Proyecto de Inversión]],1,4)</f>
        <v>8173</v>
      </c>
      <c r="T343" s="162" t="str">
        <f>MID(PAA[[#This Row],[Meta Proyecto de Inversión]],6,1)</f>
        <v>2</v>
      </c>
      <c r="U343" s="163" t="str">
        <f>IFERROR(VLOOKUP(N343,TD!$B$50:$F$54,2,0)," ")</f>
        <v>O230117</v>
      </c>
      <c r="V343" s="163" t="str">
        <f>IFERROR(VLOOKUP(N343,TD!$B$50:$F$54,3,0)," ")</f>
        <v>4503</v>
      </c>
      <c r="W343" s="163">
        <f>IFERROR(VLOOKUP(N343,TD!$B$50:$F$54,4,0)," ")</f>
        <v>20240255</v>
      </c>
      <c r="X343" s="162" t="s">
        <v>164</v>
      </c>
      <c r="Y343" s="163" t="str">
        <f>IFERROR(VLOOKUP(X343,TD!$J$51:$K$64,2,0)," ")</f>
        <v>Servicio de atención a incidentes y emergencias.</v>
      </c>
      <c r="Z343" s="164" t="str">
        <f>CONCATENATE(X343,"-",Y343)</f>
        <v>04-Servicio de atención a incidentes y emergencias.</v>
      </c>
      <c r="AA343" s="162" t="s">
        <v>221</v>
      </c>
      <c r="AB343" s="163" t="str">
        <f>IFERROR(VLOOKUP(AA343,TD!$N$51:$O$66,2,0)," ")</f>
        <v>Servicio de atención a emergencias y desastres</v>
      </c>
      <c r="AC343" s="164" t="str">
        <f>CONCATENATE(AA343,"_",AB343)</f>
        <v>004_Servicio de atención a emergencias y desastres</v>
      </c>
      <c r="AD343" s="164" t="str">
        <f>CONCATENATE(Z343," ",AC343)</f>
        <v>04-Servicio de atención a incidentes y emergencias. 004_Servicio de atención a emergencias y desastres</v>
      </c>
      <c r="AE343" s="163" t="str">
        <f>CONCATENATE(U343,V343,W343,X343,AA343)</f>
        <v>O23011745032024025504004</v>
      </c>
      <c r="AF343" s="163" t="str">
        <f>IFERROR(VLOOKUP(AD343,TD!$J$66:$K$89,2,0)," ")</f>
        <v>PM/0131/0104/45030040255</v>
      </c>
      <c r="AG343" s="118" t="s">
        <v>385</v>
      </c>
      <c r="AH343" s="162" t="s">
        <v>193</v>
      </c>
      <c r="AI343" s="165" t="str">
        <f>CONCATENATE(PAA[[#This Row],[Id Interno]],"-",PAA[[#This Row],[tipo de Contrato (TH talento humano - B/S bienes y/o servicios)]],"-",S343,"-",T343,"-",PAA[[#This Row],[Objeto de la contratación]])</f>
        <v>20260324-TH-8173-2-Prestación de servicios profesionales jurídicos para  realizar el seguimiento y control de las actividades de gestión propias de los procesos y procedimientos, para el acompañamiento de los programas de la Subdirección Operativa-S.O.</v>
      </c>
    </row>
    <row r="344" spans="2:35" ht="56" x14ac:dyDescent="0.35">
      <c r="B344" s="23">
        <v>20260325</v>
      </c>
      <c r="C344" s="99" t="s">
        <v>888</v>
      </c>
      <c r="D344" s="99" t="s">
        <v>105</v>
      </c>
      <c r="E344" s="99" t="s">
        <v>363</v>
      </c>
      <c r="F344" s="160" t="s">
        <v>144</v>
      </c>
      <c r="G344" s="160" t="s">
        <v>379</v>
      </c>
      <c r="H344" s="167">
        <v>5</v>
      </c>
      <c r="I344" s="167">
        <v>0</v>
      </c>
      <c r="J344" s="118">
        <v>48500000</v>
      </c>
      <c r="K344" s="126" t="s">
        <v>398</v>
      </c>
      <c r="L344" s="160" t="s">
        <v>158</v>
      </c>
      <c r="M344" s="166" t="s">
        <v>421</v>
      </c>
      <c r="N344" s="99" t="s">
        <v>198</v>
      </c>
      <c r="O344" s="151" t="s">
        <v>946</v>
      </c>
      <c r="P344" s="160" t="s">
        <v>348</v>
      </c>
      <c r="Q344" s="128">
        <v>80111600</v>
      </c>
      <c r="R344" s="166" t="s">
        <v>211</v>
      </c>
      <c r="S344" s="162" t="str">
        <f>MID(PAA[[#This Row],[Meta Proyecto de Inversión]],1,4)</f>
        <v>8173</v>
      </c>
      <c r="T344" s="162" t="str">
        <f>MID(PAA[[#This Row],[Meta Proyecto de Inversión]],6,1)</f>
        <v>2</v>
      </c>
      <c r="U344" s="163" t="str">
        <f>IFERROR(VLOOKUP(N344,TD!$B$50:$F$54,2,0)," ")</f>
        <v>O230117</v>
      </c>
      <c r="V344" s="163" t="str">
        <f>IFERROR(VLOOKUP(N344,TD!$B$50:$F$54,3,0)," ")</f>
        <v>4503</v>
      </c>
      <c r="W344" s="163">
        <f>IFERROR(VLOOKUP(N344,TD!$B$50:$F$54,4,0)," ")</f>
        <v>20240255</v>
      </c>
      <c r="X344" s="162" t="s">
        <v>164</v>
      </c>
      <c r="Y344" s="163" t="str">
        <f>IFERROR(VLOOKUP(X344,TD!$J$51:$K$64,2,0)," ")</f>
        <v>Servicio de atención a incidentes y emergencias.</v>
      </c>
      <c r="Z344" s="164" t="str">
        <f>CONCATENATE(X344,"-",Y344)</f>
        <v>04-Servicio de atención a incidentes y emergencias.</v>
      </c>
      <c r="AA344" s="162" t="s">
        <v>221</v>
      </c>
      <c r="AB344" s="163" t="str">
        <f>IFERROR(VLOOKUP(AA344,TD!$N$51:$O$66,2,0)," ")</f>
        <v>Servicio de atención a emergencias y desastres</v>
      </c>
      <c r="AC344" s="164" t="str">
        <f>CONCATENATE(AA344,"_",AB344)</f>
        <v>004_Servicio de atención a emergencias y desastres</v>
      </c>
      <c r="AD344" s="164" t="str">
        <f>CONCATENATE(Z344," ",AC344)</f>
        <v>04-Servicio de atención a incidentes y emergencias. 004_Servicio de atención a emergencias y desastres</v>
      </c>
      <c r="AE344" s="163" t="str">
        <f>CONCATENATE(U344,V344,W344,X344,AA344)</f>
        <v>O23011745032024025504004</v>
      </c>
      <c r="AF344" s="163" t="str">
        <f>IFERROR(VLOOKUP(AD344,TD!$J$66:$K$89,2,0)," ")</f>
        <v>PM/0131/0104/45030040255</v>
      </c>
      <c r="AG344" s="118" t="s">
        <v>385</v>
      </c>
      <c r="AH344" s="162" t="s">
        <v>193</v>
      </c>
      <c r="AI344" s="165" t="str">
        <f>CONCATENATE(PAA[[#This Row],[Id Interno]],"-",PAA[[#This Row],[tipo de Contrato (TH talento humano - B/S bienes y/o servicios)]],"-",S344,"-",T344,"-",PAA[[#This Row],[Objeto de la contratación]])</f>
        <v>20260325-TH-8173-2-Prestación de servicios profesionales jurídicos para  realizar el seguimiento y control de las actividades de gestión propias de los procesos y procedimientos, para el acompañamiento de los programas de la subdirección operativa y de las respuestas a Entes de control-S.O.</v>
      </c>
    </row>
    <row r="345" spans="2:35" ht="56" x14ac:dyDescent="0.35">
      <c r="B345" s="23">
        <v>20260326</v>
      </c>
      <c r="C345" s="99" t="s">
        <v>889</v>
      </c>
      <c r="D345" s="99" t="s">
        <v>105</v>
      </c>
      <c r="E345" s="99" t="s">
        <v>363</v>
      </c>
      <c r="F345" s="160" t="s">
        <v>144</v>
      </c>
      <c r="G345" s="160" t="s">
        <v>379</v>
      </c>
      <c r="H345" s="167">
        <v>5</v>
      </c>
      <c r="I345" s="167">
        <v>0</v>
      </c>
      <c r="J345" s="118">
        <v>33500000</v>
      </c>
      <c r="K345" s="126" t="s">
        <v>398</v>
      </c>
      <c r="L345" s="160" t="s">
        <v>158</v>
      </c>
      <c r="M345" s="166" t="s">
        <v>421</v>
      </c>
      <c r="N345" s="99" t="s">
        <v>198</v>
      </c>
      <c r="O345" s="151" t="s">
        <v>946</v>
      </c>
      <c r="P345" s="160" t="s">
        <v>348</v>
      </c>
      <c r="Q345" s="128">
        <v>80111600</v>
      </c>
      <c r="R345" s="166" t="s">
        <v>211</v>
      </c>
      <c r="S345" s="162" t="str">
        <f>MID(PAA[[#This Row],[Meta Proyecto de Inversión]],1,4)</f>
        <v>8173</v>
      </c>
      <c r="T345" s="162" t="str">
        <f>MID(PAA[[#This Row],[Meta Proyecto de Inversión]],6,1)</f>
        <v>2</v>
      </c>
      <c r="U345" s="163" t="str">
        <f>IFERROR(VLOOKUP(N345,TD!$B$50:$F$54,2,0)," ")</f>
        <v>O230117</v>
      </c>
      <c r="V345" s="163" t="str">
        <f>IFERROR(VLOOKUP(N345,TD!$B$50:$F$54,3,0)," ")</f>
        <v>4503</v>
      </c>
      <c r="W345" s="163">
        <f>IFERROR(VLOOKUP(N345,TD!$B$50:$F$54,4,0)," ")</f>
        <v>20240255</v>
      </c>
      <c r="X345" s="162" t="s">
        <v>164</v>
      </c>
      <c r="Y345" s="163" t="str">
        <f>IFERROR(VLOOKUP(X345,TD!$J$51:$K$64,2,0)," ")</f>
        <v>Servicio de atención a incidentes y emergencias.</v>
      </c>
      <c r="Z345" s="164" t="str">
        <f>CONCATENATE(X345,"-",Y345)</f>
        <v>04-Servicio de atención a incidentes y emergencias.</v>
      </c>
      <c r="AA345" s="162" t="s">
        <v>221</v>
      </c>
      <c r="AB345" s="163" t="str">
        <f>IFERROR(VLOOKUP(AA345,TD!$N$51:$O$66,2,0)," ")</f>
        <v>Servicio de atención a emergencias y desastres</v>
      </c>
      <c r="AC345" s="164" t="str">
        <f>CONCATENATE(AA345,"_",AB345)</f>
        <v>004_Servicio de atención a emergencias y desastres</v>
      </c>
      <c r="AD345" s="164" t="str">
        <f>CONCATENATE(Z345," ",AC345)</f>
        <v>04-Servicio de atención a incidentes y emergencias. 004_Servicio de atención a emergencias y desastres</v>
      </c>
      <c r="AE345" s="163" t="str">
        <f>CONCATENATE(U345,V345,W345,X345,AA345)</f>
        <v>O23011745032024025504004</v>
      </c>
      <c r="AF345" s="163" t="str">
        <f>IFERROR(VLOOKUP(AD345,TD!$J$66:$K$89,2,0)," ")</f>
        <v>PM/0131/0104/45030040255</v>
      </c>
      <c r="AG345" s="118" t="s">
        <v>385</v>
      </c>
      <c r="AH345" s="162" t="s">
        <v>193</v>
      </c>
      <c r="AI345" s="165" t="str">
        <f>CONCATENATE(PAA[[#This Row],[Id Interno]],"-",PAA[[#This Row],[tipo de Contrato (TH talento humano - B/S bienes y/o servicios)]],"-",S345,"-",T345,"-",PAA[[#This Row],[Objeto de la contratación]])</f>
        <v>20260326-TH-8173-2-Prestación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de la Subdireccion Operativa-S.O.</v>
      </c>
    </row>
    <row r="346" spans="2:35" ht="56" x14ac:dyDescent="0.35">
      <c r="B346" s="23">
        <v>20260327</v>
      </c>
      <c r="C346" s="99" t="s">
        <v>890</v>
      </c>
      <c r="D346" s="99" t="s">
        <v>105</v>
      </c>
      <c r="E346" s="99" t="s">
        <v>363</v>
      </c>
      <c r="F346" s="160" t="s">
        <v>144</v>
      </c>
      <c r="G346" s="160" t="s">
        <v>379</v>
      </c>
      <c r="H346" s="167">
        <v>5</v>
      </c>
      <c r="I346" s="167">
        <v>0</v>
      </c>
      <c r="J346" s="118">
        <v>36000000</v>
      </c>
      <c r="K346" s="126" t="s">
        <v>398</v>
      </c>
      <c r="L346" s="160" t="s">
        <v>158</v>
      </c>
      <c r="M346" s="166" t="s">
        <v>421</v>
      </c>
      <c r="N346" s="99" t="s">
        <v>198</v>
      </c>
      <c r="O346" s="151" t="s">
        <v>946</v>
      </c>
      <c r="P346" s="160" t="s">
        <v>348</v>
      </c>
      <c r="Q346" s="128">
        <v>80111600</v>
      </c>
      <c r="R346" s="166" t="s">
        <v>211</v>
      </c>
      <c r="S346" s="162" t="str">
        <f>MID(PAA[[#This Row],[Meta Proyecto de Inversión]],1,4)</f>
        <v>8173</v>
      </c>
      <c r="T346" s="162" t="str">
        <f>MID(PAA[[#This Row],[Meta Proyecto de Inversión]],6,1)</f>
        <v>2</v>
      </c>
      <c r="U346" s="163" t="str">
        <f>IFERROR(VLOOKUP(N346,TD!$B$50:$F$54,2,0)," ")</f>
        <v>O230117</v>
      </c>
      <c r="V346" s="163" t="str">
        <f>IFERROR(VLOOKUP(N346,TD!$B$50:$F$54,3,0)," ")</f>
        <v>4503</v>
      </c>
      <c r="W346" s="163">
        <f>IFERROR(VLOOKUP(N346,TD!$B$50:$F$54,4,0)," ")</f>
        <v>20240255</v>
      </c>
      <c r="X346" s="162" t="s">
        <v>164</v>
      </c>
      <c r="Y346" s="163" t="str">
        <f>IFERROR(VLOOKUP(X346,TD!$J$51:$K$64,2,0)," ")</f>
        <v>Servicio de atención a incidentes y emergencias.</v>
      </c>
      <c r="Z346" s="164" t="str">
        <f>CONCATENATE(X346,"-",Y346)</f>
        <v>04-Servicio de atención a incidentes y emergencias.</v>
      </c>
      <c r="AA346" s="162" t="s">
        <v>221</v>
      </c>
      <c r="AB346" s="163" t="str">
        <f>IFERROR(VLOOKUP(AA346,TD!$N$51:$O$66,2,0)," ")</f>
        <v>Servicio de atención a emergencias y desastres</v>
      </c>
      <c r="AC346" s="164" t="str">
        <f>CONCATENATE(AA346,"_",AB346)</f>
        <v>004_Servicio de atención a emergencias y desastres</v>
      </c>
      <c r="AD346" s="164" t="str">
        <f>CONCATENATE(Z346," ",AC346)</f>
        <v>04-Servicio de atención a incidentes y emergencias. 004_Servicio de atención a emergencias y desastres</v>
      </c>
      <c r="AE346" s="163" t="str">
        <f>CONCATENATE(U346,V346,W346,X346,AA346)</f>
        <v>O23011745032024025504004</v>
      </c>
      <c r="AF346" s="163" t="str">
        <f>IFERROR(VLOOKUP(AD346,TD!$J$66:$K$89,2,0)," ")</f>
        <v>PM/0131/0104/45030040255</v>
      </c>
      <c r="AG346" s="118" t="s">
        <v>385</v>
      </c>
      <c r="AH346" s="162" t="s">
        <v>193</v>
      </c>
      <c r="AI346" s="165" t="str">
        <f>CONCATENATE(PAA[[#This Row],[Id Interno]],"-",PAA[[#This Row],[tipo de Contrato (TH talento humano - B/S bienes y/o servicios)]],"-",S346,"-",T346,"-",PAA[[#This Row],[Objeto de la contratación]])</f>
        <v>20260327-TH-8173-2-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de la Subdirección Operativa-S.O.</v>
      </c>
    </row>
    <row r="347" spans="2:35" ht="56" x14ac:dyDescent="0.35">
      <c r="B347" s="23">
        <v>20260328</v>
      </c>
      <c r="C347" s="99" t="s">
        <v>891</v>
      </c>
      <c r="D347" s="99" t="s">
        <v>105</v>
      </c>
      <c r="E347" s="99" t="s">
        <v>363</v>
      </c>
      <c r="F347" s="160" t="s">
        <v>144</v>
      </c>
      <c r="G347" s="160" t="s">
        <v>379</v>
      </c>
      <c r="H347" s="167">
        <v>5</v>
      </c>
      <c r="I347" s="167">
        <v>0</v>
      </c>
      <c r="J347" s="118">
        <v>42500000</v>
      </c>
      <c r="K347" s="126" t="s">
        <v>398</v>
      </c>
      <c r="L347" s="160" t="s">
        <v>158</v>
      </c>
      <c r="M347" s="166" t="s">
        <v>421</v>
      </c>
      <c r="N347" s="99" t="s">
        <v>198</v>
      </c>
      <c r="O347" s="151" t="s">
        <v>946</v>
      </c>
      <c r="P347" s="160" t="s">
        <v>348</v>
      </c>
      <c r="Q347" s="128">
        <v>80111600</v>
      </c>
      <c r="R347" s="166" t="s">
        <v>211</v>
      </c>
      <c r="S347" s="162" t="str">
        <f>MID(PAA[[#This Row],[Meta Proyecto de Inversión]],1,4)</f>
        <v>8173</v>
      </c>
      <c r="T347" s="162" t="str">
        <f>MID(PAA[[#This Row],[Meta Proyecto de Inversión]],6,1)</f>
        <v>2</v>
      </c>
      <c r="U347" s="163" t="str">
        <f>IFERROR(VLOOKUP(N347,TD!$B$50:$F$54,2,0)," ")</f>
        <v>O230117</v>
      </c>
      <c r="V347" s="163" t="str">
        <f>IFERROR(VLOOKUP(N347,TD!$B$50:$F$54,3,0)," ")</f>
        <v>4503</v>
      </c>
      <c r="W347" s="163">
        <f>IFERROR(VLOOKUP(N347,TD!$B$50:$F$54,4,0)," ")</f>
        <v>20240255</v>
      </c>
      <c r="X347" s="162" t="s">
        <v>164</v>
      </c>
      <c r="Y347" s="163" t="str">
        <f>IFERROR(VLOOKUP(X347,TD!$J$51:$K$64,2,0)," ")</f>
        <v>Servicio de atención a incidentes y emergencias.</v>
      </c>
      <c r="Z347" s="164" t="str">
        <f>CONCATENATE(X347,"-",Y347)</f>
        <v>04-Servicio de atención a incidentes y emergencias.</v>
      </c>
      <c r="AA347" s="162" t="s">
        <v>221</v>
      </c>
      <c r="AB347" s="163" t="str">
        <f>IFERROR(VLOOKUP(AA347,TD!$N$51:$O$66,2,0)," ")</f>
        <v>Servicio de atención a emergencias y desastres</v>
      </c>
      <c r="AC347" s="164" t="str">
        <f>CONCATENATE(AA347,"_",AB347)</f>
        <v>004_Servicio de atención a emergencias y desastres</v>
      </c>
      <c r="AD347" s="164" t="str">
        <f>CONCATENATE(Z347," ",AC347)</f>
        <v>04-Servicio de atención a incidentes y emergencias. 004_Servicio de atención a emergencias y desastres</v>
      </c>
      <c r="AE347" s="163" t="str">
        <f>CONCATENATE(U347,V347,W347,X347,AA347)</f>
        <v>O23011745032024025504004</v>
      </c>
      <c r="AF347" s="163" t="str">
        <f>IFERROR(VLOOKUP(AD347,TD!$J$66:$K$89,2,0)," ")</f>
        <v>PM/0131/0104/45030040255</v>
      </c>
      <c r="AG347" s="118" t="s">
        <v>385</v>
      </c>
      <c r="AH347" s="162" t="s">
        <v>193</v>
      </c>
      <c r="AI347" s="165" t="str">
        <f>CONCATENATE(PAA[[#This Row],[Id Interno]],"-",PAA[[#This Row],[tipo de Contrato (TH talento humano - B/S bienes y/o servicios)]],"-",S347,"-",T347,"-",PAA[[#This Row],[Objeto de la contratación]])</f>
        <v>20260328-TH-8173-2-Prestación de servicios profesionales para realizar la consolidación, seguimiento financiero, control y reporte de los planes y proyectos de inversión e indicadores, para el apoyo de los programas de la Subdirección Operativa-S.O.</v>
      </c>
    </row>
    <row r="348" spans="2:35" ht="56" x14ac:dyDescent="0.35">
      <c r="B348" s="23">
        <v>20260329</v>
      </c>
      <c r="C348" s="99" t="s">
        <v>892</v>
      </c>
      <c r="D348" s="99" t="s">
        <v>105</v>
      </c>
      <c r="E348" s="99" t="s">
        <v>363</v>
      </c>
      <c r="F348" s="160" t="s">
        <v>144</v>
      </c>
      <c r="G348" s="160" t="s">
        <v>379</v>
      </c>
      <c r="H348" s="167">
        <v>5</v>
      </c>
      <c r="I348" s="167">
        <v>0</v>
      </c>
      <c r="J348" s="118">
        <v>48500000</v>
      </c>
      <c r="K348" s="126" t="s">
        <v>398</v>
      </c>
      <c r="L348" s="160" t="s">
        <v>158</v>
      </c>
      <c r="M348" s="166" t="s">
        <v>421</v>
      </c>
      <c r="N348" s="99" t="s">
        <v>198</v>
      </c>
      <c r="O348" s="151" t="s">
        <v>946</v>
      </c>
      <c r="P348" s="160" t="s">
        <v>348</v>
      </c>
      <c r="Q348" s="128">
        <v>80111600</v>
      </c>
      <c r="R348" s="166" t="s">
        <v>211</v>
      </c>
      <c r="S348" s="162" t="str">
        <f>MID(PAA[[#This Row],[Meta Proyecto de Inversión]],1,4)</f>
        <v>8173</v>
      </c>
      <c r="T348" s="162" t="str">
        <f>MID(PAA[[#This Row],[Meta Proyecto de Inversión]],6,1)</f>
        <v>2</v>
      </c>
      <c r="U348" s="163" t="str">
        <f>IFERROR(VLOOKUP(N348,TD!$B$50:$F$54,2,0)," ")</f>
        <v>O230117</v>
      </c>
      <c r="V348" s="163" t="str">
        <f>IFERROR(VLOOKUP(N348,TD!$B$50:$F$54,3,0)," ")</f>
        <v>4503</v>
      </c>
      <c r="W348" s="163">
        <f>IFERROR(VLOOKUP(N348,TD!$B$50:$F$54,4,0)," ")</f>
        <v>20240255</v>
      </c>
      <c r="X348" s="162" t="s">
        <v>164</v>
      </c>
      <c r="Y348" s="163" t="str">
        <f>IFERROR(VLOOKUP(X348,TD!$J$51:$K$64,2,0)," ")</f>
        <v>Servicio de atención a incidentes y emergencias.</v>
      </c>
      <c r="Z348" s="164" t="str">
        <f>CONCATENATE(X348,"-",Y348)</f>
        <v>04-Servicio de atención a incidentes y emergencias.</v>
      </c>
      <c r="AA348" s="162" t="s">
        <v>221</v>
      </c>
      <c r="AB348" s="163" t="str">
        <f>IFERROR(VLOOKUP(AA348,TD!$N$51:$O$66,2,0)," ")</f>
        <v>Servicio de atención a emergencias y desastres</v>
      </c>
      <c r="AC348" s="164" t="str">
        <f>CONCATENATE(AA348,"_",AB348)</f>
        <v>004_Servicio de atención a emergencias y desastres</v>
      </c>
      <c r="AD348" s="164" t="str">
        <f>CONCATENATE(Z348," ",AC348)</f>
        <v>04-Servicio de atención a incidentes y emergencias. 004_Servicio de atención a emergencias y desastres</v>
      </c>
      <c r="AE348" s="163" t="str">
        <f>CONCATENATE(U348,V348,W348,X348,AA348)</f>
        <v>O23011745032024025504004</v>
      </c>
      <c r="AF348" s="163" t="str">
        <f>IFERROR(VLOOKUP(AD348,TD!$J$66:$K$89,2,0)," ")</f>
        <v>PM/0131/0104/45030040255</v>
      </c>
      <c r="AG348" s="118" t="s">
        <v>385</v>
      </c>
      <c r="AH348" s="162" t="s">
        <v>193</v>
      </c>
      <c r="AI348" s="165" t="str">
        <f>CONCATENATE(PAA[[#This Row],[Id Interno]],"-",PAA[[#This Row],[tipo de Contrato (TH talento humano - B/S bienes y/o servicios)]],"-",S348,"-",T348,"-",PAA[[#This Row],[Objeto de la contratación]])</f>
        <v>20260329-TH-8173-2-Prestación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v>
      </c>
    </row>
    <row r="349" spans="2:35" ht="56" x14ac:dyDescent="0.35">
      <c r="B349" s="23">
        <v>20260330</v>
      </c>
      <c r="C349" s="99" t="s">
        <v>893</v>
      </c>
      <c r="D349" s="99" t="s">
        <v>105</v>
      </c>
      <c r="E349" s="99" t="s">
        <v>363</v>
      </c>
      <c r="F349" s="160" t="s">
        <v>145</v>
      </c>
      <c r="G349" s="160" t="s">
        <v>379</v>
      </c>
      <c r="H349" s="167">
        <v>6</v>
      </c>
      <c r="I349" s="167">
        <v>0</v>
      </c>
      <c r="J349" s="118">
        <v>18900000</v>
      </c>
      <c r="K349" s="126" t="s">
        <v>398</v>
      </c>
      <c r="L349" s="160" t="s">
        <v>158</v>
      </c>
      <c r="M349" s="166" t="s">
        <v>421</v>
      </c>
      <c r="N349" s="99" t="s">
        <v>198</v>
      </c>
      <c r="O349" s="151" t="s">
        <v>946</v>
      </c>
      <c r="P349" s="160" t="s">
        <v>348</v>
      </c>
      <c r="Q349" s="128">
        <v>80111600</v>
      </c>
      <c r="R349" s="166" t="s">
        <v>211</v>
      </c>
      <c r="S349" s="162" t="str">
        <f>MID(PAA[[#This Row],[Meta Proyecto de Inversión]],1,4)</f>
        <v>8173</v>
      </c>
      <c r="T349" s="162" t="str">
        <f>MID(PAA[[#This Row],[Meta Proyecto de Inversión]],6,1)</f>
        <v>2</v>
      </c>
      <c r="U349" s="163" t="str">
        <f>IFERROR(VLOOKUP(N349,TD!$B$50:$F$54,2,0)," ")</f>
        <v>O230117</v>
      </c>
      <c r="V349" s="163" t="str">
        <f>IFERROR(VLOOKUP(N349,TD!$B$50:$F$54,3,0)," ")</f>
        <v>4503</v>
      </c>
      <c r="W349" s="163">
        <f>IFERROR(VLOOKUP(N349,TD!$B$50:$F$54,4,0)," ")</f>
        <v>20240255</v>
      </c>
      <c r="X349" s="162" t="s">
        <v>164</v>
      </c>
      <c r="Y349" s="163" t="str">
        <f>IFERROR(VLOOKUP(X349,TD!$J$51:$K$64,2,0)," ")</f>
        <v>Servicio de atención a incidentes y emergencias.</v>
      </c>
      <c r="Z349" s="164" t="str">
        <f>CONCATENATE(X349,"-",Y349)</f>
        <v>04-Servicio de atención a incidentes y emergencias.</v>
      </c>
      <c r="AA349" s="162" t="s">
        <v>221</v>
      </c>
      <c r="AB349" s="163" t="str">
        <f>IFERROR(VLOOKUP(AA349,TD!$N$51:$O$66,2,0)," ")</f>
        <v>Servicio de atención a emergencias y desastres</v>
      </c>
      <c r="AC349" s="164" t="str">
        <f>CONCATENATE(AA349,"_",AB349)</f>
        <v>004_Servicio de atención a emergencias y desastres</v>
      </c>
      <c r="AD349" s="164" t="str">
        <f>CONCATENATE(Z349," ",AC349)</f>
        <v>04-Servicio de atención a incidentes y emergencias. 004_Servicio de atención a emergencias y desastres</v>
      </c>
      <c r="AE349" s="163" t="str">
        <f>CONCATENATE(U349,V349,W349,X349,AA349)</f>
        <v>O23011745032024025504004</v>
      </c>
      <c r="AF349" s="163" t="str">
        <f>IFERROR(VLOOKUP(AD349,TD!$J$66:$K$89,2,0)," ")</f>
        <v>PM/0131/0104/45030040255</v>
      </c>
      <c r="AG349" s="118" t="s">
        <v>385</v>
      </c>
      <c r="AH349" s="162" t="s">
        <v>193</v>
      </c>
      <c r="AI349" s="165" t="str">
        <f>CONCATENATE(PAA[[#This Row],[Id Interno]],"-",PAA[[#This Row],[tipo de Contrato (TH talento humano - B/S bienes y/o servicios)]],"-",S349,"-",T349,"-",PAA[[#This Row],[Objeto de la contratación]])</f>
        <v>20260330-TH-8173-2-Prestación de servicios de apoyo a la gestión en las actividades documentales, administrativas y manejo de las herramientas de gestión, para el acompañamiento de los programas de la Subdirección Operativa S.O.</v>
      </c>
    </row>
    <row r="350" spans="2:35" ht="56" x14ac:dyDescent="0.35">
      <c r="B350" s="23">
        <v>20260332</v>
      </c>
      <c r="C350" s="99" t="s">
        <v>894</v>
      </c>
      <c r="D350" s="99" t="s">
        <v>105</v>
      </c>
      <c r="E350" s="99" t="s">
        <v>363</v>
      </c>
      <c r="F350" s="160" t="s">
        <v>144</v>
      </c>
      <c r="G350" s="160" t="s">
        <v>379</v>
      </c>
      <c r="H350" s="167">
        <v>3</v>
      </c>
      <c r="I350" s="167">
        <v>0</v>
      </c>
      <c r="J350" s="118">
        <v>21600000</v>
      </c>
      <c r="K350" s="126" t="s">
        <v>398</v>
      </c>
      <c r="L350" s="160" t="s">
        <v>158</v>
      </c>
      <c r="M350" s="166" t="s">
        <v>421</v>
      </c>
      <c r="N350" s="99" t="s">
        <v>198</v>
      </c>
      <c r="O350" s="151" t="s">
        <v>946</v>
      </c>
      <c r="P350" s="160" t="s">
        <v>348</v>
      </c>
      <c r="Q350" s="128">
        <v>80111600</v>
      </c>
      <c r="R350" s="166" t="s">
        <v>211</v>
      </c>
      <c r="S350" s="162" t="str">
        <f>MID(PAA[[#This Row],[Meta Proyecto de Inversión]],1,4)</f>
        <v>8173</v>
      </c>
      <c r="T350" s="162" t="str">
        <f>MID(PAA[[#This Row],[Meta Proyecto de Inversión]],6,1)</f>
        <v>2</v>
      </c>
      <c r="U350" s="163" t="str">
        <f>IFERROR(VLOOKUP(N350,TD!$B$50:$F$54,2,0)," ")</f>
        <v>O230117</v>
      </c>
      <c r="V350" s="163" t="str">
        <f>IFERROR(VLOOKUP(N350,TD!$B$50:$F$54,3,0)," ")</f>
        <v>4503</v>
      </c>
      <c r="W350" s="163">
        <f>IFERROR(VLOOKUP(N350,TD!$B$50:$F$54,4,0)," ")</f>
        <v>20240255</v>
      </c>
      <c r="X350" s="162" t="s">
        <v>164</v>
      </c>
      <c r="Y350" s="163" t="str">
        <f>IFERROR(VLOOKUP(X350,TD!$J$51:$K$64,2,0)," ")</f>
        <v>Servicio de atención a incidentes y emergencias.</v>
      </c>
      <c r="Z350" s="164" t="str">
        <f>CONCATENATE(X350,"-",Y350)</f>
        <v>04-Servicio de atención a incidentes y emergencias.</v>
      </c>
      <c r="AA350" s="162" t="s">
        <v>221</v>
      </c>
      <c r="AB350" s="163" t="str">
        <f>IFERROR(VLOOKUP(AA350,TD!$N$51:$O$66,2,0)," ")</f>
        <v>Servicio de atención a emergencias y desastres</v>
      </c>
      <c r="AC350" s="164" t="str">
        <f>CONCATENATE(AA350,"_",AB350)</f>
        <v>004_Servicio de atención a emergencias y desastres</v>
      </c>
      <c r="AD350" s="164" t="str">
        <f>CONCATENATE(Z350," ",AC350)</f>
        <v>04-Servicio de atención a incidentes y emergencias. 004_Servicio de atención a emergencias y desastres</v>
      </c>
      <c r="AE350" s="163" t="str">
        <f>CONCATENATE(U350,V350,W350,X350,AA350)</f>
        <v>O23011745032024025504004</v>
      </c>
      <c r="AF350" s="163" t="str">
        <f>IFERROR(VLOOKUP(AD350,TD!$J$66:$K$89,2,0)," ")</f>
        <v>PM/0131/0104/45030040255</v>
      </c>
      <c r="AG350" s="118" t="s">
        <v>385</v>
      </c>
      <c r="AH350" s="162" t="s">
        <v>193</v>
      </c>
      <c r="AI350" s="165" t="str">
        <f>CONCATENATE(PAA[[#This Row],[Id Interno]],"-",PAA[[#This Row],[tipo de Contrato (TH talento humano - B/S bienes y/o servicios)]],"-",S350,"-",T350,"-",PAA[[#This Row],[Objeto de la contratación]])</f>
        <v>20260332-TH-8173-2-Prestación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v>
      </c>
    </row>
    <row r="351" spans="2:35" ht="56" x14ac:dyDescent="0.35">
      <c r="B351" s="23">
        <v>20260333</v>
      </c>
      <c r="C351" s="99" t="s">
        <v>943</v>
      </c>
      <c r="D351" s="23" t="s">
        <v>105</v>
      </c>
      <c r="E351" s="23" t="s">
        <v>363</v>
      </c>
      <c r="F351" s="159" t="s">
        <v>145</v>
      </c>
      <c r="G351" s="160" t="s">
        <v>373</v>
      </c>
      <c r="H351" s="161">
        <v>10</v>
      </c>
      <c r="I351" s="161">
        <v>0</v>
      </c>
      <c r="J351" s="127">
        <v>37500000</v>
      </c>
      <c r="K351" s="88" t="s">
        <v>398</v>
      </c>
      <c r="L351" s="159" t="s">
        <v>156</v>
      </c>
      <c r="M351" s="162" t="s">
        <v>502</v>
      </c>
      <c r="N351" s="23" t="s">
        <v>198</v>
      </c>
      <c r="O351" s="151" t="s">
        <v>946</v>
      </c>
      <c r="P351" s="159" t="s">
        <v>348</v>
      </c>
      <c r="Q351" s="53">
        <v>80111600</v>
      </c>
      <c r="R351" s="162" t="s">
        <v>210</v>
      </c>
      <c r="S351" s="162" t="str">
        <f>MID(PAA[[#This Row],[Meta Proyecto de Inversión]],1,4)</f>
        <v>8173</v>
      </c>
      <c r="T351" s="162" t="str">
        <f>MID(PAA[[#This Row],[Meta Proyecto de Inversión]],6,1)</f>
        <v>1</v>
      </c>
      <c r="U351" s="163" t="str">
        <f>IFERROR(VLOOKUP(N351,TD!$B$50:$F$54,2,0)," ")</f>
        <v>O230117</v>
      </c>
      <c r="V351" s="163" t="str">
        <f>IFERROR(VLOOKUP(N351,TD!$B$50:$F$54,3,0)," ")</f>
        <v>4503</v>
      </c>
      <c r="W351" s="163">
        <f>IFERROR(VLOOKUP(N351,TD!$B$50:$F$54,4,0)," ")</f>
        <v>20240255</v>
      </c>
      <c r="X351" s="162" t="s">
        <v>166</v>
      </c>
      <c r="Y351" s="163" t="str">
        <f>IFERROR(VLOOKUP(X351,TD!$J$51:$K$64,2,0)," ")</f>
        <v>Servicio de capacitaciones en gestión del riesgo de incendios  a la ciudadania.</v>
      </c>
      <c r="Z351" s="164" t="str">
        <f>CONCATENATE(X351,"-",Y351)</f>
        <v>05-Servicio de capacitaciones en gestión del riesgo de incendios  a la ciudadania.</v>
      </c>
      <c r="AA351" s="162" t="s">
        <v>223</v>
      </c>
      <c r="AB351" s="163" t="str">
        <f>IFERROR(VLOOKUP(AA351,TD!$N$51:$O$66,2,0)," ")</f>
        <v>Servicio prevención y control de incendios</v>
      </c>
      <c r="AC351" s="164" t="str">
        <f>CONCATENATE(AA351,"_",AB351)</f>
        <v>035_Servicio prevención y control de incendios</v>
      </c>
      <c r="AD351" s="164" t="str">
        <f>CONCATENATE(Z351," ",AC351)</f>
        <v>05-Servicio de capacitaciones en gestión del riesgo de incendios  a la ciudadania. 035_Servicio prevención y control de incendios</v>
      </c>
      <c r="AE351" s="163" t="str">
        <f>CONCATENATE(U351,V351,W351,X351,AA351)</f>
        <v>O23011745032024025505035</v>
      </c>
      <c r="AF351" s="163" t="str">
        <f>IFERROR(VLOOKUP(AD351,TD!$J$66:$K$89,2,0)," ")</f>
        <v>PM/0131/0105/45030350255</v>
      </c>
      <c r="AG351" s="118" t="s">
        <v>385</v>
      </c>
      <c r="AH351" s="162" t="s">
        <v>193</v>
      </c>
      <c r="AI351" s="165" t="str">
        <f>CONCATENATE(PAA[[#This Row],[Id Interno]],"-",PAA[[#This Row],[tipo de Contrato (TH talento humano - B/S bienes y/o servicios)]],"-",S351,"-",T351,"-",PAA[[#This Row],[Objeto de la contratación]])</f>
        <v>20260333-TH-8173-1-Prestar servicios de apoyo como conductor a las acciones misionales de la Subdirección de Gestión del Riesgo.</v>
      </c>
    </row>
    <row r="352" spans="2:35" ht="56" x14ac:dyDescent="0.35">
      <c r="B352" s="23">
        <v>20260334</v>
      </c>
      <c r="C352" s="99" t="s">
        <v>534</v>
      </c>
      <c r="D352" s="23" t="s">
        <v>105</v>
      </c>
      <c r="E352" s="23" t="s">
        <v>363</v>
      </c>
      <c r="F352" s="159" t="s">
        <v>144</v>
      </c>
      <c r="G352" s="160" t="s">
        <v>373</v>
      </c>
      <c r="H352" s="161">
        <v>10</v>
      </c>
      <c r="I352" s="161">
        <v>0</v>
      </c>
      <c r="J352" s="127">
        <v>60000000</v>
      </c>
      <c r="K352" s="88" t="s">
        <v>398</v>
      </c>
      <c r="L352" s="159" t="s">
        <v>156</v>
      </c>
      <c r="M352" s="162" t="s">
        <v>502</v>
      </c>
      <c r="N352" s="23" t="s">
        <v>198</v>
      </c>
      <c r="O352" s="151" t="s">
        <v>946</v>
      </c>
      <c r="P352" s="159" t="s">
        <v>348</v>
      </c>
      <c r="Q352" s="53">
        <v>80111600</v>
      </c>
      <c r="R352" s="162" t="s">
        <v>210</v>
      </c>
      <c r="S352" s="162" t="str">
        <f>MID(PAA[[#This Row],[Meta Proyecto de Inversión]],1,4)</f>
        <v>8173</v>
      </c>
      <c r="T352" s="162" t="str">
        <f>MID(PAA[[#This Row],[Meta Proyecto de Inversión]],6,1)</f>
        <v>1</v>
      </c>
      <c r="U352" s="163" t="str">
        <f>IFERROR(VLOOKUP(N352,TD!$B$50:$F$54,2,0)," ")</f>
        <v>O230117</v>
      </c>
      <c r="V352" s="163" t="str">
        <f>IFERROR(VLOOKUP(N352,TD!$B$50:$F$54,3,0)," ")</f>
        <v>4503</v>
      </c>
      <c r="W352" s="163">
        <f>IFERROR(VLOOKUP(N352,TD!$B$50:$F$54,4,0)," ")</f>
        <v>20240255</v>
      </c>
      <c r="X352" s="162" t="s">
        <v>166</v>
      </c>
      <c r="Y352" s="163" t="str">
        <f>IFERROR(VLOOKUP(X352,TD!$J$51:$K$64,2,0)," ")</f>
        <v>Servicio de capacitaciones en gestión del riesgo de incendios  a la ciudadania.</v>
      </c>
      <c r="Z352" s="164" t="str">
        <f>CONCATENATE(X352,"-",Y352)</f>
        <v>05-Servicio de capacitaciones en gestión del riesgo de incendios  a la ciudadania.</v>
      </c>
      <c r="AA352" s="162" t="s">
        <v>223</v>
      </c>
      <c r="AB352" s="163" t="str">
        <f>IFERROR(VLOOKUP(AA352,TD!$N$51:$O$66,2,0)," ")</f>
        <v>Servicio prevención y control de incendios</v>
      </c>
      <c r="AC352" s="164" t="str">
        <f>CONCATENATE(AA352,"_",AB352)</f>
        <v>035_Servicio prevención y control de incendios</v>
      </c>
      <c r="AD352" s="164" t="str">
        <f>CONCATENATE(Z352," ",AC352)</f>
        <v>05-Servicio de capacitaciones en gestión del riesgo de incendios  a la ciudadania. 035_Servicio prevención y control de incendios</v>
      </c>
      <c r="AE352" s="163" t="str">
        <f>CONCATENATE(U352,V352,W352,X352,AA352)</f>
        <v>O23011745032024025505035</v>
      </c>
      <c r="AF352" s="163" t="str">
        <f>IFERROR(VLOOKUP(AD352,TD!$J$66:$K$89,2,0)," ")</f>
        <v>PM/0131/0105/45030350255</v>
      </c>
      <c r="AG352" s="118" t="s">
        <v>385</v>
      </c>
      <c r="AH352" s="162" t="s">
        <v>193</v>
      </c>
      <c r="AI352" s="165" t="str">
        <f>CONCATENATE(PAA[[#This Row],[Id Interno]],"-",PAA[[#This Row],[tipo de Contrato (TH talento humano - B/S bienes y/o servicios)]],"-",S352,"-",T352,"-",PAA[[#This Row],[Objeto de la contratación]])</f>
        <v>20260334-TH-8173-1-Prestar servicios profesionales para apoyar la planeación y gestión de las  estrategias de reducción y/o conocimiento del riesgo  para la Subdirección de Gestión del Riesgo._SGR</v>
      </c>
    </row>
    <row r="353" spans="2:35" ht="56" x14ac:dyDescent="0.35">
      <c r="B353" s="23">
        <v>20260335</v>
      </c>
      <c r="C353" s="99" t="s">
        <v>535</v>
      </c>
      <c r="D353" s="23" t="s">
        <v>105</v>
      </c>
      <c r="E353" s="23" t="s">
        <v>363</v>
      </c>
      <c r="F353" s="159" t="s">
        <v>144</v>
      </c>
      <c r="G353" s="160" t="s">
        <v>373</v>
      </c>
      <c r="H353" s="161">
        <v>8</v>
      </c>
      <c r="I353" s="161">
        <v>0</v>
      </c>
      <c r="J353" s="127">
        <v>40000000</v>
      </c>
      <c r="K353" s="88" t="s">
        <v>398</v>
      </c>
      <c r="L353" s="159" t="s">
        <v>156</v>
      </c>
      <c r="M353" s="162" t="s">
        <v>502</v>
      </c>
      <c r="N353" s="23" t="s">
        <v>198</v>
      </c>
      <c r="O353" s="151" t="s">
        <v>946</v>
      </c>
      <c r="P353" s="159" t="s">
        <v>348</v>
      </c>
      <c r="Q353" s="53">
        <v>80111600</v>
      </c>
      <c r="R353" s="162" t="s">
        <v>210</v>
      </c>
      <c r="S353" s="162" t="str">
        <f>MID(PAA[[#This Row],[Meta Proyecto de Inversión]],1,4)</f>
        <v>8173</v>
      </c>
      <c r="T353" s="162" t="str">
        <f>MID(PAA[[#This Row],[Meta Proyecto de Inversión]],6,1)</f>
        <v>1</v>
      </c>
      <c r="U353" s="163" t="str">
        <f>IFERROR(VLOOKUP(N353,TD!$B$50:$F$54,2,0)," ")</f>
        <v>O230117</v>
      </c>
      <c r="V353" s="163" t="str">
        <f>IFERROR(VLOOKUP(N353,TD!$B$50:$F$54,3,0)," ")</f>
        <v>4503</v>
      </c>
      <c r="W353" s="163">
        <f>IFERROR(VLOOKUP(N353,TD!$B$50:$F$54,4,0)," ")</f>
        <v>20240255</v>
      </c>
      <c r="X353" s="162" t="s">
        <v>166</v>
      </c>
      <c r="Y353" s="163" t="str">
        <f>IFERROR(VLOOKUP(X353,TD!$J$51:$K$64,2,0)," ")</f>
        <v>Servicio de capacitaciones en gestión del riesgo de incendios  a la ciudadania.</v>
      </c>
      <c r="Z353" s="164" t="str">
        <f>CONCATENATE(X353,"-",Y353)</f>
        <v>05-Servicio de capacitaciones en gestión del riesgo de incendios  a la ciudadania.</v>
      </c>
      <c r="AA353" s="162" t="s">
        <v>223</v>
      </c>
      <c r="AB353" s="163" t="str">
        <f>IFERROR(VLOOKUP(AA353,TD!$N$51:$O$66,2,0)," ")</f>
        <v>Servicio prevención y control de incendios</v>
      </c>
      <c r="AC353" s="164" t="str">
        <f>CONCATENATE(AA353,"_",AB353)</f>
        <v>035_Servicio prevención y control de incendios</v>
      </c>
      <c r="AD353" s="164" t="str">
        <f>CONCATENATE(Z353," ",AC353)</f>
        <v>05-Servicio de capacitaciones en gestión del riesgo de incendios  a la ciudadania. 035_Servicio prevención y control de incendios</v>
      </c>
      <c r="AE353" s="163" t="str">
        <f>CONCATENATE(U353,V353,W353,X353,AA353)</f>
        <v>O23011745032024025505035</v>
      </c>
      <c r="AF353" s="163" t="str">
        <f>IFERROR(VLOOKUP(AD353,TD!$J$66:$K$89,2,0)," ")</f>
        <v>PM/0131/0105/45030350255</v>
      </c>
      <c r="AG353" s="118" t="s">
        <v>385</v>
      </c>
      <c r="AH353" s="162" t="s">
        <v>193</v>
      </c>
      <c r="AI353" s="165" t="str">
        <f>CONCATENATE(PAA[[#This Row],[Id Interno]],"-",PAA[[#This Row],[tipo de Contrato (TH talento humano - B/S bienes y/o servicios)]],"-",S353,"-",T353,"-",PAA[[#This Row],[Objeto de la contratación]])</f>
        <v>20260335-TH-8173-1-Prestar servicios profesionales en  los componentes tecnológicos e informáticos relacionados con los aspectos misionales de la Subdirección de Gestión del Riesgo._SGR</v>
      </c>
    </row>
    <row r="354" spans="2:35" ht="56" x14ac:dyDescent="0.35">
      <c r="B354" s="23">
        <v>20260336</v>
      </c>
      <c r="C354" s="99" t="s">
        <v>536</v>
      </c>
      <c r="D354" s="23" t="s">
        <v>105</v>
      </c>
      <c r="E354" s="23" t="s">
        <v>363</v>
      </c>
      <c r="F354" s="159" t="s">
        <v>145</v>
      </c>
      <c r="G354" s="160" t="s">
        <v>373</v>
      </c>
      <c r="H354" s="161">
        <v>8</v>
      </c>
      <c r="I354" s="161">
        <v>0</v>
      </c>
      <c r="J354" s="127">
        <v>32000000</v>
      </c>
      <c r="K354" s="88" t="s">
        <v>398</v>
      </c>
      <c r="L354" s="159" t="s">
        <v>156</v>
      </c>
      <c r="M354" s="162" t="s">
        <v>502</v>
      </c>
      <c r="N354" s="23" t="s">
        <v>198</v>
      </c>
      <c r="O354" s="151" t="s">
        <v>946</v>
      </c>
      <c r="P354" s="159" t="s">
        <v>348</v>
      </c>
      <c r="Q354" s="53">
        <v>80111600</v>
      </c>
      <c r="R354" s="162" t="s">
        <v>210</v>
      </c>
      <c r="S354" s="162" t="str">
        <f>MID(PAA[[#This Row],[Meta Proyecto de Inversión]],1,4)</f>
        <v>8173</v>
      </c>
      <c r="T354" s="162" t="str">
        <f>MID(PAA[[#This Row],[Meta Proyecto de Inversión]],6,1)</f>
        <v>1</v>
      </c>
      <c r="U354" s="163" t="str">
        <f>IFERROR(VLOOKUP(N354,TD!$B$50:$F$54,2,0)," ")</f>
        <v>O230117</v>
      </c>
      <c r="V354" s="163" t="str">
        <f>IFERROR(VLOOKUP(N354,TD!$B$50:$F$54,3,0)," ")</f>
        <v>4503</v>
      </c>
      <c r="W354" s="163">
        <f>IFERROR(VLOOKUP(N354,TD!$B$50:$F$54,4,0)," ")</f>
        <v>20240255</v>
      </c>
      <c r="X354" s="162" t="s">
        <v>166</v>
      </c>
      <c r="Y354" s="163" t="str">
        <f>IFERROR(VLOOKUP(X354,TD!$J$51:$K$64,2,0)," ")</f>
        <v>Servicio de capacitaciones en gestión del riesgo de incendios  a la ciudadania.</v>
      </c>
      <c r="Z354" s="164" t="str">
        <f>CONCATENATE(X354,"-",Y354)</f>
        <v>05-Servicio de capacitaciones en gestión del riesgo de incendios  a la ciudadania.</v>
      </c>
      <c r="AA354" s="162" t="s">
        <v>223</v>
      </c>
      <c r="AB354" s="163" t="str">
        <f>IFERROR(VLOOKUP(AA354,TD!$N$51:$O$66,2,0)," ")</f>
        <v>Servicio prevención y control de incendios</v>
      </c>
      <c r="AC354" s="164" t="str">
        <f>CONCATENATE(AA354,"_",AB354)</f>
        <v>035_Servicio prevención y control de incendios</v>
      </c>
      <c r="AD354" s="164" t="str">
        <f>CONCATENATE(Z354," ",AC354)</f>
        <v>05-Servicio de capacitaciones en gestión del riesgo de incendios  a la ciudadania. 035_Servicio prevención y control de incendios</v>
      </c>
      <c r="AE354" s="163" t="str">
        <f>CONCATENATE(U354,V354,W354,X354,AA354)</f>
        <v>O23011745032024025505035</v>
      </c>
      <c r="AF354" s="163" t="str">
        <f>IFERROR(VLOOKUP(AD354,TD!$J$66:$K$89,2,0)," ")</f>
        <v>PM/0131/0105/45030350255</v>
      </c>
      <c r="AG354" s="118" t="s">
        <v>385</v>
      </c>
      <c r="AH354" s="162" t="s">
        <v>193</v>
      </c>
      <c r="AI354" s="165" t="str">
        <f>CONCATENATE(PAA[[#This Row],[Id Interno]],"-",PAA[[#This Row],[tipo de Contrato (TH talento humano - B/S bienes y/o servicios)]],"-",S354,"-",T354,"-",PAA[[#This Row],[Objeto de la contratación]])</f>
        <v>20260336-TH-8173-1-Prestar servicios de apoyo para el seguimiento y respuesta de requerimientos ciudadanos relacionados con la misionalidad de la Subdirección de Gestión del Riesgo_SGR</v>
      </c>
    </row>
    <row r="355" spans="2:35" ht="56" x14ac:dyDescent="0.35">
      <c r="B355" s="23">
        <v>20260337</v>
      </c>
      <c r="C355" s="99" t="s">
        <v>537</v>
      </c>
      <c r="D355" s="23" t="s">
        <v>105</v>
      </c>
      <c r="E355" s="23" t="s">
        <v>363</v>
      </c>
      <c r="F355" s="159" t="s">
        <v>144</v>
      </c>
      <c r="G355" s="160" t="s">
        <v>373</v>
      </c>
      <c r="H355" s="161">
        <v>7</v>
      </c>
      <c r="I355" s="161">
        <v>15</v>
      </c>
      <c r="J355" s="127">
        <v>53600000</v>
      </c>
      <c r="K355" s="88" t="s">
        <v>398</v>
      </c>
      <c r="L355" s="159" t="s">
        <v>156</v>
      </c>
      <c r="M355" s="162" t="s">
        <v>502</v>
      </c>
      <c r="N355" s="23" t="s">
        <v>198</v>
      </c>
      <c r="O355" s="151" t="s">
        <v>946</v>
      </c>
      <c r="P355" s="159" t="s">
        <v>348</v>
      </c>
      <c r="Q355" s="53">
        <v>80111600</v>
      </c>
      <c r="R355" s="162" t="s">
        <v>210</v>
      </c>
      <c r="S355" s="162" t="str">
        <f>MID(PAA[[#This Row],[Meta Proyecto de Inversión]],1,4)</f>
        <v>8173</v>
      </c>
      <c r="T355" s="162" t="str">
        <f>MID(PAA[[#This Row],[Meta Proyecto de Inversión]],6,1)</f>
        <v>1</v>
      </c>
      <c r="U355" s="163" t="str">
        <f>IFERROR(VLOOKUP(N355,TD!$B$50:$F$54,2,0)," ")</f>
        <v>O230117</v>
      </c>
      <c r="V355" s="163" t="str">
        <f>IFERROR(VLOOKUP(N355,TD!$B$50:$F$54,3,0)," ")</f>
        <v>4503</v>
      </c>
      <c r="W355" s="163">
        <f>IFERROR(VLOOKUP(N355,TD!$B$50:$F$54,4,0)," ")</f>
        <v>20240255</v>
      </c>
      <c r="X355" s="162" t="s">
        <v>166</v>
      </c>
      <c r="Y355" s="163" t="str">
        <f>IFERROR(VLOOKUP(X355,TD!$J$51:$K$64,2,0)," ")</f>
        <v>Servicio de capacitaciones en gestión del riesgo de incendios  a la ciudadania.</v>
      </c>
      <c r="Z355" s="164" t="str">
        <f>CONCATENATE(X355,"-",Y355)</f>
        <v>05-Servicio de capacitaciones en gestión del riesgo de incendios  a la ciudadania.</v>
      </c>
      <c r="AA355" s="162" t="s">
        <v>223</v>
      </c>
      <c r="AB355" s="163" t="str">
        <f>IFERROR(VLOOKUP(AA355,TD!$N$51:$O$66,2,0)," ")</f>
        <v>Servicio prevención y control de incendios</v>
      </c>
      <c r="AC355" s="164" t="str">
        <f>CONCATENATE(AA355,"_",AB355)</f>
        <v>035_Servicio prevención y control de incendios</v>
      </c>
      <c r="AD355" s="164" t="str">
        <f>CONCATENATE(Z355," ",AC355)</f>
        <v>05-Servicio de capacitaciones en gestión del riesgo de incendios  a la ciudadania. 035_Servicio prevención y control de incendios</v>
      </c>
      <c r="AE355" s="163" t="str">
        <f>CONCATENATE(U355,V355,W355,X355,AA355)</f>
        <v>O23011745032024025505035</v>
      </c>
      <c r="AF355" s="163" t="str">
        <f>IFERROR(VLOOKUP(AD355,TD!$J$66:$K$89,2,0)," ")</f>
        <v>PM/0131/0105/45030350255</v>
      </c>
      <c r="AG355" s="118" t="s">
        <v>385</v>
      </c>
      <c r="AH355" s="162" t="s">
        <v>193</v>
      </c>
      <c r="AI355" s="165" t="str">
        <f>CONCATENATE(PAA[[#This Row],[Id Interno]],"-",PAA[[#This Row],[tipo de Contrato (TH talento humano - B/S bienes y/o servicios)]],"-",S355,"-",T355,"-",PAA[[#This Row],[Objeto de la contratación]])</f>
        <v>20260337-TH-8173-1-Prestar servicios profesionales en la gestión misional mediante el  análisis y seguimiento financiero de la Subdirección de Gestión del Riesgo_SGR</v>
      </c>
    </row>
    <row r="356" spans="2:35" ht="56" x14ac:dyDescent="0.35">
      <c r="B356" s="23">
        <v>20260338</v>
      </c>
      <c r="C356" s="99" t="s">
        <v>538</v>
      </c>
      <c r="D356" s="23" t="s">
        <v>105</v>
      </c>
      <c r="E356" s="23" t="s">
        <v>363</v>
      </c>
      <c r="F356" s="159" t="s">
        <v>144</v>
      </c>
      <c r="G356" s="160" t="s">
        <v>373</v>
      </c>
      <c r="H356" s="161">
        <v>10</v>
      </c>
      <c r="I356" s="161">
        <v>0</v>
      </c>
      <c r="J356" s="127">
        <v>70000000</v>
      </c>
      <c r="K356" s="88" t="s">
        <v>398</v>
      </c>
      <c r="L356" s="159" t="s">
        <v>156</v>
      </c>
      <c r="M356" s="162" t="s">
        <v>502</v>
      </c>
      <c r="N356" s="23" t="s">
        <v>198</v>
      </c>
      <c r="O356" s="151" t="s">
        <v>946</v>
      </c>
      <c r="P356" s="159" t="s">
        <v>348</v>
      </c>
      <c r="Q356" s="53">
        <v>80111600</v>
      </c>
      <c r="R356" s="162" t="s">
        <v>210</v>
      </c>
      <c r="S356" s="162" t="str">
        <f>MID(PAA[[#This Row],[Meta Proyecto de Inversión]],1,4)</f>
        <v>8173</v>
      </c>
      <c r="T356" s="162" t="str">
        <f>MID(PAA[[#This Row],[Meta Proyecto de Inversión]],6,1)</f>
        <v>1</v>
      </c>
      <c r="U356" s="163" t="str">
        <f>IFERROR(VLOOKUP(N356,TD!$B$50:$F$54,2,0)," ")</f>
        <v>O230117</v>
      </c>
      <c r="V356" s="163" t="str">
        <f>IFERROR(VLOOKUP(N356,TD!$B$50:$F$54,3,0)," ")</f>
        <v>4503</v>
      </c>
      <c r="W356" s="163">
        <f>IFERROR(VLOOKUP(N356,TD!$B$50:$F$54,4,0)," ")</f>
        <v>20240255</v>
      </c>
      <c r="X356" s="162" t="s">
        <v>166</v>
      </c>
      <c r="Y356" s="163" t="str">
        <f>IFERROR(VLOOKUP(X356,TD!$J$51:$K$64,2,0)," ")</f>
        <v>Servicio de capacitaciones en gestión del riesgo de incendios  a la ciudadania.</v>
      </c>
      <c r="Z356" s="164" t="str">
        <f>CONCATENATE(X356,"-",Y356)</f>
        <v>05-Servicio de capacitaciones en gestión del riesgo de incendios  a la ciudadania.</v>
      </c>
      <c r="AA356" s="162" t="s">
        <v>223</v>
      </c>
      <c r="AB356" s="163" t="str">
        <f>IFERROR(VLOOKUP(AA356,TD!$N$51:$O$66,2,0)," ")</f>
        <v>Servicio prevención y control de incendios</v>
      </c>
      <c r="AC356" s="164" t="str">
        <f>CONCATENATE(AA356,"_",AB356)</f>
        <v>035_Servicio prevención y control de incendios</v>
      </c>
      <c r="AD356" s="164" t="str">
        <f>CONCATENATE(Z356," ",AC356)</f>
        <v>05-Servicio de capacitaciones en gestión del riesgo de incendios  a la ciudadania. 035_Servicio prevención y control de incendios</v>
      </c>
      <c r="AE356" s="163" t="str">
        <f>CONCATENATE(U356,V356,W356,X356,AA356)</f>
        <v>O23011745032024025505035</v>
      </c>
      <c r="AF356" s="163" t="str">
        <f>IFERROR(VLOOKUP(AD356,TD!$J$66:$K$89,2,0)," ")</f>
        <v>PM/0131/0105/45030350255</v>
      </c>
      <c r="AG356" s="118" t="s">
        <v>385</v>
      </c>
      <c r="AH356" s="162" t="s">
        <v>193</v>
      </c>
      <c r="AI356" s="165" t="str">
        <f>CONCATENATE(PAA[[#This Row],[Id Interno]],"-",PAA[[#This Row],[tipo de Contrato (TH talento humano - B/S bienes y/o servicios)]],"-",S356,"-",T356,"-",PAA[[#This Row],[Objeto de la contratación]])</f>
        <v>20260338-TH-8173-1-Prestar servicios profesionales para la gestión misional  mediante la estructuración y seguimiento de procesos contractuales y asuntos jurídicos de la Subdirección de Gestión del Riesgo_SGR</v>
      </c>
    </row>
    <row r="357" spans="2:35" ht="56" x14ac:dyDescent="0.35">
      <c r="B357" s="23">
        <v>20260340</v>
      </c>
      <c r="C357" s="99" t="s">
        <v>539</v>
      </c>
      <c r="D357" s="23" t="s">
        <v>105</v>
      </c>
      <c r="E357" s="23" t="s">
        <v>363</v>
      </c>
      <c r="F357" s="159" t="s">
        <v>144</v>
      </c>
      <c r="G357" s="160" t="s">
        <v>373</v>
      </c>
      <c r="H357" s="161">
        <v>10</v>
      </c>
      <c r="I357" s="161">
        <v>0</v>
      </c>
      <c r="J357" s="127">
        <v>70000000</v>
      </c>
      <c r="K357" s="88" t="s">
        <v>398</v>
      </c>
      <c r="L357" s="159" t="s">
        <v>156</v>
      </c>
      <c r="M357" s="162" t="s">
        <v>502</v>
      </c>
      <c r="N357" s="23" t="s">
        <v>198</v>
      </c>
      <c r="O357" s="151" t="s">
        <v>946</v>
      </c>
      <c r="P357" s="159" t="s">
        <v>348</v>
      </c>
      <c r="Q357" s="53">
        <v>80111600</v>
      </c>
      <c r="R357" s="162" t="s">
        <v>210</v>
      </c>
      <c r="S357" s="162" t="str">
        <f>MID(PAA[[#This Row],[Meta Proyecto de Inversión]],1,4)</f>
        <v>8173</v>
      </c>
      <c r="T357" s="162" t="str">
        <f>MID(PAA[[#This Row],[Meta Proyecto de Inversión]],6,1)</f>
        <v>1</v>
      </c>
      <c r="U357" s="163" t="str">
        <f>IFERROR(VLOOKUP(N357,TD!$B$50:$F$54,2,0)," ")</f>
        <v>O230117</v>
      </c>
      <c r="V357" s="163" t="str">
        <f>IFERROR(VLOOKUP(N357,TD!$B$50:$F$54,3,0)," ")</f>
        <v>4503</v>
      </c>
      <c r="W357" s="163">
        <f>IFERROR(VLOOKUP(N357,TD!$B$50:$F$54,4,0)," ")</f>
        <v>20240255</v>
      </c>
      <c r="X357" s="162" t="s">
        <v>166</v>
      </c>
      <c r="Y357" s="163" t="str">
        <f>IFERROR(VLOOKUP(X357,TD!$J$51:$K$64,2,0)," ")</f>
        <v>Servicio de capacitaciones en gestión del riesgo de incendios  a la ciudadania.</v>
      </c>
      <c r="Z357" s="164" t="str">
        <f>CONCATENATE(X357,"-",Y357)</f>
        <v>05-Servicio de capacitaciones en gestión del riesgo de incendios  a la ciudadania.</v>
      </c>
      <c r="AA357" s="162" t="s">
        <v>223</v>
      </c>
      <c r="AB357" s="163" t="str">
        <f>IFERROR(VLOOKUP(AA357,TD!$N$51:$O$66,2,0)," ")</f>
        <v>Servicio prevención y control de incendios</v>
      </c>
      <c r="AC357" s="164" t="str">
        <f>CONCATENATE(AA357,"_",AB357)</f>
        <v>035_Servicio prevención y control de incendios</v>
      </c>
      <c r="AD357" s="164" t="str">
        <f>CONCATENATE(Z357," ",AC357)</f>
        <v>05-Servicio de capacitaciones en gestión del riesgo de incendios  a la ciudadania. 035_Servicio prevención y control de incendios</v>
      </c>
      <c r="AE357" s="163" t="str">
        <f>CONCATENATE(U357,V357,W357,X357,AA357)</f>
        <v>O23011745032024025505035</v>
      </c>
      <c r="AF357" s="163" t="str">
        <f>IFERROR(VLOOKUP(AD357,TD!$J$66:$K$89,2,0)," ")</f>
        <v>PM/0131/0105/45030350255</v>
      </c>
      <c r="AG357" s="118" t="s">
        <v>385</v>
      </c>
      <c r="AH357" s="162" t="s">
        <v>193</v>
      </c>
      <c r="AI357" s="165" t="str">
        <f>CONCATENATE(PAA[[#This Row],[Id Interno]],"-",PAA[[#This Row],[tipo de Contrato (TH talento humano - B/S bienes y/o servicios)]],"-",S357,"-",T357,"-",PAA[[#This Row],[Objeto de la contratación]])</f>
        <v xml:space="preserve">20260340-TH-8173-1-Prestar servicios profesionales para la gestión misional en sus componentes técnico, administrativo y financiero de la Subdirección de Gestión del Riesgo_SGR. </v>
      </c>
    </row>
    <row r="358" spans="2:35" ht="56" x14ac:dyDescent="0.35">
      <c r="B358" s="23">
        <v>20260341</v>
      </c>
      <c r="C358" s="99" t="s">
        <v>540</v>
      </c>
      <c r="D358" s="23" t="s">
        <v>105</v>
      </c>
      <c r="E358" s="23" t="s">
        <v>363</v>
      </c>
      <c r="F358" s="159" t="s">
        <v>144</v>
      </c>
      <c r="G358" s="160" t="s">
        <v>373</v>
      </c>
      <c r="H358" s="161">
        <v>8</v>
      </c>
      <c r="I358" s="161">
        <v>0</v>
      </c>
      <c r="J358" s="127">
        <v>72800000</v>
      </c>
      <c r="K358" s="88" t="s">
        <v>398</v>
      </c>
      <c r="L358" s="159" t="s">
        <v>156</v>
      </c>
      <c r="M358" s="162" t="s">
        <v>502</v>
      </c>
      <c r="N358" s="23" t="s">
        <v>198</v>
      </c>
      <c r="O358" s="151" t="s">
        <v>946</v>
      </c>
      <c r="P358" s="159" t="s">
        <v>348</v>
      </c>
      <c r="Q358" s="53">
        <v>80111600</v>
      </c>
      <c r="R358" s="162" t="s">
        <v>210</v>
      </c>
      <c r="S358" s="162" t="str">
        <f>MID(PAA[[#This Row],[Meta Proyecto de Inversión]],1,4)</f>
        <v>8173</v>
      </c>
      <c r="T358" s="162" t="str">
        <f>MID(PAA[[#This Row],[Meta Proyecto de Inversión]],6,1)</f>
        <v>1</v>
      </c>
      <c r="U358" s="163" t="str">
        <f>IFERROR(VLOOKUP(N358,TD!$B$50:$F$54,2,0)," ")</f>
        <v>O230117</v>
      </c>
      <c r="V358" s="163" t="str">
        <f>IFERROR(VLOOKUP(N358,TD!$B$50:$F$54,3,0)," ")</f>
        <v>4503</v>
      </c>
      <c r="W358" s="163">
        <f>IFERROR(VLOOKUP(N358,TD!$B$50:$F$54,4,0)," ")</f>
        <v>20240255</v>
      </c>
      <c r="X358" s="162" t="s">
        <v>170</v>
      </c>
      <c r="Y358" s="163" t="str">
        <f>IFERROR(VLOOKUP(X358,TD!$J$51:$K$64,2,0)," ")</f>
        <v>Servicio de inspecciones técnicas realizadas</v>
      </c>
      <c r="Z358" s="164" t="str">
        <f>CONCATENATE(X358,"-",Y358)</f>
        <v>06-Servicio de inspecciones técnicas realizadas</v>
      </c>
      <c r="AA358" s="162" t="s">
        <v>223</v>
      </c>
      <c r="AB358" s="163" t="str">
        <f>IFERROR(VLOOKUP(AA358,TD!$N$51:$O$66,2,0)," ")</f>
        <v>Servicio prevención y control de incendios</v>
      </c>
      <c r="AC358" s="164" t="str">
        <f>CONCATENATE(AA358,"_",AB358)</f>
        <v>035_Servicio prevención y control de incendios</v>
      </c>
      <c r="AD358" s="164" t="str">
        <f>CONCATENATE(Z358," ",AC358)</f>
        <v>06-Servicio de inspecciones técnicas realizadas 035_Servicio prevención y control de incendios</v>
      </c>
      <c r="AE358" s="163" t="str">
        <f>CONCATENATE(U358,V358,W358,X358,AA358)</f>
        <v>O23011745032024025506035</v>
      </c>
      <c r="AF358" s="163" t="str">
        <f>IFERROR(VLOOKUP(AD358,TD!$J$66:$K$89,2,0)," ")</f>
        <v>PM/0131/0106/45030350255</v>
      </c>
      <c r="AG358" s="118" t="s">
        <v>385</v>
      </c>
      <c r="AH358" s="162" t="s">
        <v>193</v>
      </c>
      <c r="AI358" s="165" t="str">
        <f>CONCATENATE(PAA[[#This Row],[Id Interno]],"-",PAA[[#This Row],[tipo de Contrato (TH talento humano - B/S bienes y/o servicios)]],"-",S358,"-",T358,"-",PAA[[#This Row],[Objeto de la contratación]])</f>
        <v>20260341-TH-8173-1-Prestar servicios profesionales  liderando las actividades del proceso de inspecciones técnicas de la subdireccion de gestion del riesgo.._SGR</v>
      </c>
    </row>
    <row r="359" spans="2:35" ht="56" x14ac:dyDescent="0.35">
      <c r="B359" s="23">
        <v>20260342</v>
      </c>
      <c r="C359" s="99" t="s">
        <v>541</v>
      </c>
      <c r="D359" s="23" t="s">
        <v>105</v>
      </c>
      <c r="E359" s="23" t="s">
        <v>363</v>
      </c>
      <c r="F359" s="159" t="s">
        <v>144</v>
      </c>
      <c r="G359" s="160" t="s">
        <v>373</v>
      </c>
      <c r="H359" s="161">
        <v>10</v>
      </c>
      <c r="I359" s="161">
        <v>0</v>
      </c>
      <c r="J359" s="127">
        <v>50000000</v>
      </c>
      <c r="K359" s="88" t="s">
        <v>398</v>
      </c>
      <c r="L359" s="159" t="s">
        <v>156</v>
      </c>
      <c r="M359" s="162" t="s">
        <v>502</v>
      </c>
      <c r="N359" s="23" t="s">
        <v>198</v>
      </c>
      <c r="O359" s="151" t="s">
        <v>946</v>
      </c>
      <c r="P359" s="159" t="s">
        <v>348</v>
      </c>
      <c r="Q359" s="53">
        <v>80111600</v>
      </c>
      <c r="R359" s="162" t="s">
        <v>210</v>
      </c>
      <c r="S359" s="162" t="str">
        <f>MID(PAA[[#This Row],[Meta Proyecto de Inversión]],1,4)</f>
        <v>8173</v>
      </c>
      <c r="T359" s="162" t="str">
        <f>MID(PAA[[#This Row],[Meta Proyecto de Inversión]],6,1)</f>
        <v>1</v>
      </c>
      <c r="U359" s="163" t="str">
        <f>IFERROR(VLOOKUP(N359,TD!$B$50:$F$54,2,0)," ")</f>
        <v>O230117</v>
      </c>
      <c r="V359" s="163" t="str">
        <f>IFERROR(VLOOKUP(N359,TD!$B$50:$F$54,3,0)," ")</f>
        <v>4503</v>
      </c>
      <c r="W359" s="163">
        <f>IFERROR(VLOOKUP(N359,TD!$B$50:$F$54,4,0)," ")</f>
        <v>20240255</v>
      </c>
      <c r="X359" s="162" t="s">
        <v>170</v>
      </c>
      <c r="Y359" s="163" t="str">
        <f>IFERROR(VLOOKUP(X359,TD!$J$51:$K$64,2,0)," ")</f>
        <v>Servicio de inspecciones técnicas realizadas</v>
      </c>
      <c r="Z359" s="164" t="str">
        <f>CONCATENATE(X359,"-",Y359)</f>
        <v>06-Servicio de inspecciones técnicas realizadas</v>
      </c>
      <c r="AA359" s="162" t="s">
        <v>223</v>
      </c>
      <c r="AB359" s="163" t="str">
        <f>IFERROR(VLOOKUP(AA359,TD!$N$51:$O$66,2,0)," ")</f>
        <v>Servicio prevención y control de incendios</v>
      </c>
      <c r="AC359" s="164" t="str">
        <f>CONCATENATE(AA359,"_",AB359)</f>
        <v>035_Servicio prevención y control de incendios</v>
      </c>
      <c r="AD359" s="164" t="str">
        <f>CONCATENATE(Z359," ",AC359)</f>
        <v>06-Servicio de inspecciones técnicas realizadas 035_Servicio prevención y control de incendios</v>
      </c>
      <c r="AE359" s="163" t="str">
        <f>CONCATENATE(U359,V359,W359,X359,AA359)</f>
        <v>O23011745032024025506035</v>
      </c>
      <c r="AF359" s="163" t="str">
        <f>IFERROR(VLOOKUP(AD359,TD!$J$66:$K$89,2,0)," ")</f>
        <v>PM/0131/0106/45030350255</v>
      </c>
      <c r="AG359" s="118" t="s">
        <v>385</v>
      </c>
      <c r="AH359" s="162" t="s">
        <v>193</v>
      </c>
      <c r="AI359" s="165" t="str">
        <f>CONCATENATE(PAA[[#This Row],[Id Interno]],"-",PAA[[#This Row],[tipo de Contrato (TH talento humano - B/S bienes y/o servicios)]],"-",S359,"-",T359,"-",PAA[[#This Row],[Objeto de la contratación]])</f>
        <v>20260342-TH-8173-1-Prestar  servicios profesionales en las actividades relacionadas con la emision de conceptos a cargo de la Subdirección de Gestión del Riesgo._SGR</v>
      </c>
    </row>
    <row r="360" spans="2:35" ht="56" x14ac:dyDescent="0.35">
      <c r="B360" s="23">
        <v>20260343</v>
      </c>
      <c r="C360" s="99" t="s">
        <v>541</v>
      </c>
      <c r="D360" s="23" t="s">
        <v>105</v>
      </c>
      <c r="E360" s="23" t="s">
        <v>363</v>
      </c>
      <c r="F360" s="159" t="s">
        <v>144</v>
      </c>
      <c r="G360" s="160" t="s">
        <v>373</v>
      </c>
      <c r="H360" s="161">
        <v>9</v>
      </c>
      <c r="I360" s="161">
        <v>0</v>
      </c>
      <c r="J360" s="127">
        <v>45400000</v>
      </c>
      <c r="K360" s="88" t="s">
        <v>398</v>
      </c>
      <c r="L360" s="159" t="s">
        <v>156</v>
      </c>
      <c r="M360" s="162" t="s">
        <v>502</v>
      </c>
      <c r="N360" s="23" t="s">
        <v>198</v>
      </c>
      <c r="O360" s="151" t="s">
        <v>946</v>
      </c>
      <c r="P360" s="159" t="s">
        <v>348</v>
      </c>
      <c r="Q360" s="53">
        <v>80111600</v>
      </c>
      <c r="R360" s="162" t="s">
        <v>210</v>
      </c>
      <c r="S360" s="162" t="str">
        <f>MID(PAA[[#This Row],[Meta Proyecto de Inversión]],1,4)</f>
        <v>8173</v>
      </c>
      <c r="T360" s="162" t="str">
        <f>MID(PAA[[#This Row],[Meta Proyecto de Inversión]],6,1)</f>
        <v>1</v>
      </c>
      <c r="U360" s="163" t="str">
        <f>IFERROR(VLOOKUP(N360,TD!$B$50:$F$54,2,0)," ")</f>
        <v>O230117</v>
      </c>
      <c r="V360" s="163" t="str">
        <f>IFERROR(VLOOKUP(N360,TD!$B$50:$F$54,3,0)," ")</f>
        <v>4503</v>
      </c>
      <c r="W360" s="163">
        <f>IFERROR(VLOOKUP(N360,TD!$B$50:$F$54,4,0)," ")</f>
        <v>20240255</v>
      </c>
      <c r="X360" s="162" t="s">
        <v>170</v>
      </c>
      <c r="Y360" s="163" t="str">
        <f>IFERROR(VLOOKUP(X360,TD!$J$51:$K$64,2,0)," ")</f>
        <v>Servicio de inspecciones técnicas realizadas</v>
      </c>
      <c r="Z360" s="164" t="str">
        <f>CONCATENATE(X360,"-",Y360)</f>
        <v>06-Servicio de inspecciones técnicas realizadas</v>
      </c>
      <c r="AA360" s="162" t="s">
        <v>223</v>
      </c>
      <c r="AB360" s="163" t="str">
        <f>IFERROR(VLOOKUP(AA360,TD!$N$51:$O$66,2,0)," ")</f>
        <v>Servicio prevención y control de incendios</v>
      </c>
      <c r="AC360" s="164" t="str">
        <f>CONCATENATE(AA360,"_",AB360)</f>
        <v>035_Servicio prevención y control de incendios</v>
      </c>
      <c r="AD360" s="164" t="str">
        <f>CONCATENATE(Z360," ",AC360)</f>
        <v>06-Servicio de inspecciones técnicas realizadas 035_Servicio prevención y control de incendios</v>
      </c>
      <c r="AE360" s="163" t="str">
        <f>CONCATENATE(U360,V360,W360,X360,AA360)</f>
        <v>O23011745032024025506035</v>
      </c>
      <c r="AF360" s="163" t="str">
        <f>IFERROR(VLOOKUP(AD360,TD!$J$66:$K$89,2,0)," ")</f>
        <v>PM/0131/0106/45030350255</v>
      </c>
      <c r="AG360" s="118" t="s">
        <v>385</v>
      </c>
      <c r="AH360" s="162" t="s">
        <v>193</v>
      </c>
      <c r="AI360" s="165" t="str">
        <f>CONCATENATE(PAA[[#This Row],[Id Interno]],"-",PAA[[#This Row],[tipo de Contrato (TH talento humano - B/S bienes y/o servicios)]],"-",S360,"-",T360,"-",PAA[[#This Row],[Objeto de la contratación]])</f>
        <v>20260343-TH-8173-1-Prestar  servicios profesionales en las actividades relacionadas con la emision de conceptos a cargo de la Subdirección de Gestión del Riesgo._SGR</v>
      </c>
    </row>
    <row r="361" spans="2:35" ht="56" x14ac:dyDescent="0.35">
      <c r="B361" s="23">
        <v>20260344</v>
      </c>
      <c r="C361" s="99" t="s">
        <v>542</v>
      </c>
      <c r="D361" s="23" t="s">
        <v>105</v>
      </c>
      <c r="E361" s="23" t="s">
        <v>363</v>
      </c>
      <c r="F361" s="159" t="s">
        <v>144</v>
      </c>
      <c r="G361" s="160" t="s">
        <v>373</v>
      </c>
      <c r="H361" s="161">
        <v>8</v>
      </c>
      <c r="I361" s="161">
        <v>0</v>
      </c>
      <c r="J361" s="127">
        <v>48000000</v>
      </c>
      <c r="K361" s="88" t="s">
        <v>398</v>
      </c>
      <c r="L361" s="159" t="s">
        <v>156</v>
      </c>
      <c r="M361" s="162" t="s">
        <v>502</v>
      </c>
      <c r="N361" s="23" t="s">
        <v>198</v>
      </c>
      <c r="O361" s="151" t="s">
        <v>946</v>
      </c>
      <c r="P361" s="159" t="s">
        <v>348</v>
      </c>
      <c r="Q361" s="53">
        <v>80111600</v>
      </c>
      <c r="R361" s="162" t="s">
        <v>210</v>
      </c>
      <c r="S361" s="162" t="str">
        <f>MID(PAA[[#This Row],[Meta Proyecto de Inversión]],1,4)</f>
        <v>8173</v>
      </c>
      <c r="T361" s="162" t="str">
        <f>MID(PAA[[#This Row],[Meta Proyecto de Inversión]],6,1)</f>
        <v>1</v>
      </c>
      <c r="U361" s="163" t="str">
        <f>IFERROR(VLOOKUP(N361,TD!$B$50:$F$54,2,0)," ")</f>
        <v>O230117</v>
      </c>
      <c r="V361" s="163" t="str">
        <f>IFERROR(VLOOKUP(N361,TD!$B$50:$F$54,3,0)," ")</f>
        <v>4503</v>
      </c>
      <c r="W361" s="163">
        <f>IFERROR(VLOOKUP(N361,TD!$B$50:$F$54,4,0)," ")</f>
        <v>20240255</v>
      </c>
      <c r="X361" s="162" t="s">
        <v>170</v>
      </c>
      <c r="Y361" s="163" t="str">
        <f>IFERROR(VLOOKUP(X361,TD!$J$51:$K$64,2,0)," ")</f>
        <v>Servicio de inspecciones técnicas realizadas</v>
      </c>
      <c r="Z361" s="164" t="str">
        <f>CONCATENATE(X361,"-",Y361)</f>
        <v>06-Servicio de inspecciones técnicas realizadas</v>
      </c>
      <c r="AA361" s="162" t="s">
        <v>223</v>
      </c>
      <c r="AB361" s="163" t="str">
        <f>IFERROR(VLOOKUP(AA361,TD!$N$51:$O$66,2,0)," ")</f>
        <v>Servicio prevención y control de incendios</v>
      </c>
      <c r="AC361" s="164" t="str">
        <f>CONCATENATE(AA361,"_",AB361)</f>
        <v>035_Servicio prevención y control de incendios</v>
      </c>
      <c r="AD361" s="164" t="str">
        <f>CONCATENATE(Z361," ",AC361)</f>
        <v>06-Servicio de inspecciones técnicas realizadas 035_Servicio prevención y control de incendios</v>
      </c>
      <c r="AE361" s="163" t="str">
        <f>CONCATENATE(U361,V361,W361,X361,AA361)</f>
        <v>O23011745032024025506035</v>
      </c>
      <c r="AF361" s="163" t="str">
        <f>IFERROR(VLOOKUP(AD361,TD!$J$66:$K$89,2,0)," ")</f>
        <v>PM/0131/0106/45030350255</v>
      </c>
      <c r="AG361" s="118" t="s">
        <v>385</v>
      </c>
      <c r="AH361" s="162" t="s">
        <v>193</v>
      </c>
      <c r="AI361" s="165" t="str">
        <f>CONCATENATE(PAA[[#This Row],[Id Interno]],"-",PAA[[#This Row],[tipo de Contrato (TH talento humano - B/S bienes y/o servicios)]],"-",S361,"-",T361,"-",PAA[[#This Row],[Objeto de la contratación]])</f>
        <v>20260344-TH-8173-1-Prestarservicios profesionales en las actividades relacionadas con la emision de conceptos a cargo de la Subdirección de Gestión del Riesgo._SGR</v>
      </c>
    </row>
    <row r="362" spans="2:35" ht="56" x14ac:dyDescent="0.35">
      <c r="B362" s="23">
        <v>20260345</v>
      </c>
      <c r="C362" s="99" t="s">
        <v>542</v>
      </c>
      <c r="D362" s="23" t="s">
        <v>105</v>
      </c>
      <c r="E362" s="23" t="s">
        <v>363</v>
      </c>
      <c r="F362" s="159" t="s">
        <v>144</v>
      </c>
      <c r="G362" s="160" t="s">
        <v>373</v>
      </c>
      <c r="H362" s="161">
        <v>8</v>
      </c>
      <c r="I362" s="161">
        <v>0</v>
      </c>
      <c r="J362" s="127">
        <v>48000000</v>
      </c>
      <c r="K362" s="88" t="s">
        <v>398</v>
      </c>
      <c r="L362" s="159" t="s">
        <v>156</v>
      </c>
      <c r="M362" s="162" t="s">
        <v>502</v>
      </c>
      <c r="N362" s="23" t="s">
        <v>198</v>
      </c>
      <c r="O362" s="151" t="s">
        <v>946</v>
      </c>
      <c r="P362" s="159" t="s">
        <v>348</v>
      </c>
      <c r="Q362" s="53">
        <v>80111600</v>
      </c>
      <c r="R362" s="162" t="s">
        <v>210</v>
      </c>
      <c r="S362" s="162" t="str">
        <f>MID(PAA[[#This Row],[Meta Proyecto de Inversión]],1,4)</f>
        <v>8173</v>
      </c>
      <c r="T362" s="162" t="str">
        <f>MID(PAA[[#This Row],[Meta Proyecto de Inversión]],6,1)</f>
        <v>1</v>
      </c>
      <c r="U362" s="163" t="str">
        <f>IFERROR(VLOOKUP(N362,TD!$B$50:$F$54,2,0)," ")</f>
        <v>O230117</v>
      </c>
      <c r="V362" s="163" t="str">
        <f>IFERROR(VLOOKUP(N362,TD!$B$50:$F$54,3,0)," ")</f>
        <v>4503</v>
      </c>
      <c r="W362" s="163">
        <f>IFERROR(VLOOKUP(N362,TD!$B$50:$F$54,4,0)," ")</f>
        <v>20240255</v>
      </c>
      <c r="X362" s="162" t="s">
        <v>170</v>
      </c>
      <c r="Y362" s="163" t="str">
        <f>IFERROR(VLOOKUP(X362,TD!$J$51:$K$64,2,0)," ")</f>
        <v>Servicio de inspecciones técnicas realizadas</v>
      </c>
      <c r="Z362" s="164" t="str">
        <f>CONCATENATE(X362,"-",Y362)</f>
        <v>06-Servicio de inspecciones técnicas realizadas</v>
      </c>
      <c r="AA362" s="162" t="s">
        <v>223</v>
      </c>
      <c r="AB362" s="163" t="str">
        <f>IFERROR(VLOOKUP(AA362,TD!$N$51:$O$66,2,0)," ")</f>
        <v>Servicio prevención y control de incendios</v>
      </c>
      <c r="AC362" s="164" t="str">
        <f>CONCATENATE(AA362,"_",AB362)</f>
        <v>035_Servicio prevención y control de incendios</v>
      </c>
      <c r="AD362" s="164" t="str">
        <f>CONCATENATE(Z362," ",AC362)</f>
        <v>06-Servicio de inspecciones técnicas realizadas 035_Servicio prevención y control de incendios</v>
      </c>
      <c r="AE362" s="163" t="str">
        <f>CONCATENATE(U362,V362,W362,X362,AA362)</f>
        <v>O23011745032024025506035</v>
      </c>
      <c r="AF362" s="163" t="str">
        <f>IFERROR(VLOOKUP(AD362,TD!$J$66:$K$89,2,0)," ")</f>
        <v>PM/0131/0106/45030350255</v>
      </c>
      <c r="AG362" s="118" t="s">
        <v>385</v>
      </c>
      <c r="AH362" s="162" t="s">
        <v>193</v>
      </c>
      <c r="AI362" s="165" t="str">
        <f>CONCATENATE(PAA[[#This Row],[Id Interno]],"-",PAA[[#This Row],[tipo de Contrato (TH talento humano - B/S bienes y/o servicios)]],"-",S362,"-",T362,"-",PAA[[#This Row],[Objeto de la contratación]])</f>
        <v>20260345-TH-8173-1-Prestarservicios profesionales en las actividades relacionadas con la emision de conceptos a cargo de la Subdirección de Gestión del Riesgo._SGR</v>
      </c>
    </row>
    <row r="363" spans="2:35" ht="56" x14ac:dyDescent="0.35">
      <c r="B363" s="23">
        <v>20260346</v>
      </c>
      <c r="C363" s="99" t="s">
        <v>542</v>
      </c>
      <c r="D363" s="23" t="s">
        <v>105</v>
      </c>
      <c r="E363" s="23" t="s">
        <v>363</v>
      </c>
      <c r="F363" s="159" t="s">
        <v>144</v>
      </c>
      <c r="G363" s="160" t="s">
        <v>373</v>
      </c>
      <c r="H363" s="161">
        <v>8</v>
      </c>
      <c r="I363" s="161">
        <v>0</v>
      </c>
      <c r="J363" s="127">
        <v>48000000</v>
      </c>
      <c r="K363" s="88" t="s">
        <v>398</v>
      </c>
      <c r="L363" s="159" t="s">
        <v>156</v>
      </c>
      <c r="M363" s="162" t="s">
        <v>502</v>
      </c>
      <c r="N363" s="23" t="s">
        <v>198</v>
      </c>
      <c r="O363" s="151" t="s">
        <v>946</v>
      </c>
      <c r="P363" s="159" t="s">
        <v>348</v>
      </c>
      <c r="Q363" s="53">
        <v>80111600</v>
      </c>
      <c r="R363" s="162" t="s">
        <v>210</v>
      </c>
      <c r="S363" s="162" t="str">
        <f>MID(PAA[[#This Row],[Meta Proyecto de Inversión]],1,4)</f>
        <v>8173</v>
      </c>
      <c r="T363" s="162" t="str">
        <f>MID(PAA[[#This Row],[Meta Proyecto de Inversión]],6,1)</f>
        <v>1</v>
      </c>
      <c r="U363" s="163" t="str">
        <f>IFERROR(VLOOKUP(N363,TD!$B$50:$F$54,2,0)," ")</f>
        <v>O230117</v>
      </c>
      <c r="V363" s="163" t="str">
        <f>IFERROR(VLOOKUP(N363,TD!$B$50:$F$54,3,0)," ")</f>
        <v>4503</v>
      </c>
      <c r="W363" s="163">
        <f>IFERROR(VLOOKUP(N363,TD!$B$50:$F$54,4,0)," ")</f>
        <v>20240255</v>
      </c>
      <c r="X363" s="162" t="s">
        <v>170</v>
      </c>
      <c r="Y363" s="163" t="str">
        <f>IFERROR(VLOOKUP(X363,TD!$J$51:$K$64,2,0)," ")</f>
        <v>Servicio de inspecciones técnicas realizadas</v>
      </c>
      <c r="Z363" s="164" t="str">
        <f>CONCATENATE(X363,"-",Y363)</f>
        <v>06-Servicio de inspecciones técnicas realizadas</v>
      </c>
      <c r="AA363" s="162" t="s">
        <v>223</v>
      </c>
      <c r="AB363" s="163" t="str">
        <f>IFERROR(VLOOKUP(AA363,TD!$N$51:$O$66,2,0)," ")</f>
        <v>Servicio prevención y control de incendios</v>
      </c>
      <c r="AC363" s="164" t="str">
        <f>CONCATENATE(AA363,"_",AB363)</f>
        <v>035_Servicio prevención y control de incendios</v>
      </c>
      <c r="AD363" s="164" t="str">
        <f>CONCATENATE(Z363," ",AC363)</f>
        <v>06-Servicio de inspecciones técnicas realizadas 035_Servicio prevención y control de incendios</v>
      </c>
      <c r="AE363" s="163" t="str">
        <f>CONCATENATE(U363,V363,W363,X363,AA363)</f>
        <v>O23011745032024025506035</v>
      </c>
      <c r="AF363" s="163" t="str">
        <f>IFERROR(VLOOKUP(AD363,TD!$J$66:$K$89,2,0)," ")</f>
        <v>PM/0131/0106/45030350255</v>
      </c>
      <c r="AG363" s="118" t="s">
        <v>385</v>
      </c>
      <c r="AH363" s="162" t="s">
        <v>193</v>
      </c>
      <c r="AI363" s="165" t="str">
        <f>CONCATENATE(PAA[[#This Row],[Id Interno]],"-",PAA[[#This Row],[tipo de Contrato (TH talento humano - B/S bienes y/o servicios)]],"-",S363,"-",T363,"-",PAA[[#This Row],[Objeto de la contratación]])</f>
        <v>20260346-TH-8173-1-Prestarservicios profesionales en las actividades relacionadas con la emision de conceptos a cargo de la Subdirección de Gestión del Riesgo._SGR</v>
      </c>
    </row>
    <row r="364" spans="2:35" ht="56" x14ac:dyDescent="0.35">
      <c r="B364" s="23">
        <v>20260347</v>
      </c>
      <c r="C364" s="99" t="s">
        <v>542</v>
      </c>
      <c r="D364" s="23" t="s">
        <v>105</v>
      </c>
      <c r="E364" s="23" t="s">
        <v>363</v>
      </c>
      <c r="F364" s="159" t="s">
        <v>144</v>
      </c>
      <c r="G364" s="160" t="s">
        <v>373</v>
      </c>
      <c r="H364" s="161">
        <v>10</v>
      </c>
      <c r="I364" s="161">
        <v>0</v>
      </c>
      <c r="J364" s="127">
        <v>70000000</v>
      </c>
      <c r="K364" s="88" t="s">
        <v>398</v>
      </c>
      <c r="L364" s="159" t="s">
        <v>156</v>
      </c>
      <c r="M364" s="162" t="s">
        <v>502</v>
      </c>
      <c r="N364" s="23" t="s">
        <v>198</v>
      </c>
      <c r="O364" s="151" t="s">
        <v>946</v>
      </c>
      <c r="P364" s="159" t="s">
        <v>348</v>
      </c>
      <c r="Q364" s="53">
        <v>80111600</v>
      </c>
      <c r="R364" s="162" t="s">
        <v>210</v>
      </c>
      <c r="S364" s="162" t="str">
        <f>MID(PAA[[#This Row],[Meta Proyecto de Inversión]],1,4)</f>
        <v>8173</v>
      </c>
      <c r="T364" s="162" t="str">
        <f>MID(PAA[[#This Row],[Meta Proyecto de Inversión]],6,1)</f>
        <v>1</v>
      </c>
      <c r="U364" s="163" t="str">
        <f>IFERROR(VLOOKUP(N364,TD!$B$50:$F$54,2,0)," ")</f>
        <v>O230117</v>
      </c>
      <c r="V364" s="163" t="str">
        <f>IFERROR(VLOOKUP(N364,TD!$B$50:$F$54,3,0)," ")</f>
        <v>4503</v>
      </c>
      <c r="W364" s="163">
        <f>IFERROR(VLOOKUP(N364,TD!$B$50:$F$54,4,0)," ")</f>
        <v>20240255</v>
      </c>
      <c r="X364" s="162" t="s">
        <v>170</v>
      </c>
      <c r="Y364" s="163" t="str">
        <f>IFERROR(VLOOKUP(X364,TD!$J$51:$K$64,2,0)," ")</f>
        <v>Servicio de inspecciones técnicas realizadas</v>
      </c>
      <c r="Z364" s="164" t="str">
        <f>CONCATENATE(X364,"-",Y364)</f>
        <v>06-Servicio de inspecciones técnicas realizadas</v>
      </c>
      <c r="AA364" s="162" t="s">
        <v>223</v>
      </c>
      <c r="AB364" s="163" t="str">
        <f>IFERROR(VLOOKUP(AA364,TD!$N$51:$O$66,2,0)," ")</f>
        <v>Servicio prevención y control de incendios</v>
      </c>
      <c r="AC364" s="164" t="str">
        <f>CONCATENATE(AA364,"_",AB364)</f>
        <v>035_Servicio prevención y control de incendios</v>
      </c>
      <c r="AD364" s="164" t="str">
        <f>CONCATENATE(Z364," ",AC364)</f>
        <v>06-Servicio de inspecciones técnicas realizadas 035_Servicio prevención y control de incendios</v>
      </c>
      <c r="AE364" s="163" t="str">
        <f>CONCATENATE(U364,V364,W364,X364,AA364)</f>
        <v>O23011745032024025506035</v>
      </c>
      <c r="AF364" s="163" t="str">
        <f>IFERROR(VLOOKUP(AD364,TD!$J$66:$K$89,2,0)," ")</f>
        <v>PM/0131/0106/45030350255</v>
      </c>
      <c r="AG364" s="118" t="s">
        <v>385</v>
      </c>
      <c r="AH364" s="162" t="s">
        <v>193</v>
      </c>
      <c r="AI364" s="165" t="str">
        <f>CONCATENATE(PAA[[#This Row],[Id Interno]],"-",PAA[[#This Row],[tipo de Contrato (TH talento humano - B/S bienes y/o servicios)]],"-",S364,"-",T364,"-",PAA[[#This Row],[Objeto de la contratación]])</f>
        <v>20260347-TH-8173-1-Prestarservicios profesionales en las actividades relacionadas con la emision de conceptos a cargo de la Subdirección de Gestión del Riesgo._SGR</v>
      </c>
    </row>
    <row r="365" spans="2:35" ht="56" x14ac:dyDescent="0.35">
      <c r="B365" s="23">
        <v>20260348</v>
      </c>
      <c r="C365" s="99" t="s">
        <v>542</v>
      </c>
      <c r="D365" s="23" t="s">
        <v>105</v>
      </c>
      <c r="E365" s="23" t="s">
        <v>363</v>
      </c>
      <c r="F365" s="159" t="s">
        <v>144</v>
      </c>
      <c r="G365" s="160" t="s">
        <v>373</v>
      </c>
      <c r="H365" s="161">
        <v>10</v>
      </c>
      <c r="I365" s="161">
        <v>0</v>
      </c>
      <c r="J365" s="127">
        <v>70000000</v>
      </c>
      <c r="K365" s="88" t="s">
        <v>398</v>
      </c>
      <c r="L365" s="159" t="s">
        <v>156</v>
      </c>
      <c r="M365" s="162" t="s">
        <v>502</v>
      </c>
      <c r="N365" s="23" t="s">
        <v>198</v>
      </c>
      <c r="O365" s="151" t="s">
        <v>946</v>
      </c>
      <c r="P365" s="159" t="s">
        <v>348</v>
      </c>
      <c r="Q365" s="53">
        <v>80111600</v>
      </c>
      <c r="R365" s="162" t="s">
        <v>210</v>
      </c>
      <c r="S365" s="162" t="str">
        <f>MID(PAA[[#This Row],[Meta Proyecto de Inversión]],1,4)</f>
        <v>8173</v>
      </c>
      <c r="T365" s="162" t="str">
        <f>MID(PAA[[#This Row],[Meta Proyecto de Inversión]],6,1)</f>
        <v>1</v>
      </c>
      <c r="U365" s="163" t="str">
        <f>IFERROR(VLOOKUP(N365,TD!$B$50:$F$54,2,0)," ")</f>
        <v>O230117</v>
      </c>
      <c r="V365" s="163" t="str">
        <f>IFERROR(VLOOKUP(N365,TD!$B$50:$F$54,3,0)," ")</f>
        <v>4503</v>
      </c>
      <c r="W365" s="163">
        <f>IFERROR(VLOOKUP(N365,TD!$B$50:$F$54,4,0)," ")</f>
        <v>20240255</v>
      </c>
      <c r="X365" s="162" t="s">
        <v>170</v>
      </c>
      <c r="Y365" s="163" t="str">
        <f>IFERROR(VLOOKUP(X365,TD!$J$51:$K$64,2,0)," ")</f>
        <v>Servicio de inspecciones técnicas realizadas</v>
      </c>
      <c r="Z365" s="164" t="str">
        <f>CONCATENATE(X365,"-",Y365)</f>
        <v>06-Servicio de inspecciones técnicas realizadas</v>
      </c>
      <c r="AA365" s="162" t="s">
        <v>223</v>
      </c>
      <c r="AB365" s="163" t="str">
        <f>IFERROR(VLOOKUP(AA365,TD!$N$51:$O$66,2,0)," ")</f>
        <v>Servicio prevención y control de incendios</v>
      </c>
      <c r="AC365" s="164" t="str">
        <f>CONCATENATE(AA365,"_",AB365)</f>
        <v>035_Servicio prevención y control de incendios</v>
      </c>
      <c r="AD365" s="164" t="str">
        <f>CONCATENATE(Z365," ",AC365)</f>
        <v>06-Servicio de inspecciones técnicas realizadas 035_Servicio prevención y control de incendios</v>
      </c>
      <c r="AE365" s="163" t="str">
        <f>CONCATENATE(U365,V365,W365,X365,AA365)</f>
        <v>O23011745032024025506035</v>
      </c>
      <c r="AF365" s="163" t="str">
        <f>IFERROR(VLOOKUP(AD365,TD!$J$66:$K$89,2,0)," ")</f>
        <v>PM/0131/0106/45030350255</v>
      </c>
      <c r="AG365" s="118" t="s">
        <v>385</v>
      </c>
      <c r="AH365" s="162" t="s">
        <v>193</v>
      </c>
      <c r="AI365" s="165" t="str">
        <f>CONCATENATE(PAA[[#This Row],[Id Interno]],"-",PAA[[#This Row],[tipo de Contrato (TH talento humano - B/S bienes y/o servicios)]],"-",S365,"-",T365,"-",PAA[[#This Row],[Objeto de la contratación]])</f>
        <v>20260348-TH-8173-1-Prestarservicios profesionales en las actividades relacionadas con la emision de conceptos a cargo de la Subdirección de Gestión del Riesgo._SGR</v>
      </c>
    </row>
    <row r="366" spans="2:35" ht="56" x14ac:dyDescent="0.35">
      <c r="B366" s="23">
        <v>20260349</v>
      </c>
      <c r="C366" s="99" t="s">
        <v>543</v>
      </c>
      <c r="D366" s="23" t="s">
        <v>105</v>
      </c>
      <c r="E366" s="23" t="s">
        <v>363</v>
      </c>
      <c r="F366" s="159" t="s">
        <v>145</v>
      </c>
      <c r="G366" s="160" t="s">
        <v>373</v>
      </c>
      <c r="H366" s="161">
        <v>10</v>
      </c>
      <c r="I366" s="161">
        <v>0</v>
      </c>
      <c r="J366" s="127">
        <v>45000000</v>
      </c>
      <c r="K366" s="88" t="s">
        <v>398</v>
      </c>
      <c r="L366" s="159" t="s">
        <v>156</v>
      </c>
      <c r="M366" s="162" t="s">
        <v>502</v>
      </c>
      <c r="N366" s="23" t="s">
        <v>198</v>
      </c>
      <c r="O366" s="151" t="s">
        <v>946</v>
      </c>
      <c r="P366" s="159" t="s">
        <v>348</v>
      </c>
      <c r="Q366" s="53">
        <v>80111600</v>
      </c>
      <c r="R366" s="162" t="s">
        <v>210</v>
      </c>
      <c r="S366" s="162" t="str">
        <f>MID(PAA[[#This Row],[Meta Proyecto de Inversión]],1,4)</f>
        <v>8173</v>
      </c>
      <c r="T366" s="162" t="str">
        <f>MID(PAA[[#This Row],[Meta Proyecto de Inversión]],6,1)</f>
        <v>1</v>
      </c>
      <c r="U366" s="163" t="str">
        <f>IFERROR(VLOOKUP(N366,TD!$B$50:$F$54,2,0)," ")</f>
        <v>O230117</v>
      </c>
      <c r="V366" s="163" t="str">
        <f>IFERROR(VLOOKUP(N366,TD!$B$50:$F$54,3,0)," ")</f>
        <v>4503</v>
      </c>
      <c r="W366" s="163">
        <f>IFERROR(VLOOKUP(N366,TD!$B$50:$F$54,4,0)," ")</f>
        <v>20240255</v>
      </c>
      <c r="X366" s="162" t="s">
        <v>170</v>
      </c>
      <c r="Y366" s="163" t="str">
        <f>IFERROR(VLOOKUP(X366,TD!$J$51:$K$64,2,0)," ")</f>
        <v>Servicio de inspecciones técnicas realizadas</v>
      </c>
      <c r="Z366" s="164" t="str">
        <f>CONCATENATE(X366,"-",Y366)</f>
        <v>06-Servicio de inspecciones técnicas realizadas</v>
      </c>
      <c r="AA366" s="162" t="s">
        <v>223</v>
      </c>
      <c r="AB366" s="163" t="str">
        <f>IFERROR(VLOOKUP(AA366,TD!$N$51:$O$66,2,0)," ")</f>
        <v>Servicio prevención y control de incendios</v>
      </c>
      <c r="AC366" s="164" t="str">
        <f>CONCATENATE(AA366,"_",AB366)</f>
        <v>035_Servicio prevención y control de incendios</v>
      </c>
      <c r="AD366" s="164" t="str">
        <f>CONCATENATE(Z366," ",AC366)</f>
        <v>06-Servicio de inspecciones técnicas realizadas 035_Servicio prevención y control de incendios</v>
      </c>
      <c r="AE366" s="163" t="str">
        <f>CONCATENATE(U366,V366,W366,X366,AA366)</f>
        <v>O23011745032024025506035</v>
      </c>
      <c r="AF366" s="163" t="str">
        <f>IFERROR(VLOOKUP(AD366,TD!$J$66:$K$89,2,0)," ")</f>
        <v>PM/0131/0106/45030350255</v>
      </c>
      <c r="AG366" s="118" t="s">
        <v>385</v>
      </c>
      <c r="AH366" s="162" t="s">
        <v>193</v>
      </c>
      <c r="AI366" s="165" t="str">
        <f>CONCATENATE(PAA[[#This Row],[Id Interno]],"-",PAA[[#This Row],[tipo de Contrato (TH talento humano - B/S bienes y/o servicios)]],"-",S366,"-",T366,"-",PAA[[#This Row],[Objeto de la contratación]])</f>
        <v>20260349-TH-8173-1-Prestar  servicios de apoyo tecnico para realizar las inspecciones relacionadas con la emision de conceptos a cargo de la Subdirección de Gestión del Riesgo._SGR</v>
      </c>
    </row>
    <row r="367" spans="2:35" ht="56" x14ac:dyDescent="0.35">
      <c r="B367" s="23">
        <v>20260350</v>
      </c>
      <c r="C367" s="99" t="s">
        <v>543</v>
      </c>
      <c r="D367" s="23" t="s">
        <v>105</v>
      </c>
      <c r="E367" s="23" t="s">
        <v>363</v>
      </c>
      <c r="F367" s="159" t="s">
        <v>145</v>
      </c>
      <c r="G367" s="160" t="s">
        <v>373</v>
      </c>
      <c r="H367" s="161">
        <v>10</v>
      </c>
      <c r="I367" s="161">
        <v>0</v>
      </c>
      <c r="J367" s="127">
        <v>40000000</v>
      </c>
      <c r="K367" s="88" t="s">
        <v>398</v>
      </c>
      <c r="L367" s="159" t="s">
        <v>156</v>
      </c>
      <c r="M367" s="162" t="s">
        <v>502</v>
      </c>
      <c r="N367" s="23" t="s">
        <v>198</v>
      </c>
      <c r="O367" s="151" t="s">
        <v>946</v>
      </c>
      <c r="P367" s="159" t="s">
        <v>348</v>
      </c>
      <c r="Q367" s="53">
        <v>80111600</v>
      </c>
      <c r="R367" s="162" t="s">
        <v>210</v>
      </c>
      <c r="S367" s="162" t="str">
        <f>MID(PAA[[#This Row],[Meta Proyecto de Inversión]],1,4)</f>
        <v>8173</v>
      </c>
      <c r="T367" s="162" t="str">
        <f>MID(PAA[[#This Row],[Meta Proyecto de Inversión]],6,1)</f>
        <v>1</v>
      </c>
      <c r="U367" s="163" t="str">
        <f>IFERROR(VLOOKUP(N367,TD!$B$50:$F$54,2,0)," ")</f>
        <v>O230117</v>
      </c>
      <c r="V367" s="163" t="str">
        <f>IFERROR(VLOOKUP(N367,TD!$B$50:$F$54,3,0)," ")</f>
        <v>4503</v>
      </c>
      <c r="W367" s="163">
        <f>IFERROR(VLOOKUP(N367,TD!$B$50:$F$54,4,0)," ")</f>
        <v>20240255</v>
      </c>
      <c r="X367" s="162" t="s">
        <v>170</v>
      </c>
      <c r="Y367" s="163" t="str">
        <f>IFERROR(VLOOKUP(X367,TD!$J$51:$K$64,2,0)," ")</f>
        <v>Servicio de inspecciones técnicas realizadas</v>
      </c>
      <c r="Z367" s="164" t="str">
        <f>CONCATENATE(X367,"-",Y367)</f>
        <v>06-Servicio de inspecciones técnicas realizadas</v>
      </c>
      <c r="AA367" s="162" t="s">
        <v>223</v>
      </c>
      <c r="AB367" s="163" t="str">
        <f>IFERROR(VLOOKUP(AA367,TD!$N$51:$O$66,2,0)," ")</f>
        <v>Servicio prevención y control de incendios</v>
      </c>
      <c r="AC367" s="164" t="str">
        <f>CONCATENATE(AA367,"_",AB367)</f>
        <v>035_Servicio prevención y control de incendios</v>
      </c>
      <c r="AD367" s="164" t="str">
        <f>CONCATENATE(Z367," ",AC367)</f>
        <v>06-Servicio de inspecciones técnicas realizadas 035_Servicio prevención y control de incendios</v>
      </c>
      <c r="AE367" s="163" t="str">
        <f>CONCATENATE(U367,V367,W367,X367,AA367)</f>
        <v>O23011745032024025506035</v>
      </c>
      <c r="AF367" s="163" t="str">
        <f>IFERROR(VLOOKUP(AD367,TD!$J$66:$K$89,2,0)," ")</f>
        <v>PM/0131/0106/45030350255</v>
      </c>
      <c r="AG367" s="118" t="s">
        <v>385</v>
      </c>
      <c r="AH367" s="162" t="s">
        <v>193</v>
      </c>
      <c r="AI367" s="165" t="str">
        <f>CONCATENATE(PAA[[#This Row],[Id Interno]],"-",PAA[[#This Row],[tipo de Contrato (TH talento humano - B/S bienes y/o servicios)]],"-",S367,"-",T367,"-",PAA[[#This Row],[Objeto de la contratación]])</f>
        <v>20260350-TH-8173-1-Prestar  servicios de apoyo tecnico para realizar las inspecciones relacionadas con la emision de conceptos a cargo de la Subdirección de Gestión del Riesgo._SGR</v>
      </c>
    </row>
    <row r="368" spans="2:35" ht="56" x14ac:dyDescent="0.35">
      <c r="B368" s="23">
        <v>20260351</v>
      </c>
      <c r="C368" s="99" t="s">
        <v>543</v>
      </c>
      <c r="D368" s="23" t="s">
        <v>105</v>
      </c>
      <c r="E368" s="23" t="s">
        <v>363</v>
      </c>
      <c r="F368" s="159" t="s">
        <v>145</v>
      </c>
      <c r="G368" s="160" t="s">
        <v>373</v>
      </c>
      <c r="H368" s="161">
        <v>10</v>
      </c>
      <c r="I368" s="161">
        <v>0</v>
      </c>
      <c r="J368" s="127">
        <v>40000000</v>
      </c>
      <c r="K368" s="88" t="s">
        <v>398</v>
      </c>
      <c r="L368" s="159" t="s">
        <v>156</v>
      </c>
      <c r="M368" s="162" t="s">
        <v>502</v>
      </c>
      <c r="N368" s="23" t="s">
        <v>198</v>
      </c>
      <c r="O368" s="151" t="s">
        <v>946</v>
      </c>
      <c r="P368" s="159" t="s">
        <v>348</v>
      </c>
      <c r="Q368" s="53">
        <v>80111600</v>
      </c>
      <c r="R368" s="162" t="s">
        <v>210</v>
      </c>
      <c r="S368" s="162" t="str">
        <f>MID(PAA[[#This Row],[Meta Proyecto de Inversión]],1,4)</f>
        <v>8173</v>
      </c>
      <c r="T368" s="162" t="str">
        <f>MID(PAA[[#This Row],[Meta Proyecto de Inversión]],6,1)</f>
        <v>1</v>
      </c>
      <c r="U368" s="163" t="str">
        <f>IFERROR(VLOOKUP(N368,TD!$B$50:$F$54,2,0)," ")</f>
        <v>O230117</v>
      </c>
      <c r="V368" s="163" t="str">
        <f>IFERROR(VLOOKUP(N368,TD!$B$50:$F$54,3,0)," ")</f>
        <v>4503</v>
      </c>
      <c r="W368" s="163">
        <f>IFERROR(VLOOKUP(N368,TD!$B$50:$F$54,4,0)," ")</f>
        <v>20240255</v>
      </c>
      <c r="X368" s="162" t="s">
        <v>170</v>
      </c>
      <c r="Y368" s="163" t="str">
        <f>IFERROR(VLOOKUP(X368,TD!$J$51:$K$64,2,0)," ")</f>
        <v>Servicio de inspecciones técnicas realizadas</v>
      </c>
      <c r="Z368" s="164" t="str">
        <f>CONCATENATE(X368,"-",Y368)</f>
        <v>06-Servicio de inspecciones técnicas realizadas</v>
      </c>
      <c r="AA368" s="162" t="s">
        <v>223</v>
      </c>
      <c r="AB368" s="163" t="str">
        <f>IFERROR(VLOOKUP(AA368,TD!$N$51:$O$66,2,0)," ")</f>
        <v>Servicio prevención y control de incendios</v>
      </c>
      <c r="AC368" s="164" t="str">
        <f>CONCATENATE(AA368,"_",AB368)</f>
        <v>035_Servicio prevención y control de incendios</v>
      </c>
      <c r="AD368" s="164" t="str">
        <f>CONCATENATE(Z368," ",AC368)</f>
        <v>06-Servicio de inspecciones técnicas realizadas 035_Servicio prevención y control de incendios</v>
      </c>
      <c r="AE368" s="163" t="str">
        <f>CONCATENATE(U368,V368,W368,X368,AA368)</f>
        <v>O23011745032024025506035</v>
      </c>
      <c r="AF368" s="163" t="str">
        <f>IFERROR(VLOOKUP(AD368,TD!$J$66:$K$89,2,0)," ")</f>
        <v>PM/0131/0106/45030350255</v>
      </c>
      <c r="AG368" s="118" t="s">
        <v>385</v>
      </c>
      <c r="AH368" s="162" t="s">
        <v>193</v>
      </c>
      <c r="AI368" s="165" t="str">
        <f>CONCATENATE(PAA[[#This Row],[Id Interno]],"-",PAA[[#This Row],[tipo de Contrato (TH talento humano - B/S bienes y/o servicios)]],"-",S368,"-",T368,"-",PAA[[#This Row],[Objeto de la contratación]])</f>
        <v>20260351-TH-8173-1-Prestar  servicios de apoyo tecnico para realizar las inspecciones relacionadas con la emision de conceptos a cargo de la Subdirección de Gestión del Riesgo._SGR</v>
      </c>
    </row>
    <row r="369" spans="2:35" ht="56" x14ac:dyDescent="0.35">
      <c r="B369" s="23">
        <v>20260352</v>
      </c>
      <c r="C369" s="99" t="s">
        <v>543</v>
      </c>
      <c r="D369" s="23" t="s">
        <v>105</v>
      </c>
      <c r="E369" s="23" t="s">
        <v>363</v>
      </c>
      <c r="F369" s="159" t="s">
        <v>145</v>
      </c>
      <c r="G369" s="160" t="s">
        <v>373</v>
      </c>
      <c r="H369" s="161">
        <v>10</v>
      </c>
      <c r="I369" s="161">
        <v>0</v>
      </c>
      <c r="J369" s="127">
        <v>40000000</v>
      </c>
      <c r="K369" s="88" t="s">
        <v>398</v>
      </c>
      <c r="L369" s="159" t="s">
        <v>156</v>
      </c>
      <c r="M369" s="162" t="s">
        <v>502</v>
      </c>
      <c r="N369" s="23" t="s">
        <v>198</v>
      </c>
      <c r="O369" s="151" t="s">
        <v>946</v>
      </c>
      <c r="P369" s="159" t="s">
        <v>348</v>
      </c>
      <c r="Q369" s="53">
        <v>80111600</v>
      </c>
      <c r="R369" s="162" t="s">
        <v>210</v>
      </c>
      <c r="S369" s="162" t="str">
        <f>MID(PAA[[#This Row],[Meta Proyecto de Inversión]],1,4)</f>
        <v>8173</v>
      </c>
      <c r="T369" s="162" t="str">
        <f>MID(PAA[[#This Row],[Meta Proyecto de Inversión]],6,1)</f>
        <v>1</v>
      </c>
      <c r="U369" s="163" t="str">
        <f>IFERROR(VLOOKUP(N369,TD!$B$50:$F$54,2,0)," ")</f>
        <v>O230117</v>
      </c>
      <c r="V369" s="163" t="str">
        <f>IFERROR(VLOOKUP(N369,TD!$B$50:$F$54,3,0)," ")</f>
        <v>4503</v>
      </c>
      <c r="W369" s="163">
        <f>IFERROR(VLOOKUP(N369,TD!$B$50:$F$54,4,0)," ")</f>
        <v>20240255</v>
      </c>
      <c r="X369" s="162" t="s">
        <v>170</v>
      </c>
      <c r="Y369" s="163" t="str">
        <f>IFERROR(VLOOKUP(X369,TD!$J$51:$K$64,2,0)," ")</f>
        <v>Servicio de inspecciones técnicas realizadas</v>
      </c>
      <c r="Z369" s="164" t="str">
        <f>CONCATENATE(X369,"-",Y369)</f>
        <v>06-Servicio de inspecciones técnicas realizadas</v>
      </c>
      <c r="AA369" s="162" t="s">
        <v>223</v>
      </c>
      <c r="AB369" s="163" t="str">
        <f>IFERROR(VLOOKUP(AA369,TD!$N$51:$O$66,2,0)," ")</f>
        <v>Servicio prevención y control de incendios</v>
      </c>
      <c r="AC369" s="164" t="str">
        <f>CONCATENATE(AA369,"_",AB369)</f>
        <v>035_Servicio prevención y control de incendios</v>
      </c>
      <c r="AD369" s="164" t="str">
        <f>CONCATENATE(Z369," ",AC369)</f>
        <v>06-Servicio de inspecciones técnicas realizadas 035_Servicio prevención y control de incendios</v>
      </c>
      <c r="AE369" s="163" t="str">
        <f>CONCATENATE(U369,V369,W369,X369,AA369)</f>
        <v>O23011745032024025506035</v>
      </c>
      <c r="AF369" s="163" t="str">
        <f>IFERROR(VLOOKUP(AD369,TD!$J$66:$K$89,2,0)," ")</f>
        <v>PM/0131/0106/45030350255</v>
      </c>
      <c r="AG369" s="118" t="s">
        <v>385</v>
      </c>
      <c r="AH369" s="162" t="s">
        <v>193</v>
      </c>
      <c r="AI369" s="165" t="str">
        <f>CONCATENATE(PAA[[#This Row],[Id Interno]],"-",PAA[[#This Row],[tipo de Contrato (TH talento humano - B/S bienes y/o servicios)]],"-",S369,"-",T369,"-",PAA[[#This Row],[Objeto de la contratación]])</f>
        <v>20260352-TH-8173-1-Prestar  servicios de apoyo tecnico para realizar las inspecciones relacionadas con la emision de conceptos a cargo de la Subdirección de Gestión del Riesgo._SGR</v>
      </c>
    </row>
    <row r="370" spans="2:35" ht="56" x14ac:dyDescent="0.35">
      <c r="B370" s="23">
        <v>20260353</v>
      </c>
      <c r="C370" s="99" t="s">
        <v>543</v>
      </c>
      <c r="D370" s="23" t="s">
        <v>105</v>
      </c>
      <c r="E370" s="23" t="s">
        <v>363</v>
      </c>
      <c r="F370" s="159" t="s">
        <v>145</v>
      </c>
      <c r="G370" s="160" t="s">
        <v>373</v>
      </c>
      <c r="H370" s="161">
        <v>10</v>
      </c>
      <c r="I370" s="161">
        <v>0</v>
      </c>
      <c r="J370" s="127">
        <v>40000000</v>
      </c>
      <c r="K370" s="88" t="s">
        <v>398</v>
      </c>
      <c r="L370" s="159" t="s">
        <v>156</v>
      </c>
      <c r="M370" s="162" t="s">
        <v>502</v>
      </c>
      <c r="N370" s="23" t="s">
        <v>198</v>
      </c>
      <c r="O370" s="151" t="s">
        <v>946</v>
      </c>
      <c r="P370" s="159" t="s">
        <v>348</v>
      </c>
      <c r="Q370" s="53">
        <v>80111600</v>
      </c>
      <c r="R370" s="162" t="s">
        <v>210</v>
      </c>
      <c r="S370" s="162" t="str">
        <f>MID(PAA[[#This Row],[Meta Proyecto de Inversión]],1,4)</f>
        <v>8173</v>
      </c>
      <c r="T370" s="162" t="str">
        <f>MID(PAA[[#This Row],[Meta Proyecto de Inversión]],6,1)</f>
        <v>1</v>
      </c>
      <c r="U370" s="163" t="str">
        <f>IFERROR(VLOOKUP(N370,TD!$B$50:$F$54,2,0)," ")</f>
        <v>O230117</v>
      </c>
      <c r="V370" s="163" t="str">
        <f>IFERROR(VLOOKUP(N370,TD!$B$50:$F$54,3,0)," ")</f>
        <v>4503</v>
      </c>
      <c r="W370" s="163">
        <f>IFERROR(VLOOKUP(N370,TD!$B$50:$F$54,4,0)," ")</f>
        <v>20240255</v>
      </c>
      <c r="X370" s="162" t="s">
        <v>170</v>
      </c>
      <c r="Y370" s="163" t="str">
        <f>IFERROR(VLOOKUP(X370,TD!$J$51:$K$64,2,0)," ")</f>
        <v>Servicio de inspecciones técnicas realizadas</v>
      </c>
      <c r="Z370" s="164" t="str">
        <f>CONCATENATE(X370,"-",Y370)</f>
        <v>06-Servicio de inspecciones técnicas realizadas</v>
      </c>
      <c r="AA370" s="162" t="s">
        <v>223</v>
      </c>
      <c r="AB370" s="163" t="str">
        <f>IFERROR(VLOOKUP(AA370,TD!$N$51:$O$66,2,0)," ")</f>
        <v>Servicio prevención y control de incendios</v>
      </c>
      <c r="AC370" s="164" t="str">
        <f>CONCATENATE(AA370,"_",AB370)</f>
        <v>035_Servicio prevención y control de incendios</v>
      </c>
      <c r="AD370" s="164" t="str">
        <f>CONCATENATE(Z370," ",AC370)</f>
        <v>06-Servicio de inspecciones técnicas realizadas 035_Servicio prevención y control de incendios</v>
      </c>
      <c r="AE370" s="163" t="str">
        <f>CONCATENATE(U370,V370,W370,X370,AA370)</f>
        <v>O23011745032024025506035</v>
      </c>
      <c r="AF370" s="163" t="str">
        <f>IFERROR(VLOOKUP(AD370,TD!$J$66:$K$89,2,0)," ")</f>
        <v>PM/0131/0106/45030350255</v>
      </c>
      <c r="AG370" s="118" t="s">
        <v>385</v>
      </c>
      <c r="AH370" s="162" t="s">
        <v>193</v>
      </c>
      <c r="AI370" s="165" t="str">
        <f>CONCATENATE(PAA[[#This Row],[Id Interno]],"-",PAA[[#This Row],[tipo de Contrato (TH talento humano - B/S bienes y/o servicios)]],"-",S370,"-",T370,"-",PAA[[#This Row],[Objeto de la contratación]])</f>
        <v>20260353-TH-8173-1-Prestar  servicios de apoyo tecnico para realizar las inspecciones relacionadas con la emision de conceptos a cargo de la Subdirección de Gestión del Riesgo._SGR</v>
      </c>
    </row>
    <row r="371" spans="2:35" ht="56" x14ac:dyDescent="0.35">
      <c r="B371" s="23">
        <v>20260354</v>
      </c>
      <c r="C371" s="99" t="s">
        <v>544</v>
      </c>
      <c r="D371" s="23" t="s">
        <v>105</v>
      </c>
      <c r="E371" s="23" t="s">
        <v>363</v>
      </c>
      <c r="F371" s="159" t="s">
        <v>145</v>
      </c>
      <c r="G371" s="160" t="s">
        <v>373</v>
      </c>
      <c r="H371" s="161">
        <v>10</v>
      </c>
      <c r="I371" s="161">
        <v>0</v>
      </c>
      <c r="J371" s="127">
        <v>40000000</v>
      </c>
      <c r="K371" s="88" t="s">
        <v>398</v>
      </c>
      <c r="L371" s="159" t="s">
        <v>156</v>
      </c>
      <c r="M371" s="162" t="s">
        <v>502</v>
      </c>
      <c r="N371" s="23" t="s">
        <v>198</v>
      </c>
      <c r="O371" s="151" t="s">
        <v>946</v>
      </c>
      <c r="P371" s="159" t="s">
        <v>348</v>
      </c>
      <c r="Q371" s="53">
        <v>80111600</v>
      </c>
      <c r="R371" s="162" t="s">
        <v>210</v>
      </c>
      <c r="S371" s="162" t="str">
        <f>MID(PAA[[#This Row],[Meta Proyecto de Inversión]],1,4)</f>
        <v>8173</v>
      </c>
      <c r="T371" s="162" t="str">
        <f>MID(PAA[[#This Row],[Meta Proyecto de Inversión]],6,1)</f>
        <v>1</v>
      </c>
      <c r="U371" s="163" t="str">
        <f>IFERROR(VLOOKUP(N371,TD!$B$50:$F$54,2,0)," ")</f>
        <v>O230117</v>
      </c>
      <c r="V371" s="163" t="str">
        <f>IFERROR(VLOOKUP(N371,TD!$B$50:$F$54,3,0)," ")</f>
        <v>4503</v>
      </c>
      <c r="W371" s="163">
        <f>IFERROR(VLOOKUP(N371,TD!$B$50:$F$54,4,0)," ")</f>
        <v>20240255</v>
      </c>
      <c r="X371" s="162" t="s">
        <v>170</v>
      </c>
      <c r="Y371" s="163" t="str">
        <f>IFERROR(VLOOKUP(X371,TD!$J$51:$K$64,2,0)," ")</f>
        <v>Servicio de inspecciones técnicas realizadas</v>
      </c>
      <c r="Z371" s="164" t="str">
        <f>CONCATENATE(X371,"-",Y371)</f>
        <v>06-Servicio de inspecciones técnicas realizadas</v>
      </c>
      <c r="AA371" s="162" t="s">
        <v>223</v>
      </c>
      <c r="AB371" s="163" t="str">
        <f>IFERROR(VLOOKUP(AA371,TD!$N$51:$O$66,2,0)," ")</f>
        <v>Servicio prevención y control de incendios</v>
      </c>
      <c r="AC371" s="164" t="str">
        <f>CONCATENATE(AA371,"_",AB371)</f>
        <v>035_Servicio prevención y control de incendios</v>
      </c>
      <c r="AD371" s="164" t="str">
        <f>CONCATENATE(Z371," ",AC371)</f>
        <v>06-Servicio de inspecciones técnicas realizadas 035_Servicio prevención y control de incendios</v>
      </c>
      <c r="AE371" s="163" t="str">
        <f>CONCATENATE(U371,V371,W371,X371,AA371)</f>
        <v>O23011745032024025506035</v>
      </c>
      <c r="AF371" s="163" t="str">
        <f>IFERROR(VLOOKUP(AD371,TD!$J$66:$K$89,2,0)," ")</f>
        <v>PM/0131/0106/45030350255</v>
      </c>
      <c r="AG371" s="118" t="s">
        <v>385</v>
      </c>
      <c r="AH371" s="162" t="s">
        <v>193</v>
      </c>
      <c r="AI371" s="165" t="str">
        <f>CONCATENATE(PAA[[#This Row],[Id Interno]],"-",PAA[[#This Row],[tipo de Contrato (TH talento humano - B/S bienes y/o servicios)]],"-",S371,"-",T371,"-",PAA[[#This Row],[Objeto de la contratación]])</f>
        <v>20260354-TH-8173-1-  Prestar  servicios de apoyo tecnico para realizar las inspecciones relacionadas con la emision de conceptos a cargo de la Subdirección de Gestión del Riesgo._SGR</v>
      </c>
    </row>
    <row r="372" spans="2:35" ht="56" x14ac:dyDescent="0.35">
      <c r="B372" s="23">
        <v>20260355</v>
      </c>
      <c r="C372" s="99" t="s">
        <v>543</v>
      </c>
      <c r="D372" s="23" t="s">
        <v>105</v>
      </c>
      <c r="E372" s="23" t="s">
        <v>363</v>
      </c>
      <c r="F372" s="159" t="s">
        <v>145</v>
      </c>
      <c r="G372" s="160" t="s">
        <v>373</v>
      </c>
      <c r="H372" s="161">
        <v>10</v>
      </c>
      <c r="I372" s="161">
        <v>0</v>
      </c>
      <c r="J372" s="127">
        <v>40000000</v>
      </c>
      <c r="K372" s="88" t="s">
        <v>398</v>
      </c>
      <c r="L372" s="159" t="s">
        <v>156</v>
      </c>
      <c r="M372" s="162" t="s">
        <v>502</v>
      </c>
      <c r="N372" s="23" t="s">
        <v>198</v>
      </c>
      <c r="O372" s="151" t="s">
        <v>946</v>
      </c>
      <c r="P372" s="159" t="s">
        <v>348</v>
      </c>
      <c r="Q372" s="53">
        <v>80111600</v>
      </c>
      <c r="R372" s="162" t="s">
        <v>210</v>
      </c>
      <c r="S372" s="162" t="str">
        <f>MID(PAA[[#This Row],[Meta Proyecto de Inversión]],1,4)</f>
        <v>8173</v>
      </c>
      <c r="T372" s="162" t="str">
        <f>MID(PAA[[#This Row],[Meta Proyecto de Inversión]],6,1)</f>
        <v>1</v>
      </c>
      <c r="U372" s="163" t="str">
        <f>IFERROR(VLOOKUP(N372,TD!$B$50:$F$54,2,0)," ")</f>
        <v>O230117</v>
      </c>
      <c r="V372" s="163" t="str">
        <f>IFERROR(VLOOKUP(N372,TD!$B$50:$F$54,3,0)," ")</f>
        <v>4503</v>
      </c>
      <c r="W372" s="163">
        <f>IFERROR(VLOOKUP(N372,TD!$B$50:$F$54,4,0)," ")</f>
        <v>20240255</v>
      </c>
      <c r="X372" s="162" t="s">
        <v>170</v>
      </c>
      <c r="Y372" s="163" t="str">
        <f>IFERROR(VLOOKUP(X372,TD!$J$51:$K$64,2,0)," ")</f>
        <v>Servicio de inspecciones técnicas realizadas</v>
      </c>
      <c r="Z372" s="164" t="str">
        <f>CONCATENATE(X372,"-",Y372)</f>
        <v>06-Servicio de inspecciones técnicas realizadas</v>
      </c>
      <c r="AA372" s="162" t="s">
        <v>223</v>
      </c>
      <c r="AB372" s="163" t="str">
        <f>IFERROR(VLOOKUP(AA372,TD!$N$51:$O$66,2,0)," ")</f>
        <v>Servicio prevención y control de incendios</v>
      </c>
      <c r="AC372" s="164" t="str">
        <f>CONCATENATE(AA372,"_",AB372)</f>
        <v>035_Servicio prevención y control de incendios</v>
      </c>
      <c r="AD372" s="164" t="str">
        <f>CONCATENATE(Z372," ",AC372)</f>
        <v>06-Servicio de inspecciones técnicas realizadas 035_Servicio prevención y control de incendios</v>
      </c>
      <c r="AE372" s="163" t="str">
        <f>CONCATENATE(U372,V372,W372,X372,AA372)</f>
        <v>O23011745032024025506035</v>
      </c>
      <c r="AF372" s="163" t="str">
        <f>IFERROR(VLOOKUP(AD372,TD!$J$66:$K$89,2,0)," ")</f>
        <v>PM/0131/0106/45030350255</v>
      </c>
      <c r="AG372" s="118" t="s">
        <v>385</v>
      </c>
      <c r="AH372" s="162" t="s">
        <v>193</v>
      </c>
      <c r="AI372" s="165" t="str">
        <f>CONCATENATE(PAA[[#This Row],[Id Interno]],"-",PAA[[#This Row],[tipo de Contrato (TH talento humano - B/S bienes y/o servicios)]],"-",S372,"-",T372,"-",PAA[[#This Row],[Objeto de la contratación]])</f>
        <v>20260355-TH-8173-1-Prestar  servicios de apoyo tecnico para realizar las inspecciones relacionadas con la emision de conceptos a cargo de la Subdirección de Gestión del Riesgo._SGR</v>
      </c>
    </row>
    <row r="373" spans="2:35" ht="56" x14ac:dyDescent="0.35">
      <c r="B373" s="23">
        <v>20260356</v>
      </c>
      <c r="C373" s="99" t="s">
        <v>543</v>
      </c>
      <c r="D373" s="23" t="s">
        <v>105</v>
      </c>
      <c r="E373" s="23" t="s">
        <v>363</v>
      </c>
      <c r="F373" s="159" t="s">
        <v>145</v>
      </c>
      <c r="G373" s="160" t="s">
        <v>373</v>
      </c>
      <c r="H373" s="161">
        <v>10</v>
      </c>
      <c r="I373" s="161">
        <v>0</v>
      </c>
      <c r="J373" s="127">
        <v>40000000</v>
      </c>
      <c r="K373" s="88" t="s">
        <v>398</v>
      </c>
      <c r="L373" s="159" t="s">
        <v>156</v>
      </c>
      <c r="M373" s="162" t="s">
        <v>502</v>
      </c>
      <c r="N373" s="23" t="s">
        <v>198</v>
      </c>
      <c r="O373" s="151" t="s">
        <v>946</v>
      </c>
      <c r="P373" s="159" t="s">
        <v>348</v>
      </c>
      <c r="Q373" s="53">
        <v>80111600</v>
      </c>
      <c r="R373" s="162" t="s">
        <v>210</v>
      </c>
      <c r="S373" s="162" t="str">
        <f>MID(PAA[[#This Row],[Meta Proyecto de Inversión]],1,4)</f>
        <v>8173</v>
      </c>
      <c r="T373" s="162" t="str">
        <f>MID(PAA[[#This Row],[Meta Proyecto de Inversión]],6,1)</f>
        <v>1</v>
      </c>
      <c r="U373" s="163" t="str">
        <f>IFERROR(VLOOKUP(N373,TD!$B$50:$F$54,2,0)," ")</f>
        <v>O230117</v>
      </c>
      <c r="V373" s="163" t="str">
        <f>IFERROR(VLOOKUP(N373,TD!$B$50:$F$54,3,0)," ")</f>
        <v>4503</v>
      </c>
      <c r="W373" s="163">
        <f>IFERROR(VLOOKUP(N373,TD!$B$50:$F$54,4,0)," ")</f>
        <v>20240255</v>
      </c>
      <c r="X373" s="162" t="s">
        <v>170</v>
      </c>
      <c r="Y373" s="163" t="str">
        <f>IFERROR(VLOOKUP(X373,TD!$J$51:$K$64,2,0)," ")</f>
        <v>Servicio de inspecciones técnicas realizadas</v>
      </c>
      <c r="Z373" s="164" t="str">
        <f>CONCATENATE(X373,"-",Y373)</f>
        <v>06-Servicio de inspecciones técnicas realizadas</v>
      </c>
      <c r="AA373" s="162" t="s">
        <v>223</v>
      </c>
      <c r="AB373" s="163" t="str">
        <f>IFERROR(VLOOKUP(AA373,TD!$N$51:$O$66,2,0)," ")</f>
        <v>Servicio prevención y control de incendios</v>
      </c>
      <c r="AC373" s="164" t="str">
        <f>CONCATENATE(AA373,"_",AB373)</f>
        <v>035_Servicio prevención y control de incendios</v>
      </c>
      <c r="AD373" s="164" t="str">
        <f>CONCATENATE(Z373," ",AC373)</f>
        <v>06-Servicio de inspecciones técnicas realizadas 035_Servicio prevención y control de incendios</v>
      </c>
      <c r="AE373" s="163" t="str">
        <f>CONCATENATE(U373,V373,W373,X373,AA373)</f>
        <v>O23011745032024025506035</v>
      </c>
      <c r="AF373" s="163" t="str">
        <f>IFERROR(VLOOKUP(AD373,TD!$J$66:$K$89,2,0)," ")</f>
        <v>PM/0131/0106/45030350255</v>
      </c>
      <c r="AG373" s="118" t="s">
        <v>385</v>
      </c>
      <c r="AH373" s="162" t="s">
        <v>193</v>
      </c>
      <c r="AI373" s="165" t="str">
        <f>CONCATENATE(PAA[[#This Row],[Id Interno]],"-",PAA[[#This Row],[tipo de Contrato (TH talento humano - B/S bienes y/o servicios)]],"-",S373,"-",T373,"-",PAA[[#This Row],[Objeto de la contratación]])</f>
        <v>20260356-TH-8173-1-Prestar  servicios de apoyo tecnico para realizar las inspecciones relacionadas con la emision de conceptos a cargo de la Subdirección de Gestión del Riesgo._SGR</v>
      </c>
    </row>
    <row r="374" spans="2:35" ht="56" x14ac:dyDescent="0.35">
      <c r="B374" s="23">
        <v>20260357</v>
      </c>
      <c r="C374" s="99" t="s">
        <v>543</v>
      </c>
      <c r="D374" s="23" t="s">
        <v>105</v>
      </c>
      <c r="E374" s="23" t="s">
        <v>363</v>
      </c>
      <c r="F374" s="159" t="s">
        <v>145</v>
      </c>
      <c r="G374" s="160" t="s">
        <v>373</v>
      </c>
      <c r="H374" s="161">
        <v>10</v>
      </c>
      <c r="I374" s="161">
        <v>0</v>
      </c>
      <c r="J374" s="127">
        <v>40000000</v>
      </c>
      <c r="K374" s="88" t="s">
        <v>398</v>
      </c>
      <c r="L374" s="159" t="s">
        <v>156</v>
      </c>
      <c r="M374" s="162" t="s">
        <v>502</v>
      </c>
      <c r="N374" s="23" t="s">
        <v>198</v>
      </c>
      <c r="O374" s="151" t="s">
        <v>946</v>
      </c>
      <c r="P374" s="159" t="s">
        <v>348</v>
      </c>
      <c r="Q374" s="53">
        <v>80111600</v>
      </c>
      <c r="R374" s="162" t="s">
        <v>210</v>
      </c>
      <c r="S374" s="162" t="str">
        <f>MID(PAA[[#This Row],[Meta Proyecto de Inversión]],1,4)</f>
        <v>8173</v>
      </c>
      <c r="T374" s="162" t="str">
        <f>MID(PAA[[#This Row],[Meta Proyecto de Inversión]],6,1)</f>
        <v>1</v>
      </c>
      <c r="U374" s="163" t="str">
        <f>IFERROR(VLOOKUP(N374,TD!$B$50:$F$54,2,0)," ")</f>
        <v>O230117</v>
      </c>
      <c r="V374" s="163" t="str">
        <f>IFERROR(VLOOKUP(N374,TD!$B$50:$F$54,3,0)," ")</f>
        <v>4503</v>
      </c>
      <c r="W374" s="163">
        <f>IFERROR(VLOOKUP(N374,TD!$B$50:$F$54,4,0)," ")</f>
        <v>20240255</v>
      </c>
      <c r="X374" s="162" t="s">
        <v>170</v>
      </c>
      <c r="Y374" s="163" t="str">
        <f>IFERROR(VLOOKUP(X374,TD!$J$51:$K$64,2,0)," ")</f>
        <v>Servicio de inspecciones técnicas realizadas</v>
      </c>
      <c r="Z374" s="164" t="str">
        <f>CONCATENATE(X374,"-",Y374)</f>
        <v>06-Servicio de inspecciones técnicas realizadas</v>
      </c>
      <c r="AA374" s="162" t="s">
        <v>223</v>
      </c>
      <c r="AB374" s="163" t="str">
        <f>IFERROR(VLOOKUP(AA374,TD!$N$51:$O$66,2,0)," ")</f>
        <v>Servicio prevención y control de incendios</v>
      </c>
      <c r="AC374" s="164" t="str">
        <f>CONCATENATE(AA374,"_",AB374)</f>
        <v>035_Servicio prevención y control de incendios</v>
      </c>
      <c r="AD374" s="164" t="str">
        <f>CONCATENATE(Z374," ",AC374)</f>
        <v>06-Servicio de inspecciones técnicas realizadas 035_Servicio prevención y control de incendios</v>
      </c>
      <c r="AE374" s="163" t="str">
        <f>CONCATENATE(U374,V374,W374,X374,AA374)</f>
        <v>O23011745032024025506035</v>
      </c>
      <c r="AF374" s="163" t="str">
        <f>IFERROR(VLOOKUP(AD374,TD!$J$66:$K$89,2,0)," ")</f>
        <v>PM/0131/0106/45030350255</v>
      </c>
      <c r="AG374" s="118" t="s">
        <v>385</v>
      </c>
      <c r="AH374" s="162" t="s">
        <v>193</v>
      </c>
      <c r="AI374" s="165" t="str">
        <f>CONCATENATE(PAA[[#This Row],[Id Interno]],"-",PAA[[#This Row],[tipo de Contrato (TH talento humano - B/S bienes y/o servicios)]],"-",S374,"-",T374,"-",PAA[[#This Row],[Objeto de la contratación]])</f>
        <v>20260357-TH-8173-1-Prestar  servicios de apoyo tecnico para realizar las inspecciones relacionadas con la emision de conceptos a cargo de la Subdirección de Gestión del Riesgo._SGR</v>
      </c>
    </row>
    <row r="375" spans="2:35" ht="56" x14ac:dyDescent="0.35">
      <c r="B375" s="23">
        <v>20260358</v>
      </c>
      <c r="C375" s="99" t="s">
        <v>543</v>
      </c>
      <c r="D375" s="23" t="s">
        <v>105</v>
      </c>
      <c r="E375" s="23" t="s">
        <v>363</v>
      </c>
      <c r="F375" s="159" t="s">
        <v>145</v>
      </c>
      <c r="G375" s="160" t="s">
        <v>373</v>
      </c>
      <c r="H375" s="161">
        <v>10</v>
      </c>
      <c r="I375" s="161">
        <v>0</v>
      </c>
      <c r="J375" s="127">
        <v>40000000</v>
      </c>
      <c r="K375" s="88" t="s">
        <v>398</v>
      </c>
      <c r="L375" s="159" t="s">
        <v>156</v>
      </c>
      <c r="M375" s="162" t="s">
        <v>502</v>
      </c>
      <c r="N375" s="23" t="s">
        <v>198</v>
      </c>
      <c r="O375" s="151" t="s">
        <v>946</v>
      </c>
      <c r="P375" s="159" t="s">
        <v>348</v>
      </c>
      <c r="Q375" s="53">
        <v>80111600</v>
      </c>
      <c r="R375" s="162" t="s">
        <v>210</v>
      </c>
      <c r="S375" s="162" t="str">
        <f>MID(PAA[[#This Row],[Meta Proyecto de Inversión]],1,4)</f>
        <v>8173</v>
      </c>
      <c r="T375" s="162" t="str">
        <f>MID(PAA[[#This Row],[Meta Proyecto de Inversión]],6,1)</f>
        <v>1</v>
      </c>
      <c r="U375" s="163" t="str">
        <f>IFERROR(VLOOKUP(N375,TD!$B$50:$F$54,2,0)," ")</f>
        <v>O230117</v>
      </c>
      <c r="V375" s="163" t="str">
        <f>IFERROR(VLOOKUP(N375,TD!$B$50:$F$54,3,0)," ")</f>
        <v>4503</v>
      </c>
      <c r="W375" s="163">
        <f>IFERROR(VLOOKUP(N375,TD!$B$50:$F$54,4,0)," ")</f>
        <v>20240255</v>
      </c>
      <c r="X375" s="162" t="s">
        <v>170</v>
      </c>
      <c r="Y375" s="163" t="str">
        <f>IFERROR(VLOOKUP(X375,TD!$J$51:$K$64,2,0)," ")</f>
        <v>Servicio de inspecciones técnicas realizadas</v>
      </c>
      <c r="Z375" s="164" t="str">
        <f>CONCATENATE(X375,"-",Y375)</f>
        <v>06-Servicio de inspecciones técnicas realizadas</v>
      </c>
      <c r="AA375" s="162" t="s">
        <v>223</v>
      </c>
      <c r="AB375" s="163" t="str">
        <f>IFERROR(VLOOKUP(AA375,TD!$N$51:$O$66,2,0)," ")</f>
        <v>Servicio prevención y control de incendios</v>
      </c>
      <c r="AC375" s="164" t="str">
        <f>CONCATENATE(AA375,"_",AB375)</f>
        <v>035_Servicio prevención y control de incendios</v>
      </c>
      <c r="AD375" s="164" t="str">
        <f>CONCATENATE(Z375," ",AC375)</f>
        <v>06-Servicio de inspecciones técnicas realizadas 035_Servicio prevención y control de incendios</v>
      </c>
      <c r="AE375" s="163" t="str">
        <f>CONCATENATE(U375,V375,W375,X375,AA375)</f>
        <v>O23011745032024025506035</v>
      </c>
      <c r="AF375" s="163" t="str">
        <f>IFERROR(VLOOKUP(AD375,TD!$J$66:$K$89,2,0)," ")</f>
        <v>PM/0131/0106/45030350255</v>
      </c>
      <c r="AG375" s="118" t="s">
        <v>385</v>
      </c>
      <c r="AH375" s="162" t="s">
        <v>193</v>
      </c>
      <c r="AI375" s="165" t="str">
        <f>CONCATENATE(PAA[[#This Row],[Id Interno]],"-",PAA[[#This Row],[tipo de Contrato (TH talento humano - B/S bienes y/o servicios)]],"-",S375,"-",T375,"-",PAA[[#This Row],[Objeto de la contratación]])</f>
        <v>20260358-TH-8173-1-Prestar  servicios de apoyo tecnico para realizar las inspecciones relacionadas con la emision de conceptos a cargo de la Subdirección de Gestión del Riesgo._SGR</v>
      </c>
    </row>
    <row r="376" spans="2:35" ht="56" x14ac:dyDescent="0.35">
      <c r="B376" s="23">
        <v>20260359</v>
      </c>
      <c r="C376" s="99" t="s">
        <v>543</v>
      </c>
      <c r="D376" s="23" t="s">
        <v>105</v>
      </c>
      <c r="E376" s="23" t="s">
        <v>363</v>
      </c>
      <c r="F376" s="159" t="s">
        <v>145</v>
      </c>
      <c r="G376" s="160" t="s">
        <v>373</v>
      </c>
      <c r="H376" s="161">
        <v>10</v>
      </c>
      <c r="I376" s="161">
        <v>0</v>
      </c>
      <c r="J376" s="127">
        <v>40000000</v>
      </c>
      <c r="K376" s="88" t="s">
        <v>398</v>
      </c>
      <c r="L376" s="159" t="s">
        <v>156</v>
      </c>
      <c r="M376" s="162" t="s">
        <v>502</v>
      </c>
      <c r="N376" s="23" t="s">
        <v>198</v>
      </c>
      <c r="O376" s="151" t="s">
        <v>946</v>
      </c>
      <c r="P376" s="159" t="s">
        <v>348</v>
      </c>
      <c r="Q376" s="53">
        <v>80111600</v>
      </c>
      <c r="R376" s="162" t="s">
        <v>210</v>
      </c>
      <c r="S376" s="162" t="str">
        <f>MID(PAA[[#This Row],[Meta Proyecto de Inversión]],1,4)</f>
        <v>8173</v>
      </c>
      <c r="T376" s="162" t="str">
        <f>MID(PAA[[#This Row],[Meta Proyecto de Inversión]],6,1)</f>
        <v>1</v>
      </c>
      <c r="U376" s="163" t="str">
        <f>IFERROR(VLOOKUP(N376,TD!$B$50:$F$54,2,0)," ")</f>
        <v>O230117</v>
      </c>
      <c r="V376" s="163" t="str">
        <f>IFERROR(VLOOKUP(N376,TD!$B$50:$F$54,3,0)," ")</f>
        <v>4503</v>
      </c>
      <c r="W376" s="163">
        <f>IFERROR(VLOOKUP(N376,TD!$B$50:$F$54,4,0)," ")</f>
        <v>20240255</v>
      </c>
      <c r="X376" s="162" t="s">
        <v>170</v>
      </c>
      <c r="Y376" s="163" t="str">
        <f>IFERROR(VLOOKUP(X376,TD!$J$51:$K$64,2,0)," ")</f>
        <v>Servicio de inspecciones técnicas realizadas</v>
      </c>
      <c r="Z376" s="164" t="str">
        <f>CONCATENATE(X376,"-",Y376)</f>
        <v>06-Servicio de inspecciones técnicas realizadas</v>
      </c>
      <c r="AA376" s="162" t="s">
        <v>223</v>
      </c>
      <c r="AB376" s="163" t="str">
        <f>IFERROR(VLOOKUP(AA376,TD!$N$51:$O$66,2,0)," ")</f>
        <v>Servicio prevención y control de incendios</v>
      </c>
      <c r="AC376" s="164" t="str">
        <f>CONCATENATE(AA376,"_",AB376)</f>
        <v>035_Servicio prevención y control de incendios</v>
      </c>
      <c r="AD376" s="164" t="str">
        <f>CONCATENATE(Z376," ",AC376)</f>
        <v>06-Servicio de inspecciones técnicas realizadas 035_Servicio prevención y control de incendios</v>
      </c>
      <c r="AE376" s="163" t="str">
        <f>CONCATENATE(U376,V376,W376,X376,AA376)</f>
        <v>O23011745032024025506035</v>
      </c>
      <c r="AF376" s="163" t="str">
        <f>IFERROR(VLOOKUP(AD376,TD!$J$66:$K$89,2,0)," ")</f>
        <v>PM/0131/0106/45030350255</v>
      </c>
      <c r="AG376" s="118" t="s">
        <v>385</v>
      </c>
      <c r="AH376" s="162" t="s">
        <v>193</v>
      </c>
      <c r="AI376" s="165" t="str">
        <f>CONCATENATE(PAA[[#This Row],[Id Interno]],"-",PAA[[#This Row],[tipo de Contrato (TH talento humano - B/S bienes y/o servicios)]],"-",S376,"-",T376,"-",PAA[[#This Row],[Objeto de la contratación]])</f>
        <v>20260359-TH-8173-1-Prestar  servicios de apoyo tecnico para realizar las inspecciones relacionadas con la emision de conceptos a cargo de la Subdirección de Gestión del Riesgo._SGR</v>
      </c>
    </row>
    <row r="377" spans="2:35" ht="56" x14ac:dyDescent="0.35">
      <c r="B377" s="23">
        <v>20260360</v>
      </c>
      <c r="C377" s="99" t="s">
        <v>543</v>
      </c>
      <c r="D377" s="23" t="s">
        <v>105</v>
      </c>
      <c r="E377" s="23" t="s">
        <v>363</v>
      </c>
      <c r="F377" s="159" t="s">
        <v>145</v>
      </c>
      <c r="G377" s="160" t="s">
        <v>373</v>
      </c>
      <c r="H377" s="161">
        <v>10</v>
      </c>
      <c r="I377" s="161">
        <v>0</v>
      </c>
      <c r="J377" s="127">
        <v>40000000</v>
      </c>
      <c r="K377" s="88" t="s">
        <v>398</v>
      </c>
      <c r="L377" s="159" t="s">
        <v>156</v>
      </c>
      <c r="M377" s="162" t="s">
        <v>502</v>
      </c>
      <c r="N377" s="23" t="s">
        <v>198</v>
      </c>
      <c r="O377" s="151" t="s">
        <v>946</v>
      </c>
      <c r="P377" s="159" t="s">
        <v>348</v>
      </c>
      <c r="Q377" s="53">
        <v>80111600</v>
      </c>
      <c r="R377" s="162" t="s">
        <v>210</v>
      </c>
      <c r="S377" s="162" t="str">
        <f>MID(PAA[[#This Row],[Meta Proyecto de Inversión]],1,4)</f>
        <v>8173</v>
      </c>
      <c r="T377" s="162" t="str">
        <f>MID(PAA[[#This Row],[Meta Proyecto de Inversión]],6,1)</f>
        <v>1</v>
      </c>
      <c r="U377" s="163" t="str">
        <f>IFERROR(VLOOKUP(N377,TD!$B$50:$F$54,2,0)," ")</f>
        <v>O230117</v>
      </c>
      <c r="V377" s="163" t="str">
        <f>IFERROR(VLOOKUP(N377,TD!$B$50:$F$54,3,0)," ")</f>
        <v>4503</v>
      </c>
      <c r="W377" s="163">
        <f>IFERROR(VLOOKUP(N377,TD!$B$50:$F$54,4,0)," ")</f>
        <v>20240255</v>
      </c>
      <c r="X377" s="162" t="s">
        <v>170</v>
      </c>
      <c r="Y377" s="163" t="str">
        <f>IFERROR(VLOOKUP(X377,TD!$J$51:$K$64,2,0)," ")</f>
        <v>Servicio de inspecciones técnicas realizadas</v>
      </c>
      <c r="Z377" s="164" t="str">
        <f>CONCATENATE(X377,"-",Y377)</f>
        <v>06-Servicio de inspecciones técnicas realizadas</v>
      </c>
      <c r="AA377" s="162" t="s">
        <v>223</v>
      </c>
      <c r="AB377" s="163" t="str">
        <f>IFERROR(VLOOKUP(AA377,TD!$N$51:$O$66,2,0)," ")</f>
        <v>Servicio prevención y control de incendios</v>
      </c>
      <c r="AC377" s="164" t="str">
        <f>CONCATENATE(AA377,"_",AB377)</f>
        <v>035_Servicio prevención y control de incendios</v>
      </c>
      <c r="AD377" s="164" t="str">
        <f>CONCATENATE(Z377," ",AC377)</f>
        <v>06-Servicio de inspecciones técnicas realizadas 035_Servicio prevención y control de incendios</v>
      </c>
      <c r="AE377" s="163" t="str">
        <f>CONCATENATE(U377,V377,W377,X377,AA377)</f>
        <v>O23011745032024025506035</v>
      </c>
      <c r="AF377" s="163" t="str">
        <f>IFERROR(VLOOKUP(AD377,TD!$J$66:$K$89,2,0)," ")</f>
        <v>PM/0131/0106/45030350255</v>
      </c>
      <c r="AG377" s="118" t="s">
        <v>385</v>
      </c>
      <c r="AH377" s="162" t="s">
        <v>193</v>
      </c>
      <c r="AI377" s="165" t="str">
        <f>CONCATENATE(PAA[[#This Row],[Id Interno]],"-",PAA[[#This Row],[tipo de Contrato (TH talento humano - B/S bienes y/o servicios)]],"-",S377,"-",T377,"-",PAA[[#This Row],[Objeto de la contratación]])</f>
        <v>20260360-TH-8173-1-Prestar  servicios de apoyo tecnico para realizar las inspecciones relacionadas con la emision de conceptos a cargo de la Subdirección de Gestión del Riesgo._SGR</v>
      </c>
    </row>
    <row r="378" spans="2:35" ht="56" x14ac:dyDescent="0.35">
      <c r="B378" s="23">
        <v>20260361</v>
      </c>
      <c r="C378" s="99" t="s">
        <v>543</v>
      </c>
      <c r="D378" s="23" t="s">
        <v>105</v>
      </c>
      <c r="E378" s="23" t="s">
        <v>363</v>
      </c>
      <c r="F378" s="159" t="s">
        <v>145</v>
      </c>
      <c r="G378" s="160" t="s">
        <v>373</v>
      </c>
      <c r="H378" s="161">
        <v>10</v>
      </c>
      <c r="I378" s="161">
        <v>0</v>
      </c>
      <c r="J378" s="127">
        <v>40000000</v>
      </c>
      <c r="K378" s="88" t="s">
        <v>398</v>
      </c>
      <c r="L378" s="159" t="s">
        <v>156</v>
      </c>
      <c r="M378" s="162" t="s">
        <v>502</v>
      </c>
      <c r="N378" s="23" t="s">
        <v>198</v>
      </c>
      <c r="O378" s="151" t="s">
        <v>946</v>
      </c>
      <c r="P378" s="159" t="s">
        <v>348</v>
      </c>
      <c r="Q378" s="53">
        <v>80111600</v>
      </c>
      <c r="R378" s="162" t="s">
        <v>210</v>
      </c>
      <c r="S378" s="162" t="str">
        <f>MID(PAA[[#This Row],[Meta Proyecto de Inversión]],1,4)</f>
        <v>8173</v>
      </c>
      <c r="T378" s="162" t="str">
        <f>MID(PAA[[#This Row],[Meta Proyecto de Inversión]],6,1)</f>
        <v>1</v>
      </c>
      <c r="U378" s="163" t="str">
        <f>IFERROR(VLOOKUP(N378,TD!$B$50:$F$54,2,0)," ")</f>
        <v>O230117</v>
      </c>
      <c r="V378" s="163" t="str">
        <f>IFERROR(VLOOKUP(N378,TD!$B$50:$F$54,3,0)," ")</f>
        <v>4503</v>
      </c>
      <c r="W378" s="163">
        <f>IFERROR(VLOOKUP(N378,TD!$B$50:$F$54,4,0)," ")</f>
        <v>20240255</v>
      </c>
      <c r="X378" s="162" t="s">
        <v>170</v>
      </c>
      <c r="Y378" s="163" t="str">
        <f>IFERROR(VLOOKUP(X378,TD!$J$51:$K$64,2,0)," ")</f>
        <v>Servicio de inspecciones técnicas realizadas</v>
      </c>
      <c r="Z378" s="164" t="str">
        <f>CONCATENATE(X378,"-",Y378)</f>
        <v>06-Servicio de inspecciones técnicas realizadas</v>
      </c>
      <c r="AA378" s="162" t="s">
        <v>223</v>
      </c>
      <c r="AB378" s="163" t="str">
        <f>IFERROR(VLOOKUP(AA378,TD!$N$51:$O$66,2,0)," ")</f>
        <v>Servicio prevención y control de incendios</v>
      </c>
      <c r="AC378" s="164" t="str">
        <f>CONCATENATE(AA378,"_",AB378)</f>
        <v>035_Servicio prevención y control de incendios</v>
      </c>
      <c r="AD378" s="164" t="str">
        <f>CONCATENATE(Z378," ",AC378)</f>
        <v>06-Servicio de inspecciones técnicas realizadas 035_Servicio prevención y control de incendios</v>
      </c>
      <c r="AE378" s="163" t="str">
        <f>CONCATENATE(U378,V378,W378,X378,AA378)</f>
        <v>O23011745032024025506035</v>
      </c>
      <c r="AF378" s="163" t="str">
        <f>IFERROR(VLOOKUP(AD378,TD!$J$66:$K$89,2,0)," ")</f>
        <v>PM/0131/0106/45030350255</v>
      </c>
      <c r="AG378" s="118" t="s">
        <v>385</v>
      </c>
      <c r="AH378" s="162" t="s">
        <v>193</v>
      </c>
      <c r="AI378" s="165" t="str">
        <f>CONCATENATE(PAA[[#This Row],[Id Interno]],"-",PAA[[#This Row],[tipo de Contrato (TH talento humano - B/S bienes y/o servicios)]],"-",S378,"-",T378,"-",PAA[[#This Row],[Objeto de la contratación]])</f>
        <v>20260361-TH-8173-1-Prestar  servicios de apoyo tecnico para realizar las inspecciones relacionadas con la emision de conceptos a cargo de la Subdirección de Gestión del Riesgo._SGR</v>
      </c>
    </row>
    <row r="379" spans="2:35" ht="56" x14ac:dyDescent="0.35">
      <c r="B379" s="23">
        <v>20260362</v>
      </c>
      <c r="C379" s="99" t="s">
        <v>543</v>
      </c>
      <c r="D379" s="23" t="s">
        <v>105</v>
      </c>
      <c r="E379" s="23" t="s">
        <v>363</v>
      </c>
      <c r="F379" s="159" t="s">
        <v>145</v>
      </c>
      <c r="G379" s="160" t="s">
        <v>373</v>
      </c>
      <c r="H379" s="161">
        <v>10</v>
      </c>
      <c r="I379" s="161">
        <v>0</v>
      </c>
      <c r="J379" s="127">
        <v>40000000</v>
      </c>
      <c r="K379" s="88" t="s">
        <v>398</v>
      </c>
      <c r="L379" s="159" t="s">
        <v>156</v>
      </c>
      <c r="M379" s="162" t="s">
        <v>502</v>
      </c>
      <c r="N379" s="23" t="s">
        <v>198</v>
      </c>
      <c r="O379" s="151" t="s">
        <v>946</v>
      </c>
      <c r="P379" s="159" t="s">
        <v>348</v>
      </c>
      <c r="Q379" s="53">
        <v>80111600</v>
      </c>
      <c r="R379" s="162" t="s">
        <v>210</v>
      </c>
      <c r="S379" s="162" t="str">
        <f>MID(PAA[[#This Row],[Meta Proyecto de Inversión]],1,4)</f>
        <v>8173</v>
      </c>
      <c r="T379" s="162" t="str">
        <f>MID(PAA[[#This Row],[Meta Proyecto de Inversión]],6,1)</f>
        <v>1</v>
      </c>
      <c r="U379" s="163" t="str">
        <f>IFERROR(VLOOKUP(N379,TD!$B$50:$F$54,2,0)," ")</f>
        <v>O230117</v>
      </c>
      <c r="V379" s="163" t="str">
        <f>IFERROR(VLOOKUP(N379,TD!$B$50:$F$54,3,0)," ")</f>
        <v>4503</v>
      </c>
      <c r="W379" s="163">
        <f>IFERROR(VLOOKUP(N379,TD!$B$50:$F$54,4,0)," ")</f>
        <v>20240255</v>
      </c>
      <c r="X379" s="162" t="s">
        <v>170</v>
      </c>
      <c r="Y379" s="163" t="str">
        <f>IFERROR(VLOOKUP(X379,TD!$J$51:$K$64,2,0)," ")</f>
        <v>Servicio de inspecciones técnicas realizadas</v>
      </c>
      <c r="Z379" s="164" t="str">
        <f>CONCATENATE(X379,"-",Y379)</f>
        <v>06-Servicio de inspecciones técnicas realizadas</v>
      </c>
      <c r="AA379" s="162" t="s">
        <v>223</v>
      </c>
      <c r="AB379" s="163" t="str">
        <f>IFERROR(VLOOKUP(AA379,TD!$N$51:$O$66,2,0)," ")</f>
        <v>Servicio prevención y control de incendios</v>
      </c>
      <c r="AC379" s="164" t="str">
        <f>CONCATENATE(AA379,"_",AB379)</f>
        <v>035_Servicio prevención y control de incendios</v>
      </c>
      <c r="AD379" s="164" t="str">
        <f>CONCATENATE(Z379," ",AC379)</f>
        <v>06-Servicio de inspecciones técnicas realizadas 035_Servicio prevención y control de incendios</v>
      </c>
      <c r="AE379" s="163" t="str">
        <f>CONCATENATE(U379,V379,W379,X379,AA379)</f>
        <v>O23011745032024025506035</v>
      </c>
      <c r="AF379" s="163" t="str">
        <f>IFERROR(VLOOKUP(AD379,TD!$J$66:$K$89,2,0)," ")</f>
        <v>PM/0131/0106/45030350255</v>
      </c>
      <c r="AG379" s="118" t="s">
        <v>385</v>
      </c>
      <c r="AH379" s="162" t="s">
        <v>193</v>
      </c>
      <c r="AI379" s="165" t="str">
        <f>CONCATENATE(PAA[[#This Row],[Id Interno]],"-",PAA[[#This Row],[tipo de Contrato (TH talento humano - B/S bienes y/o servicios)]],"-",S379,"-",T379,"-",PAA[[#This Row],[Objeto de la contratación]])</f>
        <v>20260362-TH-8173-1-Prestar  servicios de apoyo tecnico para realizar las inspecciones relacionadas con la emision de conceptos a cargo de la Subdirección de Gestión del Riesgo._SGR</v>
      </c>
    </row>
    <row r="380" spans="2:35" ht="56" x14ac:dyDescent="0.35">
      <c r="B380" s="23">
        <v>20260363</v>
      </c>
      <c r="C380" s="99" t="s">
        <v>543</v>
      </c>
      <c r="D380" s="23" t="s">
        <v>105</v>
      </c>
      <c r="E380" s="23" t="s">
        <v>363</v>
      </c>
      <c r="F380" s="159" t="s">
        <v>145</v>
      </c>
      <c r="G380" s="160" t="s">
        <v>373</v>
      </c>
      <c r="H380" s="161">
        <v>10</v>
      </c>
      <c r="I380" s="161">
        <v>0</v>
      </c>
      <c r="J380" s="127">
        <v>40000000</v>
      </c>
      <c r="K380" s="88" t="s">
        <v>398</v>
      </c>
      <c r="L380" s="159" t="s">
        <v>156</v>
      </c>
      <c r="M380" s="162" t="s">
        <v>502</v>
      </c>
      <c r="N380" s="23" t="s">
        <v>198</v>
      </c>
      <c r="O380" s="151" t="s">
        <v>946</v>
      </c>
      <c r="P380" s="159" t="s">
        <v>348</v>
      </c>
      <c r="Q380" s="53">
        <v>80111600</v>
      </c>
      <c r="R380" s="162" t="s">
        <v>210</v>
      </c>
      <c r="S380" s="162" t="str">
        <f>MID(PAA[[#This Row],[Meta Proyecto de Inversión]],1,4)</f>
        <v>8173</v>
      </c>
      <c r="T380" s="162" t="str">
        <f>MID(PAA[[#This Row],[Meta Proyecto de Inversión]],6,1)</f>
        <v>1</v>
      </c>
      <c r="U380" s="163" t="str">
        <f>IFERROR(VLOOKUP(N380,TD!$B$50:$F$54,2,0)," ")</f>
        <v>O230117</v>
      </c>
      <c r="V380" s="163" t="str">
        <f>IFERROR(VLOOKUP(N380,TD!$B$50:$F$54,3,0)," ")</f>
        <v>4503</v>
      </c>
      <c r="W380" s="163">
        <f>IFERROR(VLOOKUP(N380,TD!$B$50:$F$54,4,0)," ")</f>
        <v>20240255</v>
      </c>
      <c r="X380" s="162" t="s">
        <v>170</v>
      </c>
      <c r="Y380" s="163" t="str">
        <f>IFERROR(VLOOKUP(X380,TD!$J$51:$K$64,2,0)," ")</f>
        <v>Servicio de inspecciones técnicas realizadas</v>
      </c>
      <c r="Z380" s="164" t="str">
        <f>CONCATENATE(X380,"-",Y380)</f>
        <v>06-Servicio de inspecciones técnicas realizadas</v>
      </c>
      <c r="AA380" s="162" t="s">
        <v>223</v>
      </c>
      <c r="AB380" s="163" t="str">
        <f>IFERROR(VLOOKUP(AA380,TD!$N$51:$O$66,2,0)," ")</f>
        <v>Servicio prevención y control de incendios</v>
      </c>
      <c r="AC380" s="164" t="str">
        <f>CONCATENATE(AA380,"_",AB380)</f>
        <v>035_Servicio prevención y control de incendios</v>
      </c>
      <c r="AD380" s="164" t="str">
        <f>CONCATENATE(Z380," ",AC380)</f>
        <v>06-Servicio de inspecciones técnicas realizadas 035_Servicio prevención y control de incendios</v>
      </c>
      <c r="AE380" s="163" t="str">
        <f>CONCATENATE(U380,V380,W380,X380,AA380)</f>
        <v>O23011745032024025506035</v>
      </c>
      <c r="AF380" s="163" t="str">
        <f>IFERROR(VLOOKUP(AD380,TD!$J$66:$K$89,2,0)," ")</f>
        <v>PM/0131/0106/45030350255</v>
      </c>
      <c r="AG380" s="118" t="s">
        <v>385</v>
      </c>
      <c r="AH380" s="162" t="s">
        <v>193</v>
      </c>
      <c r="AI380" s="165" t="str">
        <f>CONCATENATE(PAA[[#This Row],[Id Interno]],"-",PAA[[#This Row],[tipo de Contrato (TH talento humano - B/S bienes y/o servicios)]],"-",S380,"-",T380,"-",PAA[[#This Row],[Objeto de la contratación]])</f>
        <v>20260363-TH-8173-1-Prestar  servicios de apoyo tecnico para realizar las inspecciones relacionadas con la emision de conceptos a cargo de la Subdirección de Gestión del Riesgo._SGR</v>
      </c>
    </row>
    <row r="381" spans="2:35" ht="56" x14ac:dyDescent="0.35">
      <c r="B381" s="23">
        <v>20260364</v>
      </c>
      <c r="C381" s="99" t="s">
        <v>543</v>
      </c>
      <c r="D381" s="23" t="s">
        <v>105</v>
      </c>
      <c r="E381" s="23" t="s">
        <v>363</v>
      </c>
      <c r="F381" s="159" t="s">
        <v>145</v>
      </c>
      <c r="G381" s="160" t="s">
        <v>373</v>
      </c>
      <c r="H381" s="161">
        <v>10</v>
      </c>
      <c r="I381" s="161">
        <v>0</v>
      </c>
      <c r="J381" s="127">
        <v>40000000</v>
      </c>
      <c r="K381" s="88" t="s">
        <v>398</v>
      </c>
      <c r="L381" s="159" t="s">
        <v>156</v>
      </c>
      <c r="M381" s="162" t="s">
        <v>502</v>
      </c>
      <c r="N381" s="23" t="s">
        <v>198</v>
      </c>
      <c r="O381" s="151" t="s">
        <v>946</v>
      </c>
      <c r="P381" s="159" t="s">
        <v>348</v>
      </c>
      <c r="Q381" s="53">
        <v>80111600</v>
      </c>
      <c r="R381" s="162" t="s">
        <v>210</v>
      </c>
      <c r="S381" s="162" t="str">
        <f>MID(PAA[[#This Row],[Meta Proyecto de Inversión]],1,4)</f>
        <v>8173</v>
      </c>
      <c r="T381" s="162" t="str">
        <f>MID(PAA[[#This Row],[Meta Proyecto de Inversión]],6,1)</f>
        <v>1</v>
      </c>
      <c r="U381" s="163" t="str">
        <f>IFERROR(VLOOKUP(N381,TD!$B$50:$F$54,2,0)," ")</f>
        <v>O230117</v>
      </c>
      <c r="V381" s="163" t="str">
        <f>IFERROR(VLOOKUP(N381,TD!$B$50:$F$54,3,0)," ")</f>
        <v>4503</v>
      </c>
      <c r="W381" s="163">
        <f>IFERROR(VLOOKUP(N381,TD!$B$50:$F$54,4,0)," ")</f>
        <v>20240255</v>
      </c>
      <c r="X381" s="162" t="s">
        <v>170</v>
      </c>
      <c r="Y381" s="163" t="str">
        <f>IFERROR(VLOOKUP(X381,TD!$J$51:$K$64,2,0)," ")</f>
        <v>Servicio de inspecciones técnicas realizadas</v>
      </c>
      <c r="Z381" s="164" t="str">
        <f>CONCATENATE(X381,"-",Y381)</f>
        <v>06-Servicio de inspecciones técnicas realizadas</v>
      </c>
      <c r="AA381" s="162" t="s">
        <v>223</v>
      </c>
      <c r="AB381" s="163" t="str">
        <f>IFERROR(VLOOKUP(AA381,TD!$N$51:$O$66,2,0)," ")</f>
        <v>Servicio prevención y control de incendios</v>
      </c>
      <c r="AC381" s="164" t="str">
        <f>CONCATENATE(AA381,"_",AB381)</f>
        <v>035_Servicio prevención y control de incendios</v>
      </c>
      <c r="AD381" s="164" t="str">
        <f>CONCATENATE(Z381," ",AC381)</f>
        <v>06-Servicio de inspecciones técnicas realizadas 035_Servicio prevención y control de incendios</v>
      </c>
      <c r="AE381" s="163" t="str">
        <f>CONCATENATE(U381,V381,W381,X381,AA381)</f>
        <v>O23011745032024025506035</v>
      </c>
      <c r="AF381" s="163" t="str">
        <f>IFERROR(VLOOKUP(AD381,TD!$J$66:$K$89,2,0)," ")</f>
        <v>PM/0131/0106/45030350255</v>
      </c>
      <c r="AG381" s="118" t="s">
        <v>385</v>
      </c>
      <c r="AH381" s="162" t="s">
        <v>193</v>
      </c>
      <c r="AI381" s="165" t="str">
        <f>CONCATENATE(PAA[[#This Row],[Id Interno]],"-",PAA[[#This Row],[tipo de Contrato (TH talento humano - B/S bienes y/o servicios)]],"-",S381,"-",T381,"-",PAA[[#This Row],[Objeto de la contratación]])</f>
        <v>20260364-TH-8173-1-Prestar  servicios de apoyo tecnico para realizar las inspecciones relacionadas con la emision de conceptos a cargo de la Subdirección de Gestión del Riesgo._SGR</v>
      </c>
    </row>
    <row r="382" spans="2:35" ht="56" x14ac:dyDescent="0.35">
      <c r="B382" s="23">
        <v>20260365</v>
      </c>
      <c r="C382" s="99" t="s">
        <v>538</v>
      </c>
      <c r="D382" s="23" t="s">
        <v>105</v>
      </c>
      <c r="E382" s="23" t="s">
        <v>363</v>
      </c>
      <c r="F382" s="159" t="s">
        <v>144</v>
      </c>
      <c r="G382" s="160" t="s">
        <v>373</v>
      </c>
      <c r="H382" s="161">
        <v>7</v>
      </c>
      <c r="I382" s="161">
        <v>0</v>
      </c>
      <c r="J382" s="127">
        <v>49000000</v>
      </c>
      <c r="K382" s="88" t="s">
        <v>398</v>
      </c>
      <c r="L382" s="159" t="s">
        <v>156</v>
      </c>
      <c r="M382" s="162" t="s">
        <v>502</v>
      </c>
      <c r="N382" s="23" t="s">
        <v>198</v>
      </c>
      <c r="O382" s="151" t="s">
        <v>946</v>
      </c>
      <c r="P382" s="159" t="s">
        <v>348</v>
      </c>
      <c r="Q382" s="53">
        <v>80111600</v>
      </c>
      <c r="R382" s="162" t="s">
        <v>210</v>
      </c>
      <c r="S382" s="162" t="str">
        <f>MID(PAA[[#This Row],[Meta Proyecto de Inversión]],1,4)</f>
        <v>8173</v>
      </c>
      <c r="T382" s="162" t="str">
        <f>MID(PAA[[#This Row],[Meta Proyecto de Inversión]],6,1)</f>
        <v>1</v>
      </c>
      <c r="U382" s="163" t="str">
        <f>IFERROR(VLOOKUP(N382,TD!$B$50:$F$54,2,0)," ")</f>
        <v>O230117</v>
      </c>
      <c r="V382" s="163" t="str">
        <f>IFERROR(VLOOKUP(N382,TD!$B$50:$F$54,3,0)," ")</f>
        <v>4503</v>
      </c>
      <c r="W382" s="163">
        <f>IFERROR(VLOOKUP(N382,TD!$B$50:$F$54,4,0)," ")</f>
        <v>20240255</v>
      </c>
      <c r="X382" s="162" t="s">
        <v>166</v>
      </c>
      <c r="Y382" s="163" t="str">
        <f>IFERROR(VLOOKUP(X382,TD!$J$51:$K$64,2,0)," ")</f>
        <v>Servicio de capacitaciones en gestión del riesgo de incendios  a la ciudadania.</v>
      </c>
      <c r="Z382" s="164" t="str">
        <f>CONCATENATE(X382,"-",Y382)</f>
        <v>05-Servicio de capacitaciones en gestión del riesgo de incendios  a la ciudadania.</v>
      </c>
      <c r="AA382" s="162" t="s">
        <v>223</v>
      </c>
      <c r="AB382" s="163" t="str">
        <f>IFERROR(VLOOKUP(AA382,TD!$N$51:$O$66,2,0)," ")</f>
        <v>Servicio prevención y control de incendios</v>
      </c>
      <c r="AC382" s="164" t="str">
        <f>CONCATENATE(AA382,"_",AB382)</f>
        <v>035_Servicio prevención y control de incendios</v>
      </c>
      <c r="AD382" s="164" t="str">
        <f>CONCATENATE(Z382," ",AC382)</f>
        <v>05-Servicio de capacitaciones en gestión del riesgo de incendios  a la ciudadania. 035_Servicio prevención y control de incendios</v>
      </c>
      <c r="AE382" s="163" t="str">
        <f>CONCATENATE(U382,V382,W382,X382,AA382)</f>
        <v>O23011745032024025505035</v>
      </c>
      <c r="AF382" s="163" t="str">
        <f>IFERROR(VLOOKUP(AD382,TD!$J$66:$K$89,2,0)," ")</f>
        <v>PM/0131/0105/45030350255</v>
      </c>
      <c r="AG382" s="118" t="s">
        <v>385</v>
      </c>
      <c r="AH382" s="162" t="s">
        <v>193</v>
      </c>
      <c r="AI382" s="165" t="str">
        <f>CONCATENATE(PAA[[#This Row],[Id Interno]],"-",PAA[[#This Row],[tipo de Contrato (TH talento humano - B/S bienes y/o servicios)]],"-",S382,"-",T382,"-",PAA[[#This Row],[Objeto de la contratación]])</f>
        <v>20260365-TH-8173-1-Prestar servicios profesionales para la gestión misional  mediante la estructuración y seguimiento de procesos contractuales y asuntos jurídicos de la Subdirección de Gestión del Riesgo_SGR</v>
      </c>
    </row>
    <row r="383" spans="2:35" ht="56" x14ac:dyDescent="0.35">
      <c r="B383" s="23">
        <v>20260366</v>
      </c>
      <c r="C383" s="99" t="s">
        <v>554</v>
      </c>
      <c r="D383" s="23" t="s">
        <v>105</v>
      </c>
      <c r="E383" s="23" t="s">
        <v>363</v>
      </c>
      <c r="F383" s="159" t="s">
        <v>144</v>
      </c>
      <c r="G383" s="160" t="s">
        <v>373</v>
      </c>
      <c r="H383" s="161">
        <v>10</v>
      </c>
      <c r="I383" s="161">
        <v>0</v>
      </c>
      <c r="J383" s="127">
        <v>55000000</v>
      </c>
      <c r="K383" s="88" t="s">
        <v>398</v>
      </c>
      <c r="L383" s="159" t="s">
        <v>156</v>
      </c>
      <c r="M383" s="162" t="s">
        <v>502</v>
      </c>
      <c r="N383" s="23" t="s">
        <v>198</v>
      </c>
      <c r="O383" s="151" t="s">
        <v>946</v>
      </c>
      <c r="P383" s="159" t="s">
        <v>348</v>
      </c>
      <c r="Q383" s="53">
        <v>80111600</v>
      </c>
      <c r="R383" s="162" t="s">
        <v>215</v>
      </c>
      <c r="S383" s="162" t="str">
        <f>MID(PAA[[#This Row],[Meta Proyecto de Inversión]],1,4)</f>
        <v>8173</v>
      </c>
      <c r="T383" s="162" t="str">
        <f>MID(PAA[[#This Row],[Meta Proyecto de Inversión]],6,1)</f>
        <v>6</v>
      </c>
      <c r="U383" s="163" t="str">
        <f>IFERROR(VLOOKUP(N383,TD!$B$50:$F$54,2,0)," ")</f>
        <v>O230117</v>
      </c>
      <c r="V383" s="163" t="str">
        <f>IFERROR(VLOOKUP(N383,TD!$B$50:$F$54,3,0)," ")</f>
        <v>4503</v>
      </c>
      <c r="W383" s="163">
        <f>IFERROR(VLOOKUP(N383,TD!$B$50:$F$54,4,0)," ")</f>
        <v>20240255</v>
      </c>
      <c r="X383" s="162">
        <v>16</v>
      </c>
      <c r="Y383" s="163" t="str">
        <f>IFERROR(VLOOKUP(X383,TD!$J$51:$K$64,2,0)," ")</f>
        <v>Servicio de monitoreo y seguimiento para la gestión del riesgo</v>
      </c>
      <c r="Z383" s="164" t="str">
        <f>CONCATENATE(X383,"-",Y383)</f>
        <v>16-Servicio de monitoreo y seguimiento para la gestión del riesgo</v>
      </c>
      <c r="AA383" s="162" t="s">
        <v>224</v>
      </c>
      <c r="AB383" s="163" t="str">
        <f>IFERROR(VLOOKUP(AA383,TD!$N$51:$O$66,2,0)," ")</f>
        <v>Servicio de monitoreo y seguimiento para la gestión del riesgo</v>
      </c>
      <c r="AC383" s="164" t="str">
        <f>CONCATENATE(AA383,"_",AB383)</f>
        <v>018_Servicio de monitoreo y seguimiento para la gestión del riesgo</v>
      </c>
      <c r="AD383" s="164" t="str">
        <f>CONCATENATE(Z383," ",AC383)</f>
        <v>16-Servicio de monitoreo y seguimiento para la gestión del riesgo 018_Servicio de monitoreo y seguimiento para la gestión del riesgo</v>
      </c>
      <c r="AE383" s="163" t="str">
        <f>CONCATENATE(U383,V383,W383,X383,AA383)</f>
        <v>O23011745032024025516018</v>
      </c>
      <c r="AF383" s="163" t="str">
        <f>IFERROR(VLOOKUP(AD383,TD!$J$66:$K$89,2,0)," ")</f>
        <v>PM/0131/0116/45030180255</v>
      </c>
      <c r="AG383" s="118" t="s">
        <v>385</v>
      </c>
      <c r="AH383" s="162" t="s">
        <v>193</v>
      </c>
      <c r="AI383" s="165" t="str">
        <f>CONCATENATE(PAA[[#This Row],[Id Interno]],"-",PAA[[#This Row],[tipo de Contrato (TH talento humano - B/S bienes y/o servicios)]],"-",S383,"-",T383,"-",PAA[[#This Row],[Objeto de la contratación]])</f>
        <v>20260366-TH-8173-6-Prestar servicios profesionales en las actividades de monitoreo del riesgo para la Subdirección de Gestión del Riesgo._SGR</v>
      </c>
    </row>
    <row r="384" spans="2:35" ht="56" x14ac:dyDescent="0.35">
      <c r="B384" s="23">
        <v>20260367</v>
      </c>
      <c r="C384" s="99" t="s">
        <v>545</v>
      </c>
      <c r="D384" s="23" t="s">
        <v>105</v>
      </c>
      <c r="E384" s="23" t="s">
        <v>363</v>
      </c>
      <c r="F384" s="159" t="s">
        <v>144</v>
      </c>
      <c r="G384" s="160" t="s">
        <v>373</v>
      </c>
      <c r="H384" s="161">
        <v>10</v>
      </c>
      <c r="I384" s="161">
        <v>0</v>
      </c>
      <c r="J384" s="127">
        <v>80000000</v>
      </c>
      <c r="K384" s="88" t="s">
        <v>398</v>
      </c>
      <c r="L384" s="159" t="s">
        <v>156</v>
      </c>
      <c r="M384" s="162" t="s">
        <v>502</v>
      </c>
      <c r="N384" s="23" t="s">
        <v>198</v>
      </c>
      <c r="O384" s="151" t="s">
        <v>946</v>
      </c>
      <c r="P384" s="159" t="s">
        <v>348</v>
      </c>
      <c r="Q384" s="53">
        <v>80111600</v>
      </c>
      <c r="R384" s="162" t="s">
        <v>210</v>
      </c>
      <c r="S384" s="162" t="str">
        <f>MID(PAA[[#This Row],[Meta Proyecto de Inversión]],1,4)</f>
        <v>8173</v>
      </c>
      <c r="T384" s="162" t="str">
        <f>MID(PAA[[#This Row],[Meta Proyecto de Inversión]],6,1)</f>
        <v>1</v>
      </c>
      <c r="U384" s="163" t="str">
        <f>IFERROR(VLOOKUP(N384,TD!$B$50:$F$54,2,0)," ")</f>
        <v>O230117</v>
      </c>
      <c r="V384" s="163" t="str">
        <f>IFERROR(VLOOKUP(N384,TD!$B$50:$F$54,3,0)," ")</f>
        <v>4503</v>
      </c>
      <c r="W384" s="163">
        <f>IFERROR(VLOOKUP(N384,TD!$B$50:$F$54,4,0)," ")</f>
        <v>20240255</v>
      </c>
      <c r="X384" s="162" t="s">
        <v>166</v>
      </c>
      <c r="Y384" s="163" t="str">
        <f>IFERROR(VLOOKUP(X384,TD!$J$51:$K$64,2,0)," ")</f>
        <v>Servicio de capacitaciones en gestión del riesgo de incendios  a la ciudadania.</v>
      </c>
      <c r="Z384" s="164" t="str">
        <f>CONCATENATE(X384,"-",Y384)</f>
        <v>05-Servicio de capacitaciones en gestión del riesgo de incendios  a la ciudadania.</v>
      </c>
      <c r="AA384" s="162" t="s">
        <v>223</v>
      </c>
      <c r="AB384" s="163" t="str">
        <f>IFERROR(VLOOKUP(AA384,TD!$N$51:$O$66,2,0)," ")</f>
        <v>Servicio prevención y control de incendios</v>
      </c>
      <c r="AC384" s="164" t="str">
        <f>CONCATENATE(AA384,"_",AB384)</f>
        <v>035_Servicio prevención y control de incendios</v>
      </c>
      <c r="AD384" s="164" t="str">
        <f>CONCATENATE(Z384," ",AC384)</f>
        <v>05-Servicio de capacitaciones en gestión del riesgo de incendios  a la ciudadania. 035_Servicio prevención y control de incendios</v>
      </c>
      <c r="AE384" s="163" t="str">
        <f>CONCATENATE(U384,V384,W384,X384,AA384)</f>
        <v>O23011745032024025505035</v>
      </c>
      <c r="AF384" s="163" t="str">
        <f>IFERROR(VLOOKUP(AD384,TD!$J$66:$K$89,2,0)," ")</f>
        <v>PM/0131/0105/45030350255</v>
      </c>
      <c r="AG384" s="118" t="s">
        <v>385</v>
      </c>
      <c r="AH384" s="162" t="s">
        <v>193</v>
      </c>
      <c r="AI384" s="165" t="str">
        <f>CONCATENATE(PAA[[#This Row],[Id Interno]],"-",PAA[[#This Row],[tipo de Contrato (TH talento humano - B/S bienes y/o servicios)]],"-",S384,"-",T384,"-",PAA[[#This Row],[Objeto de la contratación]])</f>
        <v>20260367-TH-8173-1-Prestar servicios profesionales liderando las actividades de Programas y Campañas de Prevención para la Subdirección de Gestión del Riesgo._SGR</v>
      </c>
    </row>
    <row r="385" spans="2:35" ht="56" x14ac:dyDescent="0.35">
      <c r="B385" s="23">
        <v>20260368</v>
      </c>
      <c r="C385" s="99" t="s">
        <v>546</v>
      </c>
      <c r="D385" s="23" t="s">
        <v>105</v>
      </c>
      <c r="E385" s="23" t="s">
        <v>363</v>
      </c>
      <c r="F385" s="159" t="s">
        <v>144</v>
      </c>
      <c r="G385" s="160" t="s">
        <v>373</v>
      </c>
      <c r="H385" s="161">
        <v>10</v>
      </c>
      <c r="I385" s="161">
        <v>0</v>
      </c>
      <c r="J385" s="127">
        <v>60000000</v>
      </c>
      <c r="K385" s="88" t="s">
        <v>398</v>
      </c>
      <c r="L385" s="159" t="s">
        <v>156</v>
      </c>
      <c r="M385" s="162" t="s">
        <v>502</v>
      </c>
      <c r="N385" s="23" t="s">
        <v>198</v>
      </c>
      <c r="O385" s="151" t="s">
        <v>946</v>
      </c>
      <c r="P385" s="159" t="s">
        <v>348</v>
      </c>
      <c r="Q385" s="53">
        <v>80111600</v>
      </c>
      <c r="R385" s="162" t="s">
        <v>210</v>
      </c>
      <c r="S385" s="162" t="str">
        <f>MID(PAA[[#This Row],[Meta Proyecto de Inversión]],1,4)</f>
        <v>8173</v>
      </c>
      <c r="T385" s="162" t="str">
        <f>MID(PAA[[#This Row],[Meta Proyecto de Inversión]],6,1)</f>
        <v>1</v>
      </c>
      <c r="U385" s="163" t="str">
        <f>IFERROR(VLOOKUP(N385,TD!$B$50:$F$54,2,0)," ")</f>
        <v>O230117</v>
      </c>
      <c r="V385" s="163" t="str">
        <f>IFERROR(VLOOKUP(N385,TD!$B$50:$F$54,3,0)," ")</f>
        <v>4503</v>
      </c>
      <c r="W385" s="163">
        <f>IFERROR(VLOOKUP(N385,TD!$B$50:$F$54,4,0)," ")</f>
        <v>20240255</v>
      </c>
      <c r="X385" s="162" t="s">
        <v>166</v>
      </c>
      <c r="Y385" s="163" t="str">
        <f>IFERROR(VLOOKUP(X385,TD!$J$51:$K$64,2,0)," ")</f>
        <v>Servicio de capacitaciones en gestión del riesgo de incendios  a la ciudadania.</v>
      </c>
      <c r="Z385" s="164" t="str">
        <f>CONCATENATE(X385,"-",Y385)</f>
        <v>05-Servicio de capacitaciones en gestión del riesgo de incendios  a la ciudadania.</v>
      </c>
      <c r="AA385" s="162" t="s">
        <v>223</v>
      </c>
      <c r="AB385" s="163" t="str">
        <f>IFERROR(VLOOKUP(AA385,TD!$N$51:$O$66,2,0)," ")</f>
        <v>Servicio prevención y control de incendios</v>
      </c>
      <c r="AC385" s="164" t="str">
        <f>CONCATENATE(AA385,"_",AB385)</f>
        <v>035_Servicio prevención y control de incendios</v>
      </c>
      <c r="AD385" s="164" t="str">
        <f>CONCATENATE(Z385," ",AC385)</f>
        <v>05-Servicio de capacitaciones en gestión del riesgo de incendios  a la ciudadania. 035_Servicio prevención y control de incendios</v>
      </c>
      <c r="AE385" s="163" t="str">
        <f>CONCATENATE(U385,V385,W385,X385,AA385)</f>
        <v>O23011745032024025505035</v>
      </c>
      <c r="AF385" s="163" t="str">
        <f>IFERROR(VLOOKUP(AD385,TD!$J$66:$K$89,2,0)," ")</f>
        <v>PM/0131/0105/45030350255</v>
      </c>
      <c r="AG385" s="118" t="s">
        <v>385</v>
      </c>
      <c r="AH385" s="162" t="s">
        <v>193</v>
      </c>
      <c r="AI385" s="165" t="str">
        <f>CONCATENATE(PAA[[#This Row],[Id Interno]],"-",PAA[[#This Row],[tipo de Contrato (TH talento humano - B/S bienes y/o servicios)]],"-",S385,"-",T385,"-",PAA[[#This Row],[Objeto de la contratación]])</f>
        <v>20260368-TH-8173-1-Prestar servicios profesionales en las actividades de Programas y Campañas de Prevención para la Subdirección de Gestión del Riesgo._SGR</v>
      </c>
    </row>
    <row r="386" spans="2:35" ht="56" x14ac:dyDescent="0.35">
      <c r="B386" s="23">
        <v>20260369</v>
      </c>
      <c r="C386" s="99" t="s">
        <v>546</v>
      </c>
      <c r="D386" s="23" t="s">
        <v>105</v>
      </c>
      <c r="E386" s="23" t="s">
        <v>363</v>
      </c>
      <c r="F386" s="159" t="s">
        <v>144</v>
      </c>
      <c r="G386" s="160" t="s">
        <v>373</v>
      </c>
      <c r="H386" s="161">
        <v>10</v>
      </c>
      <c r="I386" s="161">
        <v>0</v>
      </c>
      <c r="J386" s="127">
        <v>60000000</v>
      </c>
      <c r="K386" s="88" t="s">
        <v>398</v>
      </c>
      <c r="L386" s="159" t="s">
        <v>156</v>
      </c>
      <c r="M386" s="162" t="s">
        <v>502</v>
      </c>
      <c r="N386" s="23" t="s">
        <v>198</v>
      </c>
      <c r="O386" s="151" t="s">
        <v>946</v>
      </c>
      <c r="P386" s="159" t="s">
        <v>348</v>
      </c>
      <c r="Q386" s="53">
        <v>80111600</v>
      </c>
      <c r="R386" s="162" t="s">
        <v>210</v>
      </c>
      <c r="S386" s="162" t="str">
        <f>MID(PAA[[#This Row],[Meta Proyecto de Inversión]],1,4)</f>
        <v>8173</v>
      </c>
      <c r="T386" s="162" t="str">
        <f>MID(PAA[[#This Row],[Meta Proyecto de Inversión]],6,1)</f>
        <v>1</v>
      </c>
      <c r="U386" s="163" t="str">
        <f>IFERROR(VLOOKUP(N386,TD!$B$50:$F$54,2,0)," ")</f>
        <v>O230117</v>
      </c>
      <c r="V386" s="163" t="str">
        <f>IFERROR(VLOOKUP(N386,TD!$B$50:$F$54,3,0)," ")</f>
        <v>4503</v>
      </c>
      <c r="W386" s="163">
        <f>IFERROR(VLOOKUP(N386,TD!$B$50:$F$54,4,0)," ")</f>
        <v>20240255</v>
      </c>
      <c r="X386" s="162" t="s">
        <v>166</v>
      </c>
      <c r="Y386" s="163" t="str">
        <f>IFERROR(VLOOKUP(X386,TD!$J$51:$K$64,2,0)," ")</f>
        <v>Servicio de capacitaciones en gestión del riesgo de incendios  a la ciudadania.</v>
      </c>
      <c r="Z386" s="164" t="str">
        <f>CONCATENATE(X386,"-",Y386)</f>
        <v>05-Servicio de capacitaciones en gestión del riesgo de incendios  a la ciudadania.</v>
      </c>
      <c r="AA386" s="162" t="s">
        <v>223</v>
      </c>
      <c r="AB386" s="163" t="str">
        <f>IFERROR(VLOOKUP(AA386,TD!$N$51:$O$66,2,0)," ")</f>
        <v>Servicio prevención y control de incendios</v>
      </c>
      <c r="AC386" s="164" t="str">
        <f>CONCATENATE(AA386,"_",AB386)</f>
        <v>035_Servicio prevención y control de incendios</v>
      </c>
      <c r="AD386" s="164" t="str">
        <f>CONCATENATE(Z386," ",AC386)</f>
        <v>05-Servicio de capacitaciones en gestión del riesgo de incendios  a la ciudadania. 035_Servicio prevención y control de incendios</v>
      </c>
      <c r="AE386" s="163" t="str">
        <f>CONCATENATE(U386,V386,W386,X386,AA386)</f>
        <v>O23011745032024025505035</v>
      </c>
      <c r="AF386" s="163" t="str">
        <f>IFERROR(VLOOKUP(AD386,TD!$J$66:$K$89,2,0)," ")</f>
        <v>PM/0131/0105/45030350255</v>
      </c>
      <c r="AG386" s="118" t="s">
        <v>385</v>
      </c>
      <c r="AH386" s="162" t="s">
        <v>193</v>
      </c>
      <c r="AI386" s="165" t="str">
        <f>CONCATENATE(PAA[[#This Row],[Id Interno]],"-",PAA[[#This Row],[tipo de Contrato (TH talento humano - B/S bienes y/o servicios)]],"-",S386,"-",T386,"-",PAA[[#This Row],[Objeto de la contratación]])</f>
        <v>20260369-TH-8173-1-Prestar servicios profesionales en las actividades de Programas y Campañas de Prevención para la Subdirección de Gestión del Riesgo._SGR</v>
      </c>
    </row>
    <row r="387" spans="2:35" ht="56" x14ac:dyDescent="0.35">
      <c r="B387" s="23">
        <v>20260370</v>
      </c>
      <c r="C387" s="99" t="s">
        <v>547</v>
      </c>
      <c r="D387" s="23" t="s">
        <v>105</v>
      </c>
      <c r="E387" s="23" t="s">
        <v>363</v>
      </c>
      <c r="F387" s="159" t="s">
        <v>144</v>
      </c>
      <c r="G387" s="160" t="s">
        <v>373</v>
      </c>
      <c r="H387" s="161">
        <v>10</v>
      </c>
      <c r="I387" s="161">
        <v>0</v>
      </c>
      <c r="J387" s="127">
        <v>40000000</v>
      </c>
      <c r="K387" s="88" t="s">
        <v>398</v>
      </c>
      <c r="L387" s="159" t="s">
        <v>156</v>
      </c>
      <c r="M387" s="162" t="s">
        <v>502</v>
      </c>
      <c r="N387" s="23" t="s">
        <v>198</v>
      </c>
      <c r="O387" s="151" t="s">
        <v>946</v>
      </c>
      <c r="P387" s="160" t="s">
        <v>348</v>
      </c>
      <c r="Q387" s="53">
        <v>80111600</v>
      </c>
      <c r="R387" s="162" t="s">
        <v>210</v>
      </c>
      <c r="S387" s="162" t="str">
        <f>MID(PAA[[#This Row],[Meta Proyecto de Inversión]],1,4)</f>
        <v>8173</v>
      </c>
      <c r="T387" s="162" t="str">
        <f>MID(PAA[[#This Row],[Meta Proyecto de Inversión]],6,1)</f>
        <v>1</v>
      </c>
      <c r="U387" s="163" t="str">
        <f>IFERROR(VLOOKUP(N387,TD!$B$50:$F$54,2,0)," ")</f>
        <v>O230117</v>
      </c>
      <c r="V387" s="163" t="str">
        <f>IFERROR(VLOOKUP(N387,TD!$B$50:$F$54,3,0)," ")</f>
        <v>4503</v>
      </c>
      <c r="W387" s="163">
        <f>IFERROR(VLOOKUP(N387,TD!$B$50:$F$54,4,0)," ")</f>
        <v>20240255</v>
      </c>
      <c r="X387" s="162" t="s">
        <v>166</v>
      </c>
      <c r="Y387" s="163" t="str">
        <f>IFERROR(VLOOKUP(X387,TD!$J$51:$K$64,2,0)," ")</f>
        <v>Servicio de capacitaciones en gestión del riesgo de incendios  a la ciudadania.</v>
      </c>
      <c r="Z387" s="164" t="str">
        <f>CONCATENATE(X387,"-",Y387)</f>
        <v>05-Servicio de capacitaciones en gestión del riesgo de incendios  a la ciudadania.</v>
      </c>
      <c r="AA387" s="162" t="s">
        <v>223</v>
      </c>
      <c r="AB387" s="163" t="str">
        <f>IFERROR(VLOOKUP(AA387,TD!$N$51:$O$66,2,0)," ")</f>
        <v>Servicio prevención y control de incendios</v>
      </c>
      <c r="AC387" s="164" t="str">
        <f>CONCATENATE(AA387,"_",AB387)</f>
        <v>035_Servicio prevención y control de incendios</v>
      </c>
      <c r="AD387" s="164" t="str">
        <f>CONCATENATE(Z387," ",AC387)</f>
        <v>05-Servicio de capacitaciones en gestión del riesgo de incendios  a la ciudadania. 035_Servicio prevención y control de incendios</v>
      </c>
      <c r="AE387" s="163" t="str">
        <f>CONCATENATE(U387,V387,W387,X387,AA387)</f>
        <v>O23011745032024025505035</v>
      </c>
      <c r="AF387" s="163" t="str">
        <f>IFERROR(VLOOKUP(AD387,TD!$J$66:$K$89,2,0)," ")</f>
        <v>PM/0131/0105/45030350255</v>
      </c>
      <c r="AG387" s="118" t="s">
        <v>385</v>
      </c>
      <c r="AH387" s="162" t="s">
        <v>193</v>
      </c>
      <c r="AI387" s="165" t="str">
        <f>CONCATENATE(PAA[[#This Row],[Id Interno]],"-",PAA[[#This Row],[tipo de Contrato (TH talento humano - B/S bienes y/o servicios)]],"-",S387,"-",T387,"-",PAA[[#This Row],[Objeto de la contratación]])</f>
        <v>20260370-TH-8173-1-Prestar servicios de apoyo en las actividades de Programas y Campañas de Prevención para la Subdirección de Gestión del Riesgo. _SGR</v>
      </c>
    </row>
    <row r="388" spans="2:35" ht="56" x14ac:dyDescent="0.35">
      <c r="B388" s="23">
        <v>20260371</v>
      </c>
      <c r="C388" s="99" t="s">
        <v>547</v>
      </c>
      <c r="D388" s="23" t="s">
        <v>105</v>
      </c>
      <c r="E388" s="23" t="s">
        <v>363</v>
      </c>
      <c r="F388" s="159" t="s">
        <v>144</v>
      </c>
      <c r="G388" s="160" t="s">
        <v>373</v>
      </c>
      <c r="H388" s="161">
        <v>10</v>
      </c>
      <c r="I388" s="161">
        <v>0</v>
      </c>
      <c r="J388" s="127">
        <v>37500000</v>
      </c>
      <c r="K388" s="88" t="s">
        <v>398</v>
      </c>
      <c r="L388" s="159" t="s">
        <v>156</v>
      </c>
      <c r="M388" s="162" t="s">
        <v>502</v>
      </c>
      <c r="N388" s="23" t="s">
        <v>198</v>
      </c>
      <c r="O388" s="151" t="s">
        <v>946</v>
      </c>
      <c r="P388" s="159" t="s">
        <v>348</v>
      </c>
      <c r="Q388" s="53">
        <v>80111600</v>
      </c>
      <c r="R388" s="162" t="s">
        <v>210</v>
      </c>
      <c r="S388" s="162" t="str">
        <f>MID(PAA[[#This Row],[Meta Proyecto de Inversión]],1,4)</f>
        <v>8173</v>
      </c>
      <c r="T388" s="162" t="str">
        <f>MID(PAA[[#This Row],[Meta Proyecto de Inversión]],6,1)</f>
        <v>1</v>
      </c>
      <c r="U388" s="163" t="str">
        <f>IFERROR(VLOOKUP(N388,TD!$B$50:$F$54,2,0)," ")</f>
        <v>O230117</v>
      </c>
      <c r="V388" s="163" t="str">
        <f>IFERROR(VLOOKUP(N388,TD!$B$50:$F$54,3,0)," ")</f>
        <v>4503</v>
      </c>
      <c r="W388" s="163">
        <f>IFERROR(VLOOKUP(N388,TD!$B$50:$F$54,4,0)," ")</f>
        <v>20240255</v>
      </c>
      <c r="X388" s="162" t="s">
        <v>166</v>
      </c>
      <c r="Y388" s="163" t="str">
        <f>IFERROR(VLOOKUP(X388,TD!$J$51:$K$64,2,0)," ")</f>
        <v>Servicio de capacitaciones en gestión del riesgo de incendios  a la ciudadania.</v>
      </c>
      <c r="Z388" s="164" t="str">
        <f>CONCATENATE(X388,"-",Y388)</f>
        <v>05-Servicio de capacitaciones en gestión del riesgo de incendios  a la ciudadania.</v>
      </c>
      <c r="AA388" s="162" t="s">
        <v>223</v>
      </c>
      <c r="AB388" s="163" t="str">
        <f>IFERROR(VLOOKUP(AA388,TD!$N$51:$O$66,2,0)," ")</f>
        <v>Servicio prevención y control de incendios</v>
      </c>
      <c r="AC388" s="164" t="str">
        <f>CONCATENATE(AA388,"_",AB388)</f>
        <v>035_Servicio prevención y control de incendios</v>
      </c>
      <c r="AD388" s="164" t="str">
        <f>CONCATENATE(Z388," ",AC388)</f>
        <v>05-Servicio de capacitaciones en gestión del riesgo de incendios  a la ciudadania. 035_Servicio prevención y control de incendios</v>
      </c>
      <c r="AE388" s="163" t="str">
        <f>CONCATENATE(U388,V388,W388,X388,AA388)</f>
        <v>O23011745032024025505035</v>
      </c>
      <c r="AF388" s="163" t="str">
        <f>IFERROR(VLOOKUP(AD388,TD!$J$66:$K$89,2,0)," ")</f>
        <v>PM/0131/0105/45030350255</v>
      </c>
      <c r="AG388" s="118" t="s">
        <v>385</v>
      </c>
      <c r="AH388" s="162" t="s">
        <v>193</v>
      </c>
      <c r="AI388" s="165" t="str">
        <f>CONCATENATE(PAA[[#This Row],[Id Interno]],"-",PAA[[#This Row],[tipo de Contrato (TH talento humano - B/S bienes y/o servicios)]],"-",S388,"-",T388,"-",PAA[[#This Row],[Objeto de la contratación]])</f>
        <v>20260371-TH-8173-1-Prestar servicios de apoyo en las actividades de Programas y Campañas de Prevención para la Subdirección de Gestión del Riesgo. _SGR</v>
      </c>
    </row>
    <row r="389" spans="2:35" ht="56" x14ac:dyDescent="0.35">
      <c r="B389" s="23">
        <v>20260372</v>
      </c>
      <c r="C389" s="99" t="s">
        <v>548</v>
      </c>
      <c r="D389" s="23" t="s">
        <v>105</v>
      </c>
      <c r="E389" s="23" t="s">
        <v>363</v>
      </c>
      <c r="F389" s="159" t="s">
        <v>144</v>
      </c>
      <c r="G389" s="160" t="s">
        <v>373</v>
      </c>
      <c r="H389" s="161">
        <v>10</v>
      </c>
      <c r="I389" s="161">
        <v>0</v>
      </c>
      <c r="J389" s="127">
        <v>38000000</v>
      </c>
      <c r="K389" s="88" t="s">
        <v>398</v>
      </c>
      <c r="L389" s="159" t="s">
        <v>156</v>
      </c>
      <c r="M389" s="162" t="s">
        <v>502</v>
      </c>
      <c r="N389" s="23" t="s">
        <v>198</v>
      </c>
      <c r="O389" s="151" t="s">
        <v>946</v>
      </c>
      <c r="P389" s="159" t="s">
        <v>348</v>
      </c>
      <c r="Q389" s="53">
        <v>80111600</v>
      </c>
      <c r="R389" s="162" t="s">
        <v>210</v>
      </c>
      <c r="S389" s="162" t="str">
        <f>MID(PAA[[#This Row],[Meta Proyecto de Inversión]],1,4)</f>
        <v>8173</v>
      </c>
      <c r="T389" s="162" t="str">
        <f>MID(PAA[[#This Row],[Meta Proyecto de Inversión]],6,1)</f>
        <v>1</v>
      </c>
      <c r="U389" s="163" t="str">
        <f>IFERROR(VLOOKUP(N389,TD!$B$50:$F$54,2,0)," ")</f>
        <v>O230117</v>
      </c>
      <c r="V389" s="163" t="str">
        <f>IFERROR(VLOOKUP(N389,TD!$B$50:$F$54,3,0)," ")</f>
        <v>4503</v>
      </c>
      <c r="W389" s="163">
        <f>IFERROR(VLOOKUP(N389,TD!$B$50:$F$54,4,0)," ")</f>
        <v>20240255</v>
      </c>
      <c r="X389" s="162" t="s">
        <v>166</v>
      </c>
      <c r="Y389" s="163" t="str">
        <f>IFERROR(VLOOKUP(X389,TD!$J$51:$K$64,2,0)," ")</f>
        <v>Servicio de capacitaciones en gestión del riesgo de incendios  a la ciudadania.</v>
      </c>
      <c r="Z389" s="164" t="str">
        <f>CONCATENATE(X389,"-",Y389)</f>
        <v>05-Servicio de capacitaciones en gestión del riesgo de incendios  a la ciudadania.</v>
      </c>
      <c r="AA389" s="162" t="s">
        <v>223</v>
      </c>
      <c r="AB389" s="163" t="str">
        <f>IFERROR(VLOOKUP(AA389,TD!$N$51:$O$66,2,0)," ")</f>
        <v>Servicio prevención y control de incendios</v>
      </c>
      <c r="AC389" s="164" t="str">
        <f>CONCATENATE(AA389,"_",AB389)</f>
        <v>035_Servicio prevención y control de incendios</v>
      </c>
      <c r="AD389" s="164" t="str">
        <f>CONCATENATE(Z389," ",AC389)</f>
        <v>05-Servicio de capacitaciones en gestión del riesgo de incendios  a la ciudadania. 035_Servicio prevención y control de incendios</v>
      </c>
      <c r="AE389" s="163" t="str">
        <f>CONCATENATE(U389,V389,W389,X389,AA389)</f>
        <v>O23011745032024025505035</v>
      </c>
      <c r="AF389" s="163" t="str">
        <f>IFERROR(VLOOKUP(AD389,TD!$J$66:$K$89,2,0)," ")</f>
        <v>PM/0131/0105/45030350255</v>
      </c>
      <c r="AG389" s="118" t="s">
        <v>385</v>
      </c>
      <c r="AH389" s="162" t="s">
        <v>193</v>
      </c>
      <c r="AI389" s="165" t="str">
        <f>CONCATENATE(PAA[[#This Row],[Id Interno]],"-",PAA[[#This Row],[tipo de Contrato (TH talento humano - B/S bienes y/o servicios)]],"-",S389,"-",T389,"-",PAA[[#This Row],[Objeto de la contratación]])</f>
        <v>20260372-TH-8173-1-Prestar servicios apoyo técnico para el desarrollo de los contenidos graficos, piezas comunicativa y de imagen institucional para la Subdirección de Gestión del riesgo._SGR</v>
      </c>
    </row>
    <row r="390" spans="2:35" ht="56" x14ac:dyDescent="0.35">
      <c r="B390" s="23">
        <v>20260373</v>
      </c>
      <c r="C390" s="99" t="s">
        <v>549</v>
      </c>
      <c r="D390" s="23" t="s">
        <v>105</v>
      </c>
      <c r="E390" s="23" t="s">
        <v>363</v>
      </c>
      <c r="F390" s="159" t="s">
        <v>144</v>
      </c>
      <c r="G390" s="160" t="s">
        <v>373</v>
      </c>
      <c r="H390" s="161">
        <v>8</v>
      </c>
      <c r="I390" s="161">
        <v>0</v>
      </c>
      <c r="J390" s="127">
        <v>64000000</v>
      </c>
      <c r="K390" s="88" t="s">
        <v>398</v>
      </c>
      <c r="L390" s="159" t="s">
        <v>156</v>
      </c>
      <c r="M390" s="162" t="s">
        <v>502</v>
      </c>
      <c r="N390" s="23" t="s">
        <v>198</v>
      </c>
      <c r="O390" s="151" t="s">
        <v>946</v>
      </c>
      <c r="P390" s="159" t="s">
        <v>348</v>
      </c>
      <c r="Q390" s="100">
        <v>80111600</v>
      </c>
      <c r="R390" s="162" t="s">
        <v>210</v>
      </c>
      <c r="S390" s="162" t="str">
        <f>MID(PAA[[#This Row],[Meta Proyecto de Inversión]],1,4)</f>
        <v>8173</v>
      </c>
      <c r="T390" s="162" t="str">
        <f>MID(PAA[[#This Row],[Meta Proyecto de Inversión]],6,1)</f>
        <v>1</v>
      </c>
      <c r="U390" s="163" t="str">
        <f>IFERROR(VLOOKUP(N390,TD!$B$50:$F$54,2,0)," ")</f>
        <v>O230117</v>
      </c>
      <c r="V390" s="163" t="str">
        <f>IFERROR(VLOOKUP(N390,TD!$B$50:$F$54,3,0)," ")</f>
        <v>4503</v>
      </c>
      <c r="W390" s="163">
        <f>IFERROR(VLOOKUP(N390,TD!$B$50:$F$54,4,0)," ")</f>
        <v>20240255</v>
      </c>
      <c r="X390" s="162" t="s">
        <v>166</v>
      </c>
      <c r="Y390" s="163" t="str">
        <f>IFERROR(VLOOKUP(X390,TD!$J$51:$K$64,2,0)," ")</f>
        <v>Servicio de capacitaciones en gestión del riesgo de incendios  a la ciudadania.</v>
      </c>
      <c r="Z390" s="164" t="str">
        <f>CONCATENATE(X390,"-",Y390)</f>
        <v>05-Servicio de capacitaciones en gestión del riesgo de incendios  a la ciudadania.</v>
      </c>
      <c r="AA390" s="162" t="s">
        <v>223</v>
      </c>
      <c r="AB390" s="163" t="str">
        <f>IFERROR(VLOOKUP(AA390,TD!$N$51:$O$66,2,0)," ")</f>
        <v>Servicio prevención y control de incendios</v>
      </c>
      <c r="AC390" s="164" t="str">
        <f>CONCATENATE(AA390,"_",AB390)</f>
        <v>035_Servicio prevención y control de incendios</v>
      </c>
      <c r="AD390" s="164" t="str">
        <f>CONCATENATE(Z390," ",AC390)</f>
        <v>05-Servicio de capacitaciones en gestión del riesgo de incendios  a la ciudadania. 035_Servicio prevención y control de incendios</v>
      </c>
      <c r="AE390" s="163" t="str">
        <f>CONCATENATE(U390,V390,W390,X390,AA390)</f>
        <v>O23011745032024025505035</v>
      </c>
      <c r="AF390" s="163" t="str">
        <f>IFERROR(VLOOKUP(AD390,TD!$J$66:$K$89,2,0)," ")</f>
        <v>PM/0131/0105/45030350255</v>
      </c>
      <c r="AG390" s="118" t="s">
        <v>385</v>
      </c>
      <c r="AH390" s="162" t="s">
        <v>193</v>
      </c>
      <c r="AI390" s="165" t="str">
        <f>CONCATENATE(PAA[[#This Row],[Id Interno]],"-",PAA[[#This Row],[tipo de Contrato (TH talento humano - B/S bienes y/o servicios)]],"-",S390,"-",T390,"-",PAA[[#This Row],[Objeto de la contratación]])</f>
        <v>20260373-TH-8173-1-Prestar servicios profesionales  liderando los procesos de formacion y capacitacion de la subdirección de gestión del riesgo._SGR</v>
      </c>
    </row>
    <row r="391" spans="2:35" ht="70" x14ac:dyDescent="0.35">
      <c r="B391" s="23">
        <v>20260374</v>
      </c>
      <c r="C391" s="99" t="s">
        <v>550</v>
      </c>
      <c r="D391" s="23" t="s">
        <v>105</v>
      </c>
      <c r="E391" s="23" t="s">
        <v>363</v>
      </c>
      <c r="F391" s="159" t="s">
        <v>144</v>
      </c>
      <c r="G391" s="160" t="s">
        <v>373</v>
      </c>
      <c r="H391" s="161">
        <v>10</v>
      </c>
      <c r="I391" s="161">
        <v>0</v>
      </c>
      <c r="J391" s="127">
        <v>70000000</v>
      </c>
      <c r="K391" s="88" t="s">
        <v>398</v>
      </c>
      <c r="L391" s="159" t="s">
        <v>156</v>
      </c>
      <c r="M391" s="162" t="s">
        <v>502</v>
      </c>
      <c r="N391" s="23" t="s">
        <v>198</v>
      </c>
      <c r="O391" s="151" t="s">
        <v>946</v>
      </c>
      <c r="P391" s="159" t="s">
        <v>348</v>
      </c>
      <c r="Q391" s="100">
        <v>80111600</v>
      </c>
      <c r="R391" s="162" t="s">
        <v>210</v>
      </c>
      <c r="S391" s="162" t="str">
        <f>MID(PAA[[#This Row],[Meta Proyecto de Inversión]],1,4)</f>
        <v>8173</v>
      </c>
      <c r="T391" s="162" t="str">
        <f>MID(PAA[[#This Row],[Meta Proyecto de Inversión]],6,1)</f>
        <v>1</v>
      </c>
      <c r="U391" s="163" t="str">
        <f>IFERROR(VLOOKUP(N391,TD!$B$50:$F$54,2,0)," ")</f>
        <v>O230117</v>
      </c>
      <c r="V391" s="163" t="str">
        <f>IFERROR(VLOOKUP(N391,TD!$B$50:$F$54,3,0)," ")</f>
        <v>4503</v>
      </c>
      <c r="W391" s="163">
        <f>IFERROR(VLOOKUP(N391,TD!$B$50:$F$54,4,0)," ")</f>
        <v>20240255</v>
      </c>
      <c r="X391" s="162" t="s">
        <v>166</v>
      </c>
      <c r="Y391" s="163" t="str">
        <f>IFERROR(VLOOKUP(X391,TD!$J$51:$K$64,2,0)," ")</f>
        <v>Servicio de capacitaciones en gestión del riesgo de incendios  a la ciudadania.</v>
      </c>
      <c r="Z391" s="164" t="str">
        <f>CONCATENATE(X391,"-",Y391)</f>
        <v>05-Servicio de capacitaciones en gestión del riesgo de incendios  a la ciudadania.</v>
      </c>
      <c r="AA391" s="162" t="s">
        <v>223</v>
      </c>
      <c r="AB391" s="163" t="str">
        <f>IFERROR(VLOOKUP(AA391,TD!$N$51:$O$66,2,0)," ")</f>
        <v>Servicio prevención y control de incendios</v>
      </c>
      <c r="AC391" s="164" t="str">
        <f>CONCATENATE(AA391,"_",AB391)</f>
        <v>035_Servicio prevención y control de incendios</v>
      </c>
      <c r="AD391" s="164" t="str">
        <f>CONCATENATE(Z391," ",AC391)</f>
        <v>05-Servicio de capacitaciones en gestión del riesgo de incendios  a la ciudadania. 035_Servicio prevención y control de incendios</v>
      </c>
      <c r="AE391" s="163" t="str">
        <f>CONCATENATE(U391,V391,W391,X391,AA391)</f>
        <v>O23011745032024025505035</v>
      </c>
      <c r="AF391" s="163" t="str">
        <f>IFERROR(VLOOKUP(AD391,TD!$J$66:$K$89,2,0)," ")</f>
        <v>PM/0131/0105/45030350255</v>
      </c>
      <c r="AG391" s="118" t="s">
        <v>385</v>
      </c>
      <c r="AH391" s="162" t="s">
        <v>193</v>
      </c>
      <c r="AI391" s="165" t="str">
        <f>CONCATENATE(PAA[[#This Row],[Id Interno]],"-",PAA[[#This Row],[tipo de Contrato (TH talento humano - B/S bienes y/o servicios)]],"-",S391,"-",T391,"-",PAA[[#This Row],[Objeto de la contratación]])</f>
        <v>20260374-TH-8173-1-Prestar servicios profesionales en los procesos de formacion y capacitacion de la subdirección de gestión del riesgo._SGR</v>
      </c>
    </row>
    <row r="392" spans="2:35" ht="56" x14ac:dyDescent="0.35">
      <c r="B392" s="23">
        <v>20260375</v>
      </c>
      <c r="C392" s="99" t="s">
        <v>551</v>
      </c>
      <c r="D392" s="23" t="s">
        <v>105</v>
      </c>
      <c r="E392" s="23" t="s">
        <v>363</v>
      </c>
      <c r="F392" s="159" t="s">
        <v>144</v>
      </c>
      <c r="G392" s="160" t="s">
        <v>373</v>
      </c>
      <c r="H392" s="161">
        <v>10</v>
      </c>
      <c r="I392" s="161">
        <v>0</v>
      </c>
      <c r="J392" s="127">
        <v>70000000</v>
      </c>
      <c r="K392" s="88" t="s">
        <v>398</v>
      </c>
      <c r="L392" s="159" t="s">
        <v>156</v>
      </c>
      <c r="M392" s="162" t="s">
        <v>502</v>
      </c>
      <c r="N392" s="23" t="s">
        <v>198</v>
      </c>
      <c r="O392" s="151" t="s">
        <v>946</v>
      </c>
      <c r="P392" s="159" t="s">
        <v>348</v>
      </c>
      <c r="Q392" s="100">
        <v>80111600</v>
      </c>
      <c r="R392" s="162" t="s">
        <v>214</v>
      </c>
      <c r="S392" s="162" t="str">
        <f>MID(PAA[[#This Row],[Meta Proyecto de Inversión]],1,4)</f>
        <v>8173</v>
      </c>
      <c r="T392" s="162" t="str">
        <f>MID(PAA[[#This Row],[Meta Proyecto de Inversión]],6,1)</f>
        <v>5</v>
      </c>
      <c r="U392" s="163" t="str">
        <f>IFERROR(VLOOKUP(N392,TD!$B$50:$F$54,2,0)," ")</f>
        <v>O230117</v>
      </c>
      <c r="V392" s="163" t="str">
        <f>IFERROR(VLOOKUP(N392,TD!$B$50:$F$54,3,0)," ")</f>
        <v>4503</v>
      </c>
      <c r="W392" s="163">
        <f>IFERROR(VLOOKUP(N392,TD!$B$50:$F$54,4,0)," ")</f>
        <v>20240255</v>
      </c>
      <c r="X392" s="162">
        <v>16</v>
      </c>
      <c r="Y392" s="163" t="str">
        <f>IFERROR(VLOOKUP(X392,TD!$J$51:$K$64,2,0)," ")</f>
        <v>Servicio de monitoreo y seguimiento para la gestión del riesgo</v>
      </c>
      <c r="Z392" s="164" t="str">
        <f>CONCATENATE(X392,"-",Y392)</f>
        <v>16-Servicio de monitoreo y seguimiento para la gestión del riesgo</v>
      </c>
      <c r="AA392" s="162" t="s">
        <v>224</v>
      </c>
      <c r="AB392" s="163" t="str">
        <f>IFERROR(VLOOKUP(AA392,TD!$N$51:$O$66,2,0)," ")</f>
        <v>Servicio de monitoreo y seguimiento para la gestión del riesgo</v>
      </c>
      <c r="AC392" s="164" t="str">
        <f>CONCATENATE(AA392,"_",AB392)</f>
        <v>018_Servicio de monitoreo y seguimiento para la gestión del riesgo</v>
      </c>
      <c r="AD392" s="164" t="str">
        <f>CONCATENATE(Z392," ",AC392)</f>
        <v>16-Servicio de monitoreo y seguimiento para la gestión del riesgo 018_Servicio de monitoreo y seguimiento para la gestión del riesgo</v>
      </c>
      <c r="AE392" s="163" t="str">
        <f>CONCATENATE(U392,V392,W392,X392,AA392)</f>
        <v>O23011745032024025516018</v>
      </c>
      <c r="AF392" s="163" t="str">
        <f>IFERROR(VLOOKUP(AD392,TD!$J$66:$K$89,2,0)," ")</f>
        <v>PM/0131/0116/45030180255</v>
      </c>
      <c r="AG392" s="118" t="s">
        <v>385</v>
      </c>
      <c r="AH392" s="162" t="s">
        <v>193</v>
      </c>
      <c r="AI392" s="165" t="str">
        <f>CONCATENATE(PAA[[#This Row],[Id Interno]],"-",PAA[[#This Row],[tipo de Contrato (TH talento humano - B/S bienes y/o servicios)]],"-",S392,"-",T392,"-",PAA[[#This Row],[Objeto de la contratación]])</f>
        <v>20260375-TH-8173-5-Prestar servicios profesionales liderando las actividades de identificacion y caracterizacion  de escenarios  de riesgos a cargo de la Subdirección de Gestión del Riesgo._SGR</v>
      </c>
    </row>
    <row r="393" spans="2:35" ht="56" x14ac:dyDescent="0.35">
      <c r="B393" s="23">
        <v>20260376</v>
      </c>
      <c r="C393" s="99" t="s">
        <v>552</v>
      </c>
      <c r="D393" s="23" t="s">
        <v>105</v>
      </c>
      <c r="E393" s="23" t="s">
        <v>363</v>
      </c>
      <c r="F393" s="159" t="s">
        <v>144</v>
      </c>
      <c r="G393" s="160" t="s">
        <v>373</v>
      </c>
      <c r="H393" s="161">
        <v>10</v>
      </c>
      <c r="I393" s="161">
        <v>0</v>
      </c>
      <c r="J393" s="127">
        <v>55000000</v>
      </c>
      <c r="K393" s="88" t="s">
        <v>398</v>
      </c>
      <c r="L393" s="159" t="s">
        <v>156</v>
      </c>
      <c r="M393" s="162" t="s">
        <v>502</v>
      </c>
      <c r="N393" s="23" t="s">
        <v>198</v>
      </c>
      <c r="O393" s="151" t="s">
        <v>946</v>
      </c>
      <c r="P393" s="159" t="s">
        <v>348</v>
      </c>
      <c r="Q393" s="100">
        <v>80111600</v>
      </c>
      <c r="R393" s="162" t="s">
        <v>214</v>
      </c>
      <c r="S393" s="162" t="str">
        <f>MID(PAA[[#This Row],[Meta Proyecto de Inversión]],1,4)</f>
        <v>8173</v>
      </c>
      <c r="T393" s="162" t="str">
        <f>MID(PAA[[#This Row],[Meta Proyecto de Inversión]],6,1)</f>
        <v>5</v>
      </c>
      <c r="U393" s="163" t="str">
        <f>IFERROR(VLOOKUP(N393,TD!$B$50:$F$54,2,0)," ")</f>
        <v>O230117</v>
      </c>
      <c r="V393" s="163" t="str">
        <f>IFERROR(VLOOKUP(N393,TD!$B$50:$F$54,3,0)," ")</f>
        <v>4503</v>
      </c>
      <c r="W393" s="163">
        <f>IFERROR(VLOOKUP(N393,TD!$B$50:$F$54,4,0)," ")</f>
        <v>20240255</v>
      </c>
      <c r="X393" s="162">
        <v>16</v>
      </c>
      <c r="Y393" s="163" t="str">
        <f>IFERROR(VLOOKUP(X393,TD!$J$51:$K$64,2,0)," ")</f>
        <v>Servicio de monitoreo y seguimiento para la gestión del riesgo</v>
      </c>
      <c r="Z393" s="164" t="str">
        <f>CONCATENATE(X393,"-",Y393)</f>
        <v>16-Servicio de monitoreo y seguimiento para la gestión del riesgo</v>
      </c>
      <c r="AA393" s="162" t="s">
        <v>224</v>
      </c>
      <c r="AB393" s="163" t="str">
        <f>IFERROR(VLOOKUP(AA393,TD!$N$51:$O$66,2,0)," ")</f>
        <v>Servicio de monitoreo y seguimiento para la gestión del riesgo</v>
      </c>
      <c r="AC393" s="164" t="str">
        <f>CONCATENATE(AA393,"_",AB393)</f>
        <v>018_Servicio de monitoreo y seguimiento para la gestión del riesgo</v>
      </c>
      <c r="AD393" s="164" t="str">
        <f>CONCATENATE(Z393," ",AC393)</f>
        <v>16-Servicio de monitoreo y seguimiento para la gestión del riesgo 018_Servicio de monitoreo y seguimiento para la gestión del riesgo</v>
      </c>
      <c r="AE393" s="163" t="str">
        <f>CONCATENATE(U393,V393,W393,X393,AA393)</f>
        <v>O23011745032024025516018</v>
      </c>
      <c r="AF393" s="163" t="str">
        <f>IFERROR(VLOOKUP(AD393,TD!$J$66:$K$89,2,0)," ")</f>
        <v>PM/0131/0116/45030180255</v>
      </c>
      <c r="AG393" s="118" t="s">
        <v>385</v>
      </c>
      <c r="AH393" s="162" t="s">
        <v>193</v>
      </c>
      <c r="AI393" s="165" t="str">
        <f>CONCATENATE(PAA[[#This Row],[Id Interno]],"-",PAA[[#This Row],[tipo de Contrato (TH talento humano - B/S bienes y/o servicios)]],"-",S393,"-",T393,"-",PAA[[#This Row],[Objeto de la contratación]])</f>
        <v>20260376-TH-8173-5-Prestar servicios profesionales en las actividades de identificacion y caracterizacion  de escenarios  de riesgos a cargo de la Subdirección de Gestión del Riesgo._SGR</v>
      </c>
    </row>
    <row r="394" spans="2:35" ht="56" x14ac:dyDescent="0.35">
      <c r="B394" s="23">
        <v>20260377</v>
      </c>
      <c r="C394" s="99" t="s">
        <v>552</v>
      </c>
      <c r="D394" s="23" t="s">
        <v>105</v>
      </c>
      <c r="E394" s="23" t="s">
        <v>363</v>
      </c>
      <c r="F394" s="159" t="s">
        <v>144</v>
      </c>
      <c r="G394" s="160" t="s">
        <v>373</v>
      </c>
      <c r="H394" s="161">
        <v>10</v>
      </c>
      <c r="I394" s="161">
        <v>0</v>
      </c>
      <c r="J394" s="127">
        <v>55000000</v>
      </c>
      <c r="K394" s="88" t="s">
        <v>398</v>
      </c>
      <c r="L394" s="159" t="s">
        <v>156</v>
      </c>
      <c r="M394" s="162" t="s">
        <v>502</v>
      </c>
      <c r="N394" s="23" t="s">
        <v>198</v>
      </c>
      <c r="O394" s="151" t="s">
        <v>946</v>
      </c>
      <c r="P394" s="159" t="s">
        <v>348</v>
      </c>
      <c r="Q394" s="100">
        <v>80111600</v>
      </c>
      <c r="R394" s="162" t="s">
        <v>214</v>
      </c>
      <c r="S394" s="162" t="str">
        <f>MID(PAA[[#This Row],[Meta Proyecto de Inversión]],1,4)</f>
        <v>8173</v>
      </c>
      <c r="T394" s="162" t="str">
        <f>MID(PAA[[#This Row],[Meta Proyecto de Inversión]],6,1)</f>
        <v>5</v>
      </c>
      <c r="U394" s="163" t="str">
        <f>IFERROR(VLOOKUP(N394,TD!$B$50:$F$54,2,0)," ")</f>
        <v>O230117</v>
      </c>
      <c r="V394" s="163" t="str">
        <f>IFERROR(VLOOKUP(N394,TD!$B$50:$F$54,3,0)," ")</f>
        <v>4503</v>
      </c>
      <c r="W394" s="163">
        <f>IFERROR(VLOOKUP(N394,TD!$B$50:$F$54,4,0)," ")</f>
        <v>20240255</v>
      </c>
      <c r="X394" s="162">
        <v>16</v>
      </c>
      <c r="Y394" s="163" t="str">
        <f>IFERROR(VLOOKUP(X394,TD!$J$51:$K$64,2,0)," ")</f>
        <v>Servicio de monitoreo y seguimiento para la gestión del riesgo</v>
      </c>
      <c r="Z394" s="164" t="str">
        <f>CONCATENATE(X394,"-",Y394)</f>
        <v>16-Servicio de monitoreo y seguimiento para la gestión del riesgo</v>
      </c>
      <c r="AA394" s="162" t="s">
        <v>224</v>
      </c>
      <c r="AB394" s="163" t="str">
        <f>IFERROR(VLOOKUP(AA394,TD!$N$51:$O$66,2,0)," ")</f>
        <v>Servicio de monitoreo y seguimiento para la gestión del riesgo</v>
      </c>
      <c r="AC394" s="164" t="str">
        <f>CONCATENATE(AA394,"_",AB394)</f>
        <v>018_Servicio de monitoreo y seguimiento para la gestión del riesgo</v>
      </c>
      <c r="AD394" s="164" t="str">
        <f>CONCATENATE(Z394," ",AC394)</f>
        <v>16-Servicio de monitoreo y seguimiento para la gestión del riesgo 018_Servicio de monitoreo y seguimiento para la gestión del riesgo</v>
      </c>
      <c r="AE394" s="163" t="str">
        <f>CONCATENATE(U394,V394,W394,X394,AA394)</f>
        <v>O23011745032024025516018</v>
      </c>
      <c r="AF394" s="163" t="str">
        <f>IFERROR(VLOOKUP(AD394,TD!$J$66:$K$89,2,0)," ")</f>
        <v>PM/0131/0116/45030180255</v>
      </c>
      <c r="AG394" s="118" t="s">
        <v>385</v>
      </c>
      <c r="AH394" s="162" t="s">
        <v>193</v>
      </c>
      <c r="AI394" s="165" t="str">
        <f>CONCATENATE(PAA[[#This Row],[Id Interno]],"-",PAA[[#This Row],[tipo de Contrato (TH talento humano - B/S bienes y/o servicios)]],"-",S394,"-",T394,"-",PAA[[#This Row],[Objeto de la contratación]])</f>
        <v>20260377-TH-8173-5-Prestar servicios profesionales en las actividades de identificacion y caracterizacion  de escenarios  de riesgos a cargo de la Subdirección de Gestión del Riesgo._SGR</v>
      </c>
    </row>
    <row r="395" spans="2:35" ht="56" x14ac:dyDescent="0.35">
      <c r="B395" s="23">
        <v>20260378</v>
      </c>
      <c r="C395" s="99" t="s">
        <v>552</v>
      </c>
      <c r="D395" s="23" t="s">
        <v>105</v>
      </c>
      <c r="E395" s="23" t="s">
        <v>363</v>
      </c>
      <c r="F395" s="159" t="s">
        <v>144</v>
      </c>
      <c r="G395" s="160" t="s">
        <v>373</v>
      </c>
      <c r="H395" s="161">
        <v>10</v>
      </c>
      <c r="I395" s="161">
        <v>0</v>
      </c>
      <c r="J395" s="127">
        <v>55000000</v>
      </c>
      <c r="K395" s="88" t="s">
        <v>398</v>
      </c>
      <c r="L395" s="159" t="s">
        <v>156</v>
      </c>
      <c r="M395" s="162" t="s">
        <v>502</v>
      </c>
      <c r="N395" s="23" t="s">
        <v>198</v>
      </c>
      <c r="O395" s="151" t="s">
        <v>946</v>
      </c>
      <c r="P395" s="159" t="s">
        <v>348</v>
      </c>
      <c r="Q395" s="100">
        <v>80111600</v>
      </c>
      <c r="R395" s="162" t="s">
        <v>214</v>
      </c>
      <c r="S395" s="162" t="str">
        <f>MID(PAA[[#This Row],[Meta Proyecto de Inversión]],1,4)</f>
        <v>8173</v>
      </c>
      <c r="T395" s="162" t="str">
        <f>MID(PAA[[#This Row],[Meta Proyecto de Inversión]],6,1)</f>
        <v>5</v>
      </c>
      <c r="U395" s="163" t="str">
        <f>IFERROR(VLOOKUP(N395,TD!$B$50:$F$54,2,0)," ")</f>
        <v>O230117</v>
      </c>
      <c r="V395" s="163" t="str">
        <f>IFERROR(VLOOKUP(N395,TD!$B$50:$F$54,3,0)," ")</f>
        <v>4503</v>
      </c>
      <c r="W395" s="163">
        <f>IFERROR(VLOOKUP(N395,TD!$B$50:$F$54,4,0)," ")</f>
        <v>20240255</v>
      </c>
      <c r="X395" s="162">
        <v>16</v>
      </c>
      <c r="Y395" s="163" t="str">
        <f>IFERROR(VLOOKUP(X395,TD!$J$51:$K$64,2,0)," ")</f>
        <v>Servicio de monitoreo y seguimiento para la gestión del riesgo</v>
      </c>
      <c r="Z395" s="164" t="str">
        <f>CONCATENATE(X395,"-",Y395)</f>
        <v>16-Servicio de monitoreo y seguimiento para la gestión del riesgo</v>
      </c>
      <c r="AA395" s="162" t="s">
        <v>224</v>
      </c>
      <c r="AB395" s="163" t="str">
        <f>IFERROR(VLOOKUP(AA395,TD!$N$51:$O$66,2,0)," ")</f>
        <v>Servicio de monitoreo y seguimiento para la gestión del riesgo</v>
      </c>
      <c r="AC395" s="164" t="str">
        <f>CONCATENATE(AA395,"_",AB395)</f>
        <v>018_Servicio de monitoreo y seguimiento para la gestión del riesgo</v>
      </c>
      <c r="AD395" s="164" t="str">
        <f>CONCATENATE(Z395," ",AC395)</f>
        <v>16-Servicio de monitoreo y seguimiento para la gestión del riesgo 018_Servicio de monitoreo y seguimiento para la gestión del riesgo</v>
      </c>
      <c r="AE395" s="163" t="str">
        <f>CONCATENATE(U395,V395,W395,X395,AA395)</f>
        <v>O23011745032024025516018</v>
      </c>
      <c r="AF395" s="163" t="str">
        <f>IFERROR(VLOOKUP(AD395,TD!$J$66:$K$89,2,0)," ")</f>
        <v>PM/0131/0116/45030180255</v>
      </c>
      <c r="AG395" s="118" t="s">
        <v>385</v>
      </c>
      <c r="AH395" s="162" t="s">
        <v>193</v>
      </c>
      <c r="AI395" s="165" t="str">
        <f>CONCATENATE(PAA[[#This Row],[Id Interno]],"-",PAA[[#This Row],[tipo de Contrato (TH talento humano - B/S bienes y/o servicios)]],"-",S395,"-",T395,"-",PAA[[#This Row],[Objeto de la contratación]])</f>
        <v>20260378-TH-8173-5-Prestar servicios profesionales en las actividades de identificacion y caracterizacion  de escenarios  de riesgos a cargo de la Subdirección de Gestión del Riesgo._SGR</v>
      </c>
    </row>
    <row r="396" spans="2:35" ht="56" x14ac:dyDescent="0.35">
      <c r="B396" s="23">
        <v>20260379</v>
      </c>
      <c r="C396" s="99" t="s">
        <v>553</v>
      </c>
      <c r="D396" s="23" t="s">
        <v>105</v>
      </c>
      <c r="E396" s="23" t="s">
        <v>363</v>
      </c>
      <c r="F396" s="159" t="s">
        <v>144</v>
      </c>
      <c r="G396" s="160" t="s">
        <v>373</v>
      </c>
      <c r="H396" s="161">
        <v>8</v>
      </c>
      <c r="I396" s="161">
        <v>0</v>
      </c>
      <c r="J396" s="127">
        <v>72800000</v>
      </c>
      <c r="K396" s="88" t="s">
        <v>398</v>
      </c>
      <c r="L396" s="159" t="s">
        <v>156</v>
      </c>
      <c r="M396" s="162" t="s">
        <v>502</v>
      </c>
      <c r="N396" s="23" t="s">
        <v>198</v>
      </c>
      <c r="O396" s="151" t="s">
        <v>946</v>
      </c>
      <c r="P396" s="159" t="s">
        <v>348</v>
      </c>
      <c r="Q396" s="100">
        <v>80111600</v>
      </c>
      <c r="R396" s="162" t="s">
        <v>215</v>
      </c>
      <c r="S396" s="162" t="str">
        <f>MID(PAA[[#This Row],[Meta Proyecto de Inversión]],1,4)</f>
        <v>8173</v>
      </c>
      <c r="T396" s="162" t="str">
        <f>MID(PAA[[#This Row],[Meta Proyecto de Inversión]],6,1)</f>
        <v>6</v>
      </c>
      <c r="U396" s="163" t="str">
        <f>IFERROR(VLOOKUP(N396,TD!$B$50:$F$54,2,0)," ")</f>
        <v>O230117</v>
      </c>
      <c r="V396" s="163" t="str">
        <f>IFERROR(VLOOKUP(N396,TD!$B$50:$F$54,3,0)," ")</f>
        <v>4503</v>
      </c>
      <c r="W396" s="163">
        <f>IFERROR(VLOOKUP(N396,TD!$B$50:$F$54,4,0)," ")</f>
        <v>20240255</v>
      </c>
      <c r="X396" s="162">
        <v>16</v>
      </c>
      <c r="Y396" s="163" t="str">
        <f>IFERROR(VLOOKUP(X396,TD!$J$51:$K$64,2,0)," ")</f>
        <v>Servicio de monitoreo y seguimiento para la gestión del riesgo</v>
      </c>
      <c r="Z396" s="164" t="str">
        <f>CONCATENATE(X396,"-",Y396)</f>
        <v>16-Servicio de monitoreo y seguimiento para la gestión del riesgo</v>
      </c>
      <c r="AA396" s="162" t="s">
        <v>224</v>
      </c>
      <c r="AB396" s="163" t="str">
        <f>IFERROR(VLOOKUP(AA396,TD!$N$51:$O$66,2,0)," ")</f>
        <v>Servicio de monitoreo y seguimiento para la gestión del riesgo</v>
      </c>
      <c r="AC396" s="164" t="str">
        <f>CONCATENATE(AA396,"_",AB396)</f>
        <v>018_Servicio de monitoreo y seguimiento para la gestión del riesgo</v>
      </c>
      <c r="AD396" s="164" t="str">
        <f>CONCATENATE(Z396," ",AC396)</f>
        <v>16-Servicio de monitoreo y seguimiento para la gestión del riesgo 018_Servicio de monitoreo y seguimiento para la gestión del riesgo</v>
      </c>
      <c r="AE396" s="163" t="str">
        <f>CONCATENATE(U396,V396,W396,X396,AA396)</f>
        <v>O23011745032024025516018</v>
      </c>
      <c r="AF396" s="163" t="str">
        <f>IFERROR(VLOOKUP(AD396,TD!$J$66:$K$89,2,0)," ")</f>
        <v>PM/0131/0116/45030180255</v>
      </c>
      <c r="AG396" s="118" t="s">
        <v>385</v>
      </c>
      <c r="AH396" s="162" t="s">
        <v>193</v>
      </c>
      <c r="AI396" s="165" t="str">
        <f>CONCATENATE(PAA[[#This Row],[Id Interno]],"-",PAA[[#This Row],[tipo de Contrato (TH talento humano - B/S bienes y/o servicios)]],"-",S396,"-",T396,"-",PAA[[#This Row],[Objeto de la contratación]])</f>
        <v>20260379-TH-8173-6-prestar servicios profesionales liderando las actividades de monitoreo del riesgo de la subdirecion  de gestión del riesgo_SGR</v>
      </c>
    </row>
    <row r="397" spans="2:35" ht="42" x14ac:dyDescent="0.35">
      <c r="B397" s="23">
        <v>20260380</v>
      </c>
      <c r="C397" s="99" t="s">
        <v>554</v>
      </c>
      <c r="D397" s="23" t="s">
        <v>105</v>
      </c>
      <c r="E397" s="23" t="s">
        <v>363</v>
      </c>
      <c r="F397" s="159" t="s">
        <v>144</v>
      </c>
      <c r="G397" s="160" t="s">
        <v>373</v>
      </c>
      <c r="H397" s="161">
        <v>10</v>
      </c>
      <c r="I397" s="161">
        <v>0</v>
      </c>
      <c r="J397" s="127">
        <v>55000000</v>
      </c>
      <c r="K397" s="88" t="s">
        <v>398</v>
      </c>
      <c r="L397" s="159" t="s">
        <v>156</v>
      </c>
      <c r="M397" s="162" t="s">
        <v>502</v>
      </c>
      <c r="N397" s="23" t="s">
        <v>198</v>
      </c>
      <c r="O397" s="151" t="s">
        <v>946</v>
      </c>
      <c r="P397" s="159" t="s">
        <v>348</v>
      </c>
      <c r="Q397" s="100">
        <v>80111600</v>
      </c>
      <c r="R397" s="162" t="s">
        <v>215</v>
      </c>
      <c r="S397" s="162" t="str">
        <f>MID(PAA[[#This Row],[Meta Proyecto de Inversión]],1,4)</f>
        <v>8173</v>
      </c>
      <c r="T397" s="162" t="str">
        <f>MID(PAA[[#This Row],[Meta Proyecto de Inversión]],6,1)</f>
        <v>6</v>
      </c>
      <c r="U397" s="163" t="str">
        <f>IFERROR(VLOOKUP(N397,TD!$B$50:$F$54,2,0)," ")</f>
        <v>O230117</v>
      </c>
      <c r="V397" s="163" t="str">
        <f>IFERROR(VLOOKUP(N397,TD!$B$50:$F$54,3,0)," ")</f>
        <v>4503</v>
      </c>
      <c r="W397" s="163">
        <f>IFERROR(VLOOKUP(N397,TD!$B$50:$F$54,4,0)," ")</f>
        <v>20240255</v>
      </c>
      <c r="X397" s="162">
        <v>16</v>
      </c>
      <c r="Y397" s="163" t="str">
        <f>IFERROR(VLOOKUP(X397,TD!$J$51:$K$64,2,0)," ")</f>
        <v>Servicio de monitoreo y seguimiento para la gestión del riesgo</v>
      </c>
      <c r="Z397" s="164" t="str">
        <f>CONCATENATE(X397,"-",Y397)</f>
        <v>16-Servicio de monitoreo y seguimiento para la gestión del riesgo</v>
      </c>
      <c r="AA397" s="162" t="s">
        <v>224</v>
      </c>
      <c r="AB397" s="163" t="str">
        <f>IFERROR(VLOOKUP(AA397,TD!$N$51:$O$66,2,0)," ")</f>
        <v>Servicio de monitoreo y seguimiento para la gestión del riesgo</v>
      </c>
      <c r="AC397" s="164" t="str">
        <f>CONCATENATE(AA397,"_",AB397)</f>
        <v>018_Servicio de monitoreo y seguimiento para la gestión del riesgo</v>
      </c>
      <c r="AD397" s="164" t="str">
        <f>CONCATENATE(Z397," ",AC397)</f>
        <v>16-Servicio de monitoreo y seguimiento para la gestión del riesgo 018_Servicio de monitoreo y seguimiento para la gestión del riesgo</v>
      </c>
      <c r="AE397" s="163" t="str">
        <f>CONCATENATE(U397,V397,W397,X397,AA397)</f>
        <v>O23011745032024025516018</v>
      </c>
      <c r="AF397" s="163" t="str">
        <f>IFERROR(VLOOKUP(AD397,TD!$J$66:$K$89,2,0)," ")</f>
        <v>PM/0131/0116/45030180255</v>
      </c>
      <c r="AG397" s="118" t="s">
        <v>385</v>
      </c>
      <c r="AH397" s="162" t="s">
        <v>193</v>
      </c>
      <c r="AI397" s="165" t="str">
        <f>CONCATENATE(PAA[[#This Row],[Id Interno]],"-",PAA[[#This Row],[tipo de Contrato (TH talento humano - B/S bienes y/o servicios)]],"-",S397,"-",T397,"-",PAA[[#This Row],[Objeto de la contratación]])</f>
        <v>20260380-TH-8173-6-Prestar servicios profesionales en las actividades de monitoreo del riesgo para la Subdirección de Gestión del Riesgo._SGR</v>
      </c>
    </row>
    <row r="398" spans="2:35" ht="70" x14ac:dyDescent="0.35">
      <c r="B398" s="23">
        <v>20260381</v>
      </c>
      <c r="C398" s="99" t="s">
        <v>554</v>
      </c>
      <c r="D398" s="23" t="s">
        <v>105</v>
      </c>
      <c r="E398" s="23" t="s">
        <v>363</v>
      </c>
      <c r="F398" s="159" t="s">
        <v>144</v>
      </c>
      <c r="G398" s="160" t="s">
        <v>373</v>
      </c>
      <c r="H398" s="161">
        <v>10</v>
      </c>
      <c r="I398" s="161">
        <v>0</v>
      </c>
      <c r="J398" s="127">
        <v>60000000</v>
      </c>
      <c r="K398" s="88" t="s">
        <v>398</v>
      </c>
      <c r="L398" s="159" t="s">
        <v>156</v>
      </c>
      <c r="M398" s="162" t="s">
        <v>502</v>
      </c>
      <c r="N398" s="23" t="s">
        <v>198</v>
      </c>
      <c r="O398" s="151" t="s">
        <v>946</v>
      </c>
      <c r="P398" s="159" t="s">
        <v>348</v>
      </c>
      <c r="Q398" s="100">
        <v>80111600</v>
      </c>
      <c r="R398" s="162" t="s">
        <v>215</v>
      </c>
      <c r="S398" s="162" t="str">
        <f>MID(PAA[[#This Row],[Meta Proyecto de Inversión]],1,4)</f>
        <v>8173</v>
      </c>
      <c r="T398" s="162" t="str">
        <f>MID(PAA[[#This Row],[Meta Proyecto de Inversión]],6,1)</f>
        <v>6</v>
      </c>
      <c r="U398" s="163" t="str">
        <f>IFERROR(VLOOKUP(N398,TD!$B$50:$F$54,2,0)," ")</f>
        <v>O230117</v>
      </c>
      <c r="V398" s="163" t="str">
        <f>IFERROR(VLOOKUP(N398,TD!$B$50:$F$54,3,0)," ")</f>
        <v>4503</v>
      </c>
      <c r="W398" s="163">
        <f>IFERROR(VLOOKUP(N398,TD!$B$50:$F$54,4,0)," ")</f>
        <v>20240255</v>
      </c>
      <c r="X398" s="162">
        <v>16</v>
      </c>
      <c r="Y398" s="163" t="str">
        <f>IFERROR(VLOOKUP(X398,TD!$J$51:$K$64,2,0)," ")</f>
        <v>Servicio de monitoreo y seguimiento para la gestión del riesgo</v>
      </c>
      <c r="Z398" s="164" t="str">
        <f>CONCATENATE(X398,"-",Y398)</f>
        <v>16-Servicio de monitoreo y seguimiento para la gestión del riesgo</v>
      </c>
      <c r="AA398" s="162" t="s">
        <v>224</v>
      </c>
      <c r="AB398" s="163" t="str">
        <f>IFERROR(VLOOKUP(AA398,TD!$N$51:$O$66,2,0)," ")</f>
        <v>Servicio de monitoreo y seguimiento para la gestión del riesgo</v>
      </c>
      <c r="AC398" s="164" t="str">
        <f>CONCATENATE(AA398,"_",AB398)</f>
        <v>018_Servicio de monitoreo y seguimiento para la gestión del riesgo</v>
      </c>
      <c r="AD398" s="164" t="str">
        <f>CONCATENATE(Z398," ",AC398)</f>
        <v>16-Servicio de monitoreo y seguimiento para la gestión del riesgo 018_Servicio de monitoreo y seguimiento para la gestión del riesgo</v>
      </c>
      <c r="AE398" s="163" t="str">
        <f>CONCATENATE(U398,V398,W398,X398,AA398)</f>
        <v>O23011745032024025516018</v>
      </c>
      <c r="AF398" s="163" t="str">
        <f>IFERROR(VLOOKUP(AD398,TD!$J$66:$K$89,2,0)," ")</f>
        <v>PM/0131/0116/45030180255</v>
      </c>
      <c r="AG398" s="118" t="s">
        <v>385</v>
      </c>
      <c r="AH398" s="162" t="s">
        <v>193</v>
      </c>
      <c r="AI398" s="165" t="str">
        <f>CONCATENATE(PAA[[#This Row],[Id Interno]],"-",PAA[[#This Row],[tipo de Contrato (TH talento humano - B/S bienes y/o servicios)]],"-",S398,"-",T398,"-",PAA[[#This Row],[Objeto de la contratación]])</f>
        <v>20260381-TH-8173-6-Prestar servicios profesionales en las actividades de monitoreo del riesgo para la Subdirección de Gestión del Riesgo._SGR</v>
      </c>
    </row>
    <row r="399" spans="2:35" ht="42" x14ac:dyDescent="0.35">
      <c r="B399" s="23">
        <v>20260382</v>
      </c>
      <c r="C399" s="99" t="s">
        <v>555</v>
      </c>
      <c r="D399" s="23" t="s">
        <v>105</v>
      </c>
      <c r="E399" s="23" t="s">
        <v>363</v>
      </c>
      <c r="F399" s="159" t="s">
        <v>145</v>
      </c>
      <c r="G399" s="160" t="s">
        <v>373</v>
      </c>
      <c r="H399" s="161">
        <v>10</v>
      </c>
      <c r="I399" s="161">
        <v>0</v>
      </c>
      <c r="J399" s="127">
        <v>40000000</v>
      </c>
      <c r="K399" s="88" t="s">
        <v>398</v>
      </c>
      <c r="L399" s="159" t="s">
        <v>156</v>
      </c>
      <c r="M399" s="162" t="s">
        <v>502</v>
      </c>
      <c r="N399" s="23" t="s">
        <v>198</v>
      </c>
      <c r="O399" s="151" t="s">
        <v>946</v>
      </c>
      <c r="P399" s="159" t="s">
        <v>348</v>
      </c>
      <c r="Q399" s="100">
        <v>80111600</v>
      </c>
      <c r="R399" s="162" t="s">
        <v>215</v>
      </c>
      <c r="S399" s="162" t="str">
        <f>MID(PAA[[#This Row],[Meta Proyecto de Inversión]],1,4)</f>
        <v>8173</v>
      </c>
      <c r="T399" s="162" t="str">
        <f>MID(PAA[[#This Row],[Meta Proyecto de Inversión]],6,1)</f>
        <v>6</v>
      </c>
      <c r="U399" s="163" t="str">
        <f>IFERROR(VLOOKUP(N399,TD!$B$50:$F$54,2,0)," ")</f>
        <v>O230117</v>
      </c>
      <c r="V399" s="163" t="str">
        <f>IFERROR(VLOOKUP(N399,TD!$B$50:$F$54,3,0)," ")</f>
        <v>4503</v>
      </c>
      <c r="W399" s="163">
        <f>IFERROR(VLOOKUP(N399,TD!$B$50:$F$54,4,0)," ")</f>
        <v>20240255</v>
      </c>
      <c r="X399" s="162">
        <v>16</v>
      </c>
      <c r="Y399" s="163" t="str">
        <f>IFERROR(VLOOKUP(X399,TD!$J$51:$K$64,2,0)," ")</f>
        <v>Servicio de monitoreo y seguimiento para la gestión del riesgo</v>
      </c>
      <c r="Z399" s="164" t="str">
        <f>CONCATENATE(X399,"-",Y399)</f>
        <v>16-Servicio de monitoreo y seguimiento para la gestión del riesgo</v>
      </c>
      <c r="AA399" s="162" t="s">
        <v>224</v>
      </c>
      <c r="AB399" s="163" t="str">
        <f>IFERROR(VLOOKUP(AA399,TD!$N$51:$O$66,2,0)," ")</f>
        <v>Servicio de monitoreo y seguimiento para la gestión del riesgo</v>
      </c>
      <c r="AC399" s="164" t="str">
        <f>CONCATENATE(AA399,"_",AB399)</f>
        <v>018_Servicio de monitoreo y seguimiento para la gestión del riesgo</v>
      </c>
      <c r="AD399" s="164" t="str">
        <f>CONCATENATE(Z399," ",AC399)</f>
        <v>16-Servicio de monitoreo y seguimiento para la gestión del riesgo 018_Servicio de monitoreo y seguimiento para la gestión del riesgo</v>
      </c>
      <c r="AE399" s="163" t="str">
        <f>CONCATENATE(U399,V399,W399,X399,AA399)</f>
        <v>O23011745032024025516018</v>
      </c>
      <c r="AF399" s="163" t="str">
        <f>IFERROR(VLOOKUP(AD399,TD!$J$66:$K$89,2,0)," ")</f>
        <v>PM/0131/0116/45030180255</v>
      </c>
      <c r="AG399" s="118" t="s">
        <v>385</v>
      </c>
      <c r="AH399" s="162" t="s">
        <v>193</v>
      </c>
      <c r="AI399" s="165" t="str">
        <f>CONCATENATE(PAA[[#This Row],[Id Interno]],"-",PAA[[#This Row],[tipo de Contrato (TH talento humano - B/S bienes y/o servicios)]],"-",S399,"-",T399,"-",PAA[[#This Row],[Objeto de la contratación]])</f>
        <v>20260382-TH-8173-6-Prestar servicios  de apoyo en las actividades de monitoreo del riesgo para la Subdirección de Gestión del Riesgo._SGR</v>
      </c>
    </row>
    <row r="400" spans="2:35" ht="56" x14ac:dyDescent="0.35">
      <c r="B400" s="23">
        <v>20260383</v>
      </c>
      <c r="C400" s="99" t="s">
        <v>556</v>
      </c>
      <c r="D400" s="23" t="s">
        <v>105</v>
      </c>
      <c r="E400" s="23" t="s">
        <v>363</v>
      </c>
      <c r="F400" s="159" t="s">
        <v>144</v>
      </c>
      <c r="G400" s="160" t="s">
        <v>373</v>
      </c>
      <c r="H400" s="161">
        <v>8</v>
      </c>
      <c r="I400" s="161">
        <v>0</v>
      </c>
      <c r="J400" s="127">
        <v>72800000</v>
      </c>
      <c r="K400" s="88" t="s">
        <v>398</v>
      </c>
      <c r="L400" s="159" t="s">
        <v>156</v>
      </c>
      <c r="M400" s="162" t="s">
        <v>502</v>
      </c>
      <c r="N400" s="23" t="s">
        <v>198</v>
      </c>
      <c r="O400" s="151" t="s">
        <v>946</v>
      </c>
      <c r="P400" s="159" t="s">
        <v>348</v>
      </c>
      <c r="Q400" s="100">
        <v>80111600</v>
      </c>
      <c r="R400" s="162" t="s">
        <v>214</v>
      </c>
      <c r="S400" s="162" t="str">
        <f>MID(PAA[[#This Row],[Meta Proyecto de Inversión]],1,4)</f>
        <v>8173</v>
      </c>
      <c r="T400" s="162" t="str">
        <f>MID(PAA[[#This Row],[Meta Proyecto de Inversión]],6,1)</f>
        <v>5</v>
      </c>
      <c r="U400" s="163" t="str">
        <f>IFERROR(VLOOKUP(N400,TD!$B$50:$F$54,2,0)," ")</f>
        <v>O230117</v>
      </c>
      <c r="V400" s="163" t="str">
        <f>IFERROR(VLOOKUP(N400,TD!$B$50:$F$54,3,0)," ")</f>
        <v>4503</v>
      </c>
      <c r="W400" s="163">
        <f>IFERROR(VLOOKUP(N400,TD!$B$50:$F$54,4,0)," ")</f>
        <v>20240255</v>
      </c>
      <c r="X400" s="162">
        <v>16</v>
      </c>
      <c r="Y400" s="163" t="str">
        <f>IFERROR(VLOOKUP(X400,TD!$J$51:$K$64,2,0)," ")</f>
        <v>Servicio de monitoreo y seguimiento para la gestión del riesgo</v>
      </c>
      <c r="Z400" s="164" t="str">
        <f>CONCATENATE(X400,"-",Y400)</f>
        <v>16-Servicio de monitoreo y seguimiento para la gestión del riesgo</v>
      </c>
      <c r="AA400" s="162" t="s">
        <v>224</v>
      </c>
      <c r="AB400" s="163" t="str">
        <f>IFERROR(VLOOKUP(AA400,TD!$N$51:$O$66,2,0)," ")</f>
        <v>Servicio de monitoreo y seguimiento para la gestión del riesgo</v>
      </c>
      <c r="AC400" s="164" t="str">
        <f>CONCATENATE(AA400,"_",AB400)</f>
        <v>018_Servicio de monitoreo y seguimiento para la gestión del riesgo</v>
      </c>
      <c r="AD400" s="164" t="str">
        <f>CONCATENATE(Z400," ",AC400)</f>
        <v>16-Servicio de monitoreo y seguimiento para la gestión del riesgo 018_Servicio de monitoreo y seguimiento para la gestión del riesgo</v>
      </c>
      <c r="AE400" s="163" t="str">
        <f>CONCATENATE(U400,V400,W400,X400,AA400)</f>
        <v>O23011745032024025516018</v>
      </c>
      <c r="AF400" s="163" t="str">
        <f>IFERROR(VLOOKUP(AD400,TD!$J$66:$K$89,2,0)," ")</f>
        <v>PM/0131/0116/45030180255</v>
      </c>
      <c r="AG400" s="118" t="s">
        <v>385</v>
      </c>
      <c r="AH400" s="162" t="s">
        <v>193</v>
      </c>
      <c r="AI400" s="165" t="str">
        <f>CONCATENATE(PAA[[#This Row],[Id Interno]],"-",PAA[[#This Row],[tipo de Contrato (TH talento humano - B/S bienes y/o servicios)]],"-",S400,"-",T400,"-",PAA[[#This Row],[Objeto de la contratación]])</f>
        <v>20260383-TH-8173-5-Prestar  servicios profesionales  liderando las actividades de proyeccion e innovacion para la Subdirección de Gestión del Riesgo._SGR</v>
      </c>
    </row>
    <row r="401" spans="2:35" ht="56" x14ac:dyDescent="0.35">
      <c r="B401" s="23">
        <v>20260384</v>
      </c>
      <c r="C401" s="99" t="s">
        <v>557</v>
      </c>
      <c r="D401" s="23" t="s">
        <v>105</v>
      </c>
      <c r="E401" s="23" t="s">
        <v>363</v>
      </c>
      <c r="F401" s="159" t="s">
        <v>144</v>
      </c>
      <c r="G401" s="160" t="s">
        <v>373</v>
      </c>
      <c r="H401" s="161">
        <v>10</v>
      </c>
      <c r="I401" s="161">
        <v>0</v>
      </c>
      <c r="J401" s="127">
        <v>80000000</v>
      </c>
      <c r="K401" s="88" t="s">
        <v>398</v>
      </c>
      <c r="L401" s="159" t="s">
        <v>156</v>
      </c>
      <c r="M401" s="162" t="s">
        <v>502</v>
      </c>
      <c r="N401" s="23" t="s">
        <v>198</v>
      </c>
      <c r="O401" s="151" t="s">
        <v>946</v>
      </c>
      <c r="P401" s="159" t="s">
        <v>348</v>
      </c>
      <c r="Q401" s="100">
        <v>80111600</v>
      </c>
      <c r="R401" s="162" t="s">
        <v>214</v>
      </c>
      <c r="S401" s="162" t="str">
        <f>MID(PAA[[#This Row],[Meta Proyecto de Inversión]],1,4)</f>
        <v>8173</v>
      </c>
      <c r="T401" s="162" t="str">
        <f>MID(PAA[[#This Row],[Meta Proyecto de Inversión]],6,1)</f>
        <v>5</v>
      </c>
      <c r="U401" s="163" t="str">
        <f>IFERROR(VLOOKUP(N401,TD!$B$50:$F$54,2,0)," ")</f>
        <v>O230117</v>
      </c>
      <c r="V401" s="163" t="str">
        <f>IFERROR(VLOOKUP(N401,TD!$B$50:$F$54,3,0)," ")</f>
        <v>4503</v>
      </c>
      <c r="W401" s="163">
        <f>IFERROR(VLOOKUP(N401,TD!$B$50:$F$54,4,0)," ")</f>
        <v>20240255</v>
      </c>
      <c r="X401" s="162">
        <v>16</v>
      </c>
      <c r="Y401" s="163" t="str">
        <f>IFERROR(VLOOKUP(X401,TD!$J$51:$K$64,2,0)," ")</f>
        <v>Servicio de monitoreo y seguimiento para la gestión del riesgo</v>
      </c>
      <c r="Z401" s="164" t="str">
        <f>CONCATENATE(X401,"-",Y401)</f>
        <v>16-Servicio de monitoreo y seguimiento para la gestión del riesgo</v>
      </c>
      <c r="AA401" s="162" t="s">
        <v>224</v>
      </c>
      <c r="AB401" s="163" t="str">
        <f>IFERROR(VLOOKUP(AA401,TD!$N$51:$O$66,2,0)," ")</f>
        <v>Servicio de monitoreo y seguimiento para la gestión del riesgo</v>
      </c>
      <c r="AC401" s="164" t="str">
        <f>CONCATENATE(AA401,"_",AB401)</f>
        <v>018_Servicio de monitoreo y seguimiento para la gestión del riesgo</v>
      </c>
      <c r="AD401" s="164" t="str">
        <f>CONCATENATE(Z401," ",AC401)</f>
        <v>16-Servicio de monitoreo y seguimiento para la gestión del riesgo 018_Servicio de monitoreo y seguimiento para la gestión del riesgo</v>
      </c>
      <c r="AE401" s="163" t="str">
        <f>CONCATENATE(U401,V401,W401,X401,AA401)</f>
        <v>O23011745032024025516018</v>
      </c>
      <c r="AF401" s="163" t="str">
        <f>IFERROR(VLOOKUP(AD401,TD!$J$66:$K$89,2,0)," ")</f>
        <v>PM/0131/0116/45030180255</v>
      </c>
      <c r="AG401" s="118" t="s">
        <v>385</v>
      </c>
      <c r="AH401" s="162" t="s">
        <v>193</v>
      </c>
      <c r="AI401" s="165" t="str">
        <f>CONCATENATE(PAA[[#This Row],[Id Interno]],"-",PAA[[#This Row],[tipo de Contrato (TH talento humano - B/S bienes y/o servicios)]],"-",S401,"-",T401,"-",PAA[[#This Row],[Objeto de la contratación]])</f>
        <v>20260384-TH-8173-5-Prestar  servicios profesionales  en las actividades de proyeccion e innovacion para la Subdirección de Gestión del Riesgo._SGR</v>
      </c>
    </row>
    <row r="402" spans="2:35" ht="56" x14ac:dyDescent="0.35">
      <c r="B402" s="23">
        <v>20260385</v>
      </c>
      <c r="C402" s="99" t="s">
        <v>557</v>
      </c>
      <c r="D402" s="23" t="s">
        <v>105</v>
      </c>
      <c r="E402" s="23" t="s">
        <v>363</v>
      </c>
      <c r="F402" s="159" t="s">
        <v>144</v>
      </c>
      <c r="G402" s="160" t="s">
        <v>373</v>
      </c>
      <c r="H402" s="161">
        <v>8</v>
      </c>
      <c r="I402" s="161">
        <v>0</v>
      </c>
      <c r="J402" s="127">
        <v>48000000</v>
      </c>
      <c r="K402" s="88" t="s">
        <v>398</v>
      </c>
      <c r="L402" s="159" t="s">
        <v>156</v>
      </c>
      <c r="M402" s="162" t="s">
        <v>502</v>
      </c>
      <c r="N402" s="23" t="s">
        <v>198</v>
      </c>
      <c r="O402" s="151" t="s">
        <v>946</v>
      </c>
      <c r="P402" s="159" t="s">
        <v>348</v>
      </c>
      <c r="Q402" s="100">
        <v>80111600</v>
      </c>
      <c r="R402" s="162" t="s">
        <v>214</v>
      </c>
      <c r="S402" s="162" t="str">
        <f>MID(PAA[[#This Row],[Meta Proyecto de Inversión]],1,4)</f>
        <v>8173</v>
      </c>
      <c r="T402" s="162" t="str">
        <f>MID(PAA[[#This Row],[Meta Proyecto de Inversión]],6,1)</f>
        <v>5</v>
      </c>
      <c r="U402" s="163" t="str">
        <f>IFERROR(VLOOKUP(N402,TD!$B$50:$F$54,2,0)," ")</f>
        <v>O230117</v>
      </c>
      <c r="V402" s="163" t="str">
        <f>IFERROR(VLOOKUP(N402,TD!$B$50:$F$54,3,0)," ")</f>
        <v>4503</v>
      </c>
      <c r="W402" s="163">
        <f>IFERROR(VLOOKUP(N402,TD!$B$50:$F$54,4,0)," ")</f>
        <v>20240255</v>
      </c>
      <c r="X402" s="162">
        <v>16</v>
      </c>
      <c r="Y402" s="163" t="str">
        <f>IFERROR(VLOOKUP(X402,TD!$J$51:$K$64,2,0)," ")</f>
        <v>Servicio de monitoreo y seguimiento para la gestión del riesgo</v>
      </c>
      <c r="Z402" s="164" t="str">
        <f>CONCATENATE(X402,"-",Y402)</f>
        <v>16-Servicio de monitoreo y seguimiento para la gestión del riesgo</v>
      </c>
      <c r="AA402" s="162" t="s">
        <v>224</v>
      </c>
      <c r="AB402" s="163" t="str">
        <f>IFERROR(VLOOKUP(AA402,TD!$N$51:$O$66,2,0)," ")</f>
        <v>Servicio de monitoreo y seguimiento para la gestión del riesgo</v>
      </c>
      <c r="AC402" s="164" t="str">
        <f>CONCATENATE(AA402,"_",AB402)</f>
        <v>018_Servicio de monitoreo y seguimiento para la gestión del riesgo</v>
      </c>
      <c r="AD402" s="164" t="str">
        <f>CONCATENATE(Z402," ",AC402)</f>
        <v>16-Servicio de monitoreo y seguimiento para la gestión del riesgo 018_Servicio de monitoreo y seguimiento para la gestión del riesgo</v>
      </c>
      <c r="AE402" s="163" t="str">
        <f>CONCATENATE(U402,V402,W402,X402,AA402)</f>
        <v>O23011745032024025516018</v>
      </c>
      <c r="AF402" s="163" t="str">
        <f>IFERROR(VLOOKUP(AD402,TD!$J$66:$K$89,2,0)," ")</f>
        <v>PM/0131/0116/45030180255</v>
      </c>
      <c r="AG402" s="118" t="s">
        <v>385</v>
      </c>
      <c r="AH402" s="162" t="s">
        <v>193</v>
      </c>
      <c r="AI402" s="165" t="str">
        <f>CONCATENATE(PAA[[#This Row],[Id Interno]],"-",PAA[[#This Row],[tipo de Contrato (TH talento humano - B/S bienes y/o servicios)]],"-",S402,"-",T402,"-",PAA[[#This Row],[Objeto de la contratación]])</f>
        <v>20260385-TH-8173-5-Prestar  servicios profesionales  en las actividades de proyeccion e innovacion para la Subdirección de Gestión del Riesgo._SGR</v>
      </c>
    </row>
    <row r="403" spans="2:35" ht="56" x14ac:dyDescent="0.35">
      <c r="B403" s="23">
        <v>20260386</v>
      </c>
      <c r="C403" s="99" t="s">
        <v>557</v>
      </c>
      <c r="D403" s="23" t="s">
        <v>105</v>
      </c>
      <c r="E403" s="23" t="s">
        <v>363</v>
      </c>
      <c r="F403" s="159" t="s">
        <v>144</v>
      </c>
      <c r="G403" s="160" t="s">
        <v>373</v>
      </c>
      <c r="H403" s="161">
        <v>6</v>
      </c>
      <c r="I403" s="161">
        <v>0</v>
      </c>
      <c r="J403" s="127">
        <v>54000000</v>
      </c>
      <c r="K403" s="88" t="s">
        <v>398</v>
      </c>
      <c r="L403" s="159" t="s">
        <v>156</v>
      </c>
      <c r="M403" s="162" t="s">
        <v>502</v>
      </c>
      <c r="N403" s="23" t="s">
        <v>198</v>
      </c>
      <c r="O403" s="151" t="s">
        <v>946</v>
      </c>
      <c r="P403" s="159" t="s">
        <v>348</v>
      </c>
      <c r="Q403" s="100">
        <v>80111600</v>
      </c>
      <c r="R403" s="162" t="s">
        <v>214</v>
      </c>
      <c r="S403" s="162" t="str">
        <f>MID(PAA[[#This Row],[Meta Proyecto de Inversión]],1,4)</f>
        <v>8173</v>
      </c>
      <c r="T403" s="162" t="str">
        <f>MID(PAA[[#This Row],[Meta Proyecto de Inversión]],6,1)</f>
        <v>5</v>
      </c>
      <c r="U403" s="163" t="str">
        <f>IFERROR(VLOOKUP(N403,TD!$B$50:$F$54,2,0)," ")</f>
        <v>O230117</v>
      </c>
      <c r="V403" s="163" t="str">
        <f>IFERROR(VLOOKUP(N403,TD!$B$50:$F$54,3,0)," ")</f>
        <v>4503</v>
      </c>
      <c r="W403" s="163">
        <f>IFERROR(VLOOKUP(N403,TD!$B$50:$F$54,4,0)," ")</f>
        <v>20240255</v>
      </c>
      <c r="X403" s="162">
        <v>16</v>
      </c>
      <c r="Y403" s="163" t="str">
        <f>IFERROR(VLOOKUP(X403,TD!$J$51:$K$64,2,0)," ")</f>
        <v>Servicio de monitoreo y seguimiento para la gestión del riesgo</v>
      </c>
      <c r="Z403" s="164" t="str">
        <f>CONCATENATE(X403,"-",Y403)</f>
        <v>16-Servicio de monitoreo y seguimiento para la gestión del riesgo</v>
      </c>
      <c r="AA403" s="162" t="s">
        <v>224</v>
      </c>
      <c r="AB403" s="163" t="str">
        <f>IFERROR(VLOOKUP(AA403,TD!$N$51:$O$66,2,0)," ")</f>
        <v>Servicio de monitoreo y seguimiento para la gestión del riesgo</v>
      </c>
      <c r="AC403" s="164" t="str">
        <f>CONCATENATE(AA403,"_",AB403)</f>
        <v>018_Servicio de monitoreo y seguimiento para la gestión del riesgo</v>
      </c>
      <c r="AD403" s="164" t="str">
        <f>CONCATENATE(Z403," ",AC403)</f>
        <v>16-Servicio de monitoreo y seguimiento para la gestión del riesgo 018_Servicio de monitoreo y seguimiento para la gestión del riesgo</v>
      </c>
      <c r="AE403" s="163" t="str">
        <f>CONCATENATE(U403,V403,W403,X403,AA403)</f>
        <v>O23011745032024025516018</v>
      </c>
      <c r="AF403" s="163" t="str">
        <f>IFERROR(VLOOKUP(AD403,TD!$J$66:$K$89,2,0)," ")</f>
        <v>PM/0131/0116/45030180255</v>
      </c>
      <c r="AG403" s="118" t="s">
        <v>385</v>
      </c>
      <c r="AH403" s="162" t="s">
        <v>193</v>
      </c>
      <c r="AI403" s="165" t="str">
        <f>CONCATENATE(PAA[[#This Row],[Id Interno]],"-",PAA[[#This Row],[tipo de Contrato (TH talento humano - B/S bienes y/o servicios)]],"-",S403,"-",T403,"-",PAA[[#This Row],[Objeto de la contratación]])</f>
        <v>20260386-TH-8173-5-Prestar  servicios profesionales  en las actividades de proyeccion e innovacion para la Subdirección de Gestión del Riesgo._SGR</v>
      </c>
    </row>
    <row r="404" spans="2:35" ht="56" x14ac:dyDescent="0.35">
      <c r="B404" s="23">
        <v>20260387</v>
      </c>
      <c r="C404" s="99" t="s">
        <v>486</v>
      </c>
      <c r="D404" s="23" t="s">
        <v>78</v>
      </c>
      <c r="E404" s="23" t="s">
        <v>402</v>
      </c>
      <c r="F404" s="159" t="s">
        <v>124</v>
      </c>
      <c r="G404" s="160" t="s">
        <v>969</v>
      </c>
      <c r="H404" s="161">
        <v>8</v>
      </c>
      <c r="I404" s="161">
        <v>0</v>
      </c>
      <c r="J404" s="127">
        <v>817611040</v>
      </c>
      <c r="K404" s="88" t="s">
        <v>398</v>
      </c>
      <c r="L404" s="159" t="s">
        <v>156</v>
      </c>
      <c r="M404" s="162" t="s">
        <v>502</v>
      </c>
      <c r="N404" s="23" t="s">
        <v>198</v>
      </c>
      <c r="O404" s="151" t="s">
        <v>946</v>
      </c>
      <c r="P404" s="159" t="s">
        <v>348</v>
      </c>
      <c r="Q404" s="100" t="s">
        <v>528</v>
      </c>
      <c r="R404" s="162" t="s">
        <v>210</v>
      </c>
      <c r="S404" s="162" t="str">
        <f>MID(PAA[[#This Row],[Meta Proyecto de Inversión]],1,4)</f>
        <v>8173</v>
      </c>
      <c r="T404" s="162" t="str">
        <f>MID(PAA[[#This Row],[Meta Proyecto de Inversión]],6,1)</f>
        <v>1</v>
      </c>
      <c r="U404" s="163" t="str">
        <f>IFERROR(VLOOKUP(N404,TD!$B$50:$F$54,2,0)," ")</f>
        <v>O230117</v>
      </c>
      <c r="V404" s="163" t="str">
        <f>IFERROR(VLOOKUP(N404,TD!$B$50:$F$54,3,0)," ")</f>
        <v>4503</v>
      </c>
      <c r="W404" s="163">
        <f>IFERROR(VLOOKUP(N404,TD!$B$50:$F$54,4,0)," ")</f>
        <v>20240255</v>
      </c>
      <c r="X404" s="162" t="s">
        <v>166</v>
      </c>
      <c r="Y404" s="163" t="str">
        <f>IFERROR(VLOOKUP(X404,TD!$J$51:$K$64,2,0)," ")</f>
        <v>Servicio de capacitaciones en gestión del riesgo de incendios  a la ciudadania.</v>
      </c>
      <c r="Z404" s="164" t="str">
        <f>CONCATENATE(X404,"-",Y404)</f>
        <v>05-Servicio de capacitaciones en gestión del riesgo de incendios  a la ciudadania.</v>
      </c>
      <c r="AA404" s="162" t="s">
        <v>223</v>
      </c>
      <c r="AB404" s="163" t="str">
        <f>IFERROR(VLOOKUP(AA404,TD!$N$51:$O$66,2,0)," ")</f>
        <v>Servicio prevención y control de incendios</v>
      </c>
      <c r="AC404" s="164" t="str">
        <f>CONCATENATE(AA404,"_",AB404)</f>
        <v>035_Servicio prevención y control de incendios</v>
      </c>
      <c r="AD404" s="164" t="str">
        <f>CONCATENATE(Z404," ",AC404)</f>
        <v>05-Servicio de capacitaciones en gestión del riesgo de incendios  a la ciudadania. 035_Servicio prevención y control de incendios</v>
      </c>
      <c r="AE404" s="163" t="str">
        <f>CONCATENATE(U404,V404,W404,X404,AA404)</f>
        <v>O23011745032024025505035</v>
      </c>
      <c r="AF404" s="163" t="str">
        <f>IFERROR(VLOOKUP(AD404,TD!$J$66:$K$89,2,0)," ")</f>
        <v>PM/0131/0105/45030350255</v>
      </c>
      <c r="AG404" s="118" t="s">
        <v>559</v>
      </c>
      <c r="AH404" s="162" t="s">
        <v>193</v>
      </c>
      <c r="AI404" s="165" t="str">
        <f>CONCATENATE(PAA[[#This Row],[Id Interno]],"-",PAA[[#This Row],[tipo de Contrato (TH talento humano - B/S bienes y/o servicios)]],"-",S404,"-",T404,"-",PAA[[#This Row],[Objeto de la contratación]])</f>
        <v>20260387-BS-8173-1-Contratar los servicios de recolección, manipulación, almacenamiento temporal, transporte y disposición final (destrucción o devolución) de pólvora, fuegos artificiales, globos y demás artículos pirotécnicos incautados por las autoridades competentes en el Distrito Capital_SGR.</v>
      </c>
    </row>
    <row r="405" spans="2:35" ht="56" x14ac:dyDescent="0.35">
      <c r="B405" s="23">
        <v>20260388</v>
      </c>
      <c r="C405" s="99" t="s">
        <v>529</v>
      </c>
      <c r="D405" s="23" t="s">
        <v>101</v>
      </c>
      <c r="E405" s="23" t="s">
        <v>402</v>
      </c>
      <c r="F405" s="159" t="s">
        <v>101</v>
      </c>
      <c r="G405" s="160" t="s">
        <v>375</v>
      </c>
      <c r="H405" s="161">
        <v>3</v>
      </c>
      <c r="I405" s="161">
        <v>0</v>
      </c>
      <c r="J405" s="127">
        <v>50000000</v>
      </c>
      <c r="K405" s="88" t="s">
        <v>398</v>
      </c>
      <c r="L405" s="159" t="s">
        <v>156</v>
      </c>
      <c r="M405" s="162" t="s">
        <v>502</v>
      </c>
      <c r="N405" s="23" t="s">
        <v>198</v>
      </c>
      <c r="O405" s="151" t="s">
        <v>946</v>
      </c>
      <c r="P405" s="159" t="s">
        <v>348</v>
      </c>
      <c r="Q405" s="100" t="s">
        <v>530</v>
      </c>
      <c r="R405" s="162" t="s">
        <v>210</v>
      </c>
      <c r="S405" s="162" t="str">
        <f>MID(PAA[[#This Row],[Meta Proyecto de Inversión]],1,4)</f>
        <v>8173</v>
      </c>
      <c r="T405" s="162" t="str">
        <f>MID(PAA[[#This Row],[Meta Proyecto de Inversión]],6,1)</f>
        <v>1</v>
      </c>
      <c r="U405" s="163" t="str">
        <f>IFERROR(VLOOKUP(N405,TD!$B$50:$F$54,2,0)," ")</f>
        <v>O230117</v>
      </c>
      <c r="V405" s="163" t="str">
        <f>IFERROR(VLOOKUP(N405,TD!$B$50:$F$54,3,0)," ")</f>
        <v>4503</v>
      </c>
      <c r="W405" s="163">
        <f>IFERROR(VLOOKUP(N405,TD!$B$50:$F$54,4,0)," ")</f>
        <v>20240255</v>
      </c>
      <c r="X405" s="162" t="s">
        <v>166</v>
      </c>
      <c r="Y405" s="163" t="str">
        <f>IFERROR(VLOOKUP(X405,TD!$J$51:$K$64,2,0)," ")</f>
        <v>Servicio de capacitaciones en gestión del riesgo de incendios  a la ciudadania.</v>
      </c>
      <c r="Z405" s="164" t="str">
        <f>CONCATENATE(X405,"-",Y405)</f>
        <v>05-Servicio de capacitaciones en gestión del riesgo de incendios  a la ciudadania.</v>
      </c>
      <c r="AA405" s="162" t="s">
        <v>223</v>
      </c>
      <c r="AB405" s="163" t="str">
        <f>IFERROR(VLOOKUP(AA405,TD!$N$51:$O$66,2,0)," ")</f>
        <v>Servicio prevención y control de incendios</v>
      </c>
      <c r="AC405" s="164" t="str">
        <f>CONCATENATE(AA405,"_",AB405)</f>
        <v>035_Servicio prevención y control de incendios</v>
      </c>
      <c r="AD405" s="164" t="str">
        <f>CONCATENATE(Z405," ",AC405)</f>
        <v>05-Servicio de capacitaciones en gestión del riesgo de incendios  a la ciudadania. 035_Servicio prevención y control de incendios</v>
      </c>
      <c r="AE405" s="163" t="str">
        <f>CONCATENATE(U405,V405,W405,X405,AA405)</f>
        <v>O23011745032024025505035</v>
      </c>
      <c r="AF405" s="163" t="str">
        <f>IFERROR(VLOOKUP(AD405,TD!$J$66:$K$89,2,0)," ")</f>
        <v>PM/0131/0105/45030350255</v>
      </c>
      <c r="AG405" s="118" t="s">
        <v>558</v>
      </c>
      <c r="AH405" s="162" t="s">
        <v>193</v>
      </c>
      <c r="AI405" s="165" t="str">
        <f>CONCATENATE(PAA[[#This Row],[Id Interno]],"-",PAA[[#This Row],[tipo de Contrato (TH talento humano - B/S bienes y/o servicios)]],"-",S405,"-",T405,"-",PAA[[#This Row],[Objeto de la contratación]])</f>
        <v>20260388-BS-8173-1-Adquisición de suministros y elementos de identificación institucional para el fortalecimiento de los procesos misionales de la Subdirección de Gestión del Riesgo_SGR</v>
      </c>
    </row>
    <row r="406" spans="2:35" ht="56" x14ac:dyDescent="0.35">
      <c r="B406" s="23">
        <v>20260389</v>
      </c>
      <c r="C406" s="99" t="s">
        <v>991</v>
      </c>
      <c r="D406" s="23" t="s">
        <v>101</v>
      </c>
      <c r="E406" s="23" t="s">
        <v>402</v>
      </c>
      <c r="F406" s="159" t="s">
        <v>101</v>
      </c>
      <c r="G406" s="160" t="s">
        <v>375</v>
      </c>
      <c r="H406" s="161">
        <v>3</v>
      </c>
      <c r="I406" s="161">
        <v>0</v>
      </c>
      <c r="J406" s="127">
        <v>50000000</v>
      </c>
      <c r="K406" s="88" t="s">
        <v>398</v>
      </c>
      <c r="L406" s="159" t="s">
        <v>156</v>
      </c>
      <c r="M406" s="162" t="s">
        <v>502</v>
      </c>
      <c r="N406" s="23" t="s">
        <v>198</v>
      </c>
      <c r="O406" s="151" t="s">
        <v>946</v>
      </c>
      <c r="P406" s="159" t="s">
        <v>348</v>
      </c>
      <c r="Q406" s="100" t="s">
        <v>531</v>
      </c>
      <c r="R406" s="162" t="s">
        <v>210</v>
      </c>
      <c r="S406" s="162" t="str">
        <f>MID(PAA[[#This Row],[Meta Proyecto de Inversión]],1,4)</f>
        <v>8173</v>
      </c>
      <c r="T406" s="162" t="str">
        <f>MID(PAA[[#This Row],[Meta Proyecto de Inversión]],6,1)</f>
        <v>1</v>
      </c>
      <c r="U406" s="163" t="str">
        <f>IFERROR(VLOOKUP(N406,TD!$B$50:$F$54,2,0)," ")</f>
        <v>O230117</v>
      </c>
      <c r="V406" s="163" t="str">
        <f>IFERROR(VLOOKUP(N406,TD!$B$50:$F$54,3,0)," ")</f>
        <v>4503</v>
      </c>
      <c r="W406" s="163">
        <f>IFERROR(VLOOKUP(N406,TD!$B$50:$F$54,4,0)," ")</f>
        <v>20240255</v>
      </c>
      <c r="X406" s="162" t="s">
        <v>166</v>
      </c>
      <c r="Y406" s="163" t="str">
        <f>IFERROR(VLOOKUP(X406,TD!$J$51:$K$64,2,0)," ")</f>
        <v>Servicio de capacitaciones en gestión del riesgo de incendios  a la ciudadania.</v>
      </c>
      <c r="Z406" s="164" t="str">
        <f>CONCATENATE(X406,"-",Y406)</f>
        <v>05-Servicio de capacitaciones en gestión del riesgo de incendios  a la ciudadania.</v>
      </c>
      <c r="AA406" s="162" t="s">
        <v>223</v>
      </c>
      <c r="AB406" s="163" t="str">
        <f>IFERROR(VLOOKUP(AA406,TD!$N$51:$O$66,2,0)," ")</f>
        <v>Servicio prevención y control de incendios</v>
      </c>
      <c r="AC406" s="164" t="str">
        <f>CONCATENATE(AA406,"_",AB406)</f>
        <v>035_Servicio prevención y control de incendios</v>
      </c>
      <c r="AD406" s="164" t="str">
        <f>CONCATENATE(Z406," ",AC406)</f>
        <v>05-Servicio de capacitaciones en gestión del riesgo de incendios  a la ciudadania. 035_Servicio prevención y control de incendios</v>
      </c>
      <c r="AE406" s="163" t="str">
        <f>CONCATENATE(U406,V406,W406,X406,AA406)</f>
        <v>O23011745032024025505035</v>
      </c>
      <c r="AF406" s="163" t="str">
        <f>IFERROR(VLOOKUP(AD406,TD!$J$66:$K$89,2,0)," ")</f>
        <v>PM/0131/0105/45030350255</v>
      </c>
      <c r="AG406" s="118" t="s">
        <v>920</v>
      </c>
      <c r="AH406" s="162" t="s">
        <v>193</v>
      </c>
      <c r="AI406" s="165" t="str">
        <f>CONCATENATE(PAA[[#This Row],[Id Interno]],"-",PAA[[#This Row],[tipo de Contrato (TH talento humano - B/S bienes y/o servicios)]],"-",S406,"-",T406,"-",PAA[[#This Row],[Objeto de la contratación]])</f>
        <v>20260389-BS-8173-1-Adquisición de materiales y elementos especializados para el desarrollo de actividades de reduccion del riesgo adelantados por la Subdirección de Gestión del Riesgo_SGR</v>
      </c>
    </row>
    <row r="407" spans="2:35" ht="56" x14ac:dyDescent="0.35">
      <c r="B407" s="23">
        <v>20260390</v>
      </c>
      <c r="C407" s="99" t="s">
        <v>532</v>
      </c>
      <c r="D407" s="23" t="s">
        <v>101</v>
      </c>
      <c r="E407" s="23" t="s">
        <v>402</v>
      </c>
      <c r="F407" s="159" t="s">
        <v>111</v>
      </c>
      <c r="G407" s="160" t="s">
        <v>375</v>
      </c>
      <c r="H407" s="161">
        <v>3</v>
      </c>
      <c r="I407" s="161">
        <v>0</v>
      </c>
      <c r="J407" s="127">
        <v>50000000</v>
      </c>
      <c r="K407" s="88" t="s">
        <v>398</v>
      </c>
      <c r="L407" s="159" t="s">
        <v>156</v>
      </c>
      <c r="M407" s="162" t="s">
        <v>502</v>
      </c>
      <c r="N407" s="23" t="s">
        <v>198</v>
      </c>
      <c r="O407" s="151" t="s">
        <v>946</v>
      </c>
      <c r="P407" s="159" t="s">
        <v>348</v>
      </c>
      <c r="Q407" s="100">
        <v>14111500</v>
      </c>
      <c r="R407" s="162" t="s">
        <v>210</v>
      </c>
      <c r="S407" s="162" t="str">
        <f>MID(PAA[[#This Row],[Meta Proyecto de Inversión]],1,4)</f>
        <v>8173</v>
      </c>
      <c r="T407" s="162" t="str">
        <f>MID(PAA[[#This Row],[Meta Proyecto de Inversión]],6,1)</f>
        <v>1</v>
      </c>
      <c r="U407" s="163" t="str">
        <f>IFERROR(VLOOKUP(N407,TD!$B$50:$F$54,2,0)," ")</f>
        <v>O230117</v>
      </c>
      <c r="V407" s="163" t="str">
        <f>IFERROR(VLOOKUP(N407,TD!$B$50:$F$54,3,0)," ")</f>
        <v>4503</v>
      </c>
      <c r="W407" s="163">
        <f>IFERROR(VLOOKUP(N407,TD!$B$50:$F$54,4,0)," ")</f>
        <v>20240255</v>
      </c>
      <c r="X407" s="162" t="s">
        <v>166</v>
      </c>
      <c r="Y407" s="163" t="str">
        <f>IFERROR(VLOOKUP(X407,TD!$J$51:$K$64,2,0)," ")</f>
        <v>Servicio de capacitaciones en gestión del riesgo de incendios  a la ciudadania.</v>
      </c>
      <c r="Z407" s="164" t="str">
        <f>CONCATENATE(X407,"-",Y407)</f>
        <v>05-Servicio de capacitaciones en gestión del riesgo de incendios  a la ciudadania.</v>
      </c>
      <c r="AA407" s="162" t="s">
        <v>223</v>
      </c>
      <c r="AB407" s="163" t="str">
        <f>IFERROR(VLOOKUP(AA407,TD!$N$51:$O$66,2,0)," ")</f>
        <v>Servicio prevención y control de incendios</v>
      </c>
      <c r="AC407" s="164" t="str">
        <f>CONCATENATE(AA407,"_",AB407)</f>
        <v>035_Servicio prevención y control de incendios</v>
      </c>
      <c r="AD407" s="164" t="str">
        <f>CONCATENATE(Z407," ",AC407)</f>
        <v>05-Servicio de capacitaciones en gestión del riesgo de incendios  a la ciudadania. 035_Servicio prevención y control de incendios</v>
      </c>
      <c r="AE407" s="163" t="str">
        <f>CONCATENATE(U407,V407,W407,X407,AA407)</f>
        <v>O23011745032024025505035</v>
      </c>
      <c r="AF407" s="163" t="str">
        <f>IFERROR(VLOOKUP(AD407,TD!$J$66:$K$89,2,0)," ")</f>
        <v>PM/0131/0105/45030350255</v>
      </c>
      <c r="AG407" s="118" t="s">
        <v>569</v>
      </c>
      <c r="AH407" s="162" t="s">
        <v>193</v>
      </c>
      <c r="AI407" s="165" t="str">
        <f>CONCATENATE(PAA[[#This Row],[Id Interno]],"-",PAA[[#This Row],[tipo de Contrato (TH talento humano - B/S bienes y/o servicios)]],"-",S407,"-",T407,"-",PAA[[#This Row],[Objeto de la contratación]])</f>
        <v>20260390-BS-8173-1-Adquisición de insumos y materias primas para la producción de materiales impresos en artes gráficas_ SGR.</v>
      </c>
    </row>
    <row r="408" spans="2:35" ht="56" x14ac:dyDescent="0.35">
      <c r="B408" s="23">
        <v>20260391</v>
      </c>
      <c r="C408" s="99" t="s">
        <v>576</v>
      </c>
      <c r="D408" s="23" t="s">
        <v>101</v>
      </c>
      <c r="E408" s="23" t="s">
        <v>402</v>
      </c>
      <c r="F408" s="159" t="s">
        <v>101</v>
      </c>
      <c r="G408" s="160" t="s">
        <v>375</v>
      </c>
      <c r="H408" s="161">
        <v>3</v>
      </c>
      <c r="I408" s="161">
        <v>0</v>
      </c>
      <c r="J408" s="127">
        <v>50000000</v>
      </c>
      <c r="K408" s="88" t="s">
        <v>398</v>
      </c>
      <c r="L408" s="159" t="s">
        <v>156</v>
      </c>
      <c r="M408" s="162" t="s">
        <v>502</v>
      </c>
      <c r="N408" s="23" t="s">
        <v>198</v>
      </c>
      <c r="O408" s="151" t="s">
        <v>946</v>
      </c>
      <c r="P408" s="159" t="s">
        <v>348</v>
      </c>
      <c r="Q408" s="100" t="s">
        <v>533</v>
      </c>
      <c r="R408" s="162" t="s">
        <v>210</v>
      </c>
      <c r="S408" s="162" t="str">
        <f>MID(PAA[[#This Row],[Meta Proyecto de Inversión]],1,4)</f>
        <v>8173</v>
      </c>
      <c r="T408" s="162" t="str">
        <f>MID(PAA[[#This Row],[Meta Proyecto de Inversión]],6,1)</f>
        <v>1</v>
      </c>
      <c r="U408" s="163" t="str">
        <f>IFERROR(VLOOKUP(N408,TD!$B$50:$F$54,2,0)," ")</f>
        <v>O230117</v>
      </c>
      <c r="V408" s="163" t="str">
        <f>IFERROR(VLOOKUP(N408,TD!$B$50:$F$54,3,0)," ")</f>
        <v>4503</v>
      </c>
      <c r="W408" s="163">
        <f>IFERROR(VLOOKUP(N408,TD!$B$50:$F$54,4,0)," ")</f>
        <v>20240255</v>
      </c>
      <c r="X408" s="162" t="s">
        <v>166</v>
      </c>
      <c r="Y408" s="163" t="str">
        <f>IFERROR(VLOOKUP(X408,TD!$J$51:$K$64,2,0)," ")</f>
        <v>Servicio de capacitaciones en gestión del riesgo de incendios  a la ciudadania.</v>
      </c>
      <c r="Z408" s="164" t="str">
        <f>CONCATENATE(X408,"-",Y408)</f>
        <v>05-Servicio de capacitaciones en gestión del riesgo de incendios  a la ciudadania.</v>
      </c>
      <c r="AA408" s="162" t="s">
        <v>223</v>
      </c>
      <c r="AB408" s="163" t="str">
        <f>IFERROR(VLOOKUP(AA408,TD!$N$51:$O$66,2,0)," ")</f>
        <v>Servicio prevención y control de incendios</v>
      </c>
      <c r="AC408" s="164" t="str">
        <f>CONCATENATE(AA408,"_",AB408)</f>
        <v>035_Servicio prevención y control de incendios</v>
      </c>
      <c r="AD408" s="164" t="str">
        <f>CONCATENATE(Z408," ",AC408)</f>
        <v>05-Servicio de capacitaciones en gestión del riesgo de incendios  a la ciudadania. 035_Servicio prevención y control de incendios</v>
      </c>
      <c r="AE408" s="163" t="str">
        <f>CONCATENATE(U408,V408,W408,X408,AA408)</f>
        <v>O23011745032024025505035</v>
      </c>
      <c r="AF408" s="163" t="str">
        <f>IFERROR(VLOOKUP(AD408,TD!$J$66:$K$89,2,0)," ")</f>
        <v>PM/0131/0105/45030350255</v>
      </c>
      <c r="AG408" s="118" t="s">
        <v>80</v>
      </c>
      <c r="AH408" s="162" t="s">
        <v>193</v>
      </c>
      <c r="AI408" s="165" t="str">
        <f>CONCATENATE(PAA[[#This Row],[Id Interno]],"-",PAA[[#This Row],[tipo de Contrato (TH talento humano - B/S bienes y/o servicios)]],"-",S408,"-",T408,"-",PAA[[#This Row],[Objeto de la contratación]])</f>
        <v>20260391-BS-8173-1-Adquisición de elementos y equipos necesarios para fortalecer las capacidades técnicas y operativas de los equipos especializados de la subdirecion de gestion del riesgo_SGR.</v>
      </c>
    </row>
    <row r="409" spans="2:35" ht="56" x14ac:dyDescent="0.35">
      <c r="B409" s="23">
        <v>20260392</v>
      </c>
      <c r="C409" s="99" t="s">
        <v>666</v>
      </c>
      <c r="D409" s="23" t="s">
        <v>78</v>
      </c>
      <c r="E409" s="23" t="s">
        <v>402</v>
      </c>
      <c r="F409" s="159" t="s">
        <v>89</v>
      </c>
      <c r="G409" s="160" t="s">
        <v>373</v>
      </c>
      <c r="H409" s="161">
        <v>12</v>
      </c>
      <c r="I409" s="161">
        <v>0</v>
      </c>
      <c r="J409" s="127">
        <v>1447882000</v>
      </c>
      <c r="K409" s="88" t="s">
        <v>397</v>
      </c>
      <c r="L409" s="159" t="s">
        <v>155</v>
      </c>
      <c r="M409" s="162" t="s">
        <v>422</v>
      </c>
      <c r="N409" s="23" t="s">
        <v>197</v>
      </c>
      <c r="O409" s="151" t="s">
        <v>945</v>
      </c>
      <c r="P409" s="159" t="s">
        <v>348</v>
      </c>
      <c r="Q409" s="100" t="s">
        <v>763</v>
      </c>
      <c r="R409" s="162" t="s">
        <v>207</v>
      </c>
      <c r="S409" s="162" t="str">
        <f>MID(PAA[[#This Row],[Meta Proyecto de Inversión]],1,4)</f>
        <v>8126</v>
      </c>
      <c r="T409" s="162" t="str">
        <f>MID(PAA[[#This Row],[Meta Proyecto de Inversión]],6,1)</f>
        <v>8</v>
      </c>
      <c r="U409" s="163" t="str">
        <f>IFERROR(VLOOKUP(N409,TD!$B$50:$F$54,2,0)," ")</f>
        <v>O230117</v>
      </c>
      <c r="V409" s="163" t="str">
        <f>IFERROR(VLOOKUP(N409,TD!$B$50:$F$54,3,0)," ")</f>
        <v>4599</v>
      </c>
      <c r="W409" s="163">
        <f>IFERROR(VLOOKUP(N409,TD!$B$50:$F$54,4,0)," ")</f>
        <v>20240207</v>
      </c>
      <c r="X409" s="162" t="s">
        <v>174</v>
      </c>
      <c r="Y409" s="163" t="str">
        <f>IFERROR(VLOOKUP(X409,TD!$J$51:$K$64,2,0)," ")</f>
        <v>Infraestructura física, mantenimiento y dotación (Sedes construidas, mantenidas reforzadas)</v>
      </c>
      <c r="Z409" s="164" t="str">
        <f>CONCATENATE(X409,"-",Y409)</f>
        <v>08-Infraestructura física, mantenimiento y dotación (Sedes construidas, mantenidas reforzadas)</v>
      </c>
      <c r="AA409" s="162" t="s">
        <v>227</v>
      </c>
      <c r="AB409" s="163" t="str">
        <f>IFERROR(VLOOKUP(AA409,TD!$N$51:$O$66,2,0)," ")</f>
        <v>Sedes mantenidas</v>
      </c>
      <c r="AC409" s="164" t="str">
        <f>CONCATENATE(AA409,"_",AB409)</f>
        <v>016_Sedes mantenidas</v>
      </c>
      <c r="AD409" s="164" t="str">
        <f>CONCATENATE(Z409," ",AC409)</f>
        <v>08-Infraestructura física, mantenimiento y dotación (Sedes construidas, mantenidas reforzadas) 016_Sedes mantenidas</v>
      </c>
      <c r="AE409" s="163" t="str">
        <f>CONCATENATE(U409,V409,W409,X409,AA409)</f>
        <v>O23011745992024020708016</v>
      </c>
      <c r="AF409" s="163" t="str">
        <f>IFERROR(VLOOKUP(AD409,TD!$J$66:$K$89,2,0)," ")</f>
        <v>PM/0131/0108/45990160207</v>
      </c>
      <c r="AG409" s="118" t="s">
        <v>132</v>
      </c>
      <c r="AH409" s="162" t="s">
        <v>193</v>
      </c>
      <c r="AI409" s="165" t="str">
        <f>CONCATENATE(PAA[[#This Row],[Id Interno]],"-",PAA[[#This Row],[tipo de Contrato (TH talento humano - B/S bienes y/o servicios)]],"-",S409,"-",T409,"-",PAA[[#This Row],[Objeto de la contratación]])</f>
        <v>20260392-BS-8126-8-Prestar el servicio de vigilancia y seguridad privada en la modalidad de vigilancia fija, según especificaciones técnicas, en las instalaciones donde la UAE Especial Cuerpo Oficial de Bomberos requiera-SGC</v>
      </c>
    </row>
    <row r="410" spans="2:35" ht="56" x14ac:dyDescent="0.35">
      <c r="B410" s="23">
        <v>20260393</v>
      </c>
      <c r="C410" s="99" t="s">
        <v>667</v>
      </c>
      <c r="D410" s="23" t="s">
        <v>78</v>
      </c>
      <c r="E410" s="23" t="s">
        <v>402</v>
      </c>
      <c r="F410" s="159" t="s">
        <v>97</v>
      </c>
      <c r="G410" s="160" t="s">
        <v>373</v>
      </c>
      <c r="H410" s="161">
        <v>18</v>
      </c>
      <c r="I410" s="161">
        <v>0</v>
      </c>
      <c r="J410" s="127">
        <v>4336206000</v>
      </c>
      <c r="K410" s="88" t="s">
        <v>397</v>
      </c>
      <c r="L410" s="159" t="s">
        <v>155</v>
      </c>
      <c r="M410" s="162" t="s">
        <v>422</v>
      </c>
      <c r="N410" s="23" t="s">
        <v>198</v>
      </c>
      <c r="O410" s="151" t="s">
        <v>946</v>
      </c>
      <c r="P410" s="159" t="s">
        <v>560</v>
      </c>
      <c r="Q410" s="100" t="s">
        <v>764</v>
      </c>
      <c r="R410" s="162" t="s">
        <v>216</v>
      </c>
      <c r="S410" s="162" t="str">
        <f>MID(PAA[[#This Row],[Meta Proyecto de Inversión]],1,4)</f>
        <v>8173</v>
      </c>
      <c r="T410" s="162" t="str">
        <f>MID(PAA[[#This Row],[Meta Proyecto de Inversión]],6,1)</f>
        <v>7</v>
      </c>
      <c r="U410" s="163" t="str">
        <f>IFERROR(VLOOKUP(N410,TD!$B$50:$F$54,2,0)," ")</f>
        <v>O230117</v>
      </c>
      <c r="V410" s="163" t="str">
        <f>IFERROR(VLOOKUP(N410,TD!$B$50:$F$54,3,0)," ")</f>
        <v>4503</v>
      </c>
      <c r="W410" s="163">
        <f>IFERROR(VLOOKUP(N410,TD!$B$50:$F$54,4,0)," ")</f>
        <v>20240255</v>
      </c>
      <c r="X410" s="162">
        <v>14</v>
      </c>
      <c r="Y410" s="163" t="str">
        <f>IFERROR(VLOOKUP(X410,TD!$J$51:$K$64,2,0)," ")</f>
        <v xml:space="preserve">Infraestructura física misional construida mantenida y dotada </v>
      </c>
      <c r="Z410" s="164" t="str">
        <f>CONCATENATE(X410,"-",Y410)</f>
        <v xml:space="preserve">14-Infraestructura física misional construida mantenida y dotada </v>
      </c>
      <c r="AA410" s="162" t="s">
        <v>225</v>
      </c>
      <c r="AB410" s="163" t="str">
        <f>IFERROR(VLOOKUP(AA410,TD!$N$51:$O$66,2,0)," ")</f>
        <v>Estaciones de bomberos adecuadas</v>
      </c>
      <c r="AC410" s="164" t="str">
        <f>CONCATENATE(AA410,"_",AB410)</f>
        <v>014_Estaciones de bomberos adecuadas</v>
      </c>
      <c r="AD410" s="164" t="str">
        <f>CONCATENATE(Z410," ",AC410)</f>
        <v>14-Infraestructura física misional construida mantenida y dotada  014_Estaciones de bomberos adecuadas</v>
      </c>
      <c r="AE410" s="163" t="str">
        <f>CONCATENATE(U410,V410,W410,X410,AA410)</f>
        <v>O23011745032024025514014</v>
      </c>
      <c r="AF410" s="163" t="str">
        <f>IFERROR(VLOOKUP(AD410,TD!$J$66:$K$89,2,0)," ")</f>
        <v>PM/0131/0114/45030140255</v>
      </c>
      <c r="AG410" s="118" t="s">
        <v>94</v>
      </c>
      <c r="AH410" s="162" t="s">
        <v>193</v>
      </c>
      <c r="AI410" s="165" t="str">
        <f>CONCATENATE(PAA[[#This Row],[Id Interno]],"-",PAA[[#This Row],[tipo de Contrato (TH talento humano - B/S bienes y/o servicios)]],"-",S410,"-",T410,"-",PAA[[#This Row],[Objeto de la contratación]])</f>
        <v>20260393-BS-8173-7-Construcción de la estación de bomberos Caobos Salazar  B13 - de la UAE Cuerpo Oficial de Bomberos de Bogotá – SGC</v>
      </c>
    </row>
    <row r="411" spans="2:35" ht="56" x14ac:dyDescent="0.35">
      <c r="B411" s="23">
        <v>20260394</v>
      </c>
      <c r="C411" s="99" t="s">
        <v>668</v>
      </c>
      <c r="D411" s="23" t="s">
        <v>100</v>
      </c>
      <c r="E411" s="23" t="s">
        <v>402</v>
      </c>
      <c r="F411" s="159" t="s">
        <v>131</v>
      </c>
      <c r="G411" s="160" t="s">
        <v>373</v>
      </c>
      <c r="H411" s="161">
        <v>18</v>
      </c>
      <c r="I411" s="161">
        <v>0</v>
      </c>
      <c r="J411" s="127">
        <v>831592000</v>
      </c>
      <c r="K411" s="88" t="s">
        <v>397</v>
      </c>
      <c r="L411" s="159" t="s">
        <v>155</v>
      </c>
      <c r="M411" s="162" t="s">
        <v>422</v>
      </c>
      <c r="N411" s="23" t="s">
        <v>198</v>
      </c>
      <c r="O411" s="151" t="s">
        <v>946</v>
      </c>
      <c r="P411" s="159" t="s">
        <v>560</v>
      </c>
      <c r="Q411" s="100" t="s">
        <v>765</v>
      </c>
      <c r="R411" s="162" t="s">
        <v>216</v>
      </c>
      <c r="S411" s="162" t="str">
        <f>MID(PAA[[#This Row],[Meta Proyecto de Inversión]],1,4)</f>
        <v>8173</v>
      </c>
      <c r="T411" s="162" t="str">
        <f>MID(PAA[[#This Row],[Meta Proyecto de Inversión]],6,1)</f>
        <v>7</v>
      </c>
      <c r="U411" s="163" t="str">
        <f>IFERROR(VLOOKUP(N411,TD!$B$50:$F$54,2,0)," ")</f>
        <v>O230117</v>
      </c>
      <c r="V411" s="163" t="str">
        <f>IFERROR(VLOOKUP(N411,TD!$B$50:$F$54,3,0)," ")</f>
        <v>4503</v>
      </c>
      <c r="W411" s="163">
        <f>IFERROR(VLOOKUP(N411,TD!$B$50:$F$54,4,0)," ")</f>
        <v>20240255</v>
      </c>
      <c r="X411" s="162">
        <v>14</v>
      </c>
      <c r="Y411" s="163" t="str">
        <f>IFERROR(VLOOKUP(X411,TD!$J$51:$K$64,2,0)," ")</f>
        <v xml:space="preserve">Infraestructura física misional construida mantenida y dotada </v>
      </c>
      <c r="Z411" s="164" t="str">
        <f>CONCATENATE(X411,"-",Y411)</f>
        <v xml:space="preserve">14-Infraestructura física misional construida mantenida y dotada </v>
      </c>
      <c r="AA411" s="162" t="s">
        <v>225</v>
      </c>
      <c r="AB411" s="163" t="str">
        <f>IFERROR(VLOOKUP(AA411,TD!$N$51:$O$66,2,0)," ")</f>
        <v>Estaciones de bomberos adecuadas</v>
      </c>
      <c r="AC411" s="164" t="str">
        <f>CONCATENATE(AA411,"_",AB411)</f>
        <v>014_Estaciones de bomberos adecuadas</v>
      </c>
      <c r="AD411" s="164" t="str">
        <f>CONCATENATE(Z411," ",AC411)</f>
        <v>14-Infraestructura física misional construida mantenida y dotada  014_Estaciones de bomberos adecuadas</v>
      </c>
      <c r="AE411" s="163" t="str">
        <f>CONCATENATE(U411,V411,W411,X411,AA411)</f>
        <v>O23011745032024025514014</v>
      </c>
      <c r="AF411" s="163" t="str">
        <f>IFERROR(VLOOKUP(AD411,TD!$J$66:$K$89,2,0)," ")</f>
        <v>PM/0131/0114/45030140255</v>
      </c>
      <c r="AG411" s="118" t="s">
        <v>94</v>
      </c>
      <c r="AH411" s="162" t="s">
        <v>193</v>
      </c>
      <c r="AI411" s="165" t="str">
        <f>CONCATENATE(PAA[[#This Row],[Id Interno]],"-",PAA[[#This Row],[tipo de Contrato (TH talento humano - B/S bienes y/o servicios)]],"-",S411,"-",T411,"-",PAA[[#This Row],[Objeto de la contratación]])</f>
        <v>20260394-BS-8173-7-Interventoría técnica, administrativa, financiera, contable, jurídica y ambiental para la elaboración de estudios y diseños técnicos para la construcción de la estación de bomberos Caobos Salazar  B13- de la UAE Cuerpo Oficial de Bomberos de Bogotá – SGC</v>
      </c>
    </row>
    <row r="412" spans="2:35" ht="56" x14ac:dyDescent="0.35">
      <c r="B412" s="23">
        <v>20260395</v>
      </c>
      <c r="C412" s="99" t="s">
        <v>669</v>
      </c>
      <c r="D412" s="23" t="s">
        <v>105</v>
      </c>
      <c r="E412" s="23" t="s">
        <v>363</v>
      </c>
      <c r="F412" s="159" t="s">
        <v>144</v>
      </c>
      <c r="G412" s="160" t="s">
        <v>373</v>
      </c>
      <c r="H412" s="161">
        <v>11</v>
      </c>
      <c r="I412" s="161">
        <v>0</v>
      </c>
      <c r="J412" s="127">
        <v>81104000</v>
      </c>
      <c r="K412" s="88" t="s">
        <v>398</v>
      </c>
      <c r="L412" s="159" t="s">
        <v>155</v>
      </c>
      <c r="M412" s="162" t="s">
        <v>422</v>
      </c>
      <c r="N412" s="23" t="s">
        <v>198</v>
      </c>
      <c r="O412" s="151" t="s">
        <v>946</v>
      </c>
      <c r="P412" s="159" t="s">
        <v>348</v>
      </c>
      <c r="Q412" s="100" t="s">
        <v>766</v>
      </c>
      <c r="R412" s="162" t="s">
        <v>216</v>
      </c>
      <c r="S412" s="162" t="str">
        <f>MID(PAA[[#This Row],[Meta Proyecto de Inversión]],1,4)</f>
        <v>8173</v>
      </c>
      <c r="T412" s="162" t="str">
        <f>MID(PAA[[#This Row],[Meta Proyecto de Inversión]],6,1)</f>
        <v>7</v>
      </c>
      <c r="U412" s="163" t="str">
        <f>IFERROR(VLOOKUP(N412,TD!$B$50:$F$54,2,0)," ")</f>
        <v>O230117</v>
      </c>
      <c r="V412" s="163" t="str">
        <f>IFERROR(VLOOKUP(N412,TD!$B$50:$F$54,3,0)," ")</f>
        <v>4503</v>
      </c>
      <c r="W412" s="163">
        <f>IFERROR(VLOOKUP(N412,TD!$B$50:$F$54,4,0)," ")</f>
        <v>20240255</v>
      </c>
      <c r="X412" s="162">
        <v>14</v>
      </c>
      <c r="Y412" s="163" t="str">
        <f>IFERROR(VLOOKUP(X412,TD!$J$51:$K$64,2,0)," ")</f>
        <v xml:space="preserve">Infraestructura física misional construida mantenida y dotada </v>
      </c>
      <c r="Z412" s="164" t="str">
        <f>CONCATENATE(X412,"-",Y412)</f>
        <v xml:space="preserve">14-Infraestructura física misional construida mantenida y dotada </v>
      </c>
      <c r="AA412" s="162" t="s">
        <v>225</v>
      </c>
      <c r="AB412" s="163" t="str">
        <f>IFERROR(VLOOKUP(AA412,TD!$N$51:$O$66,2,0)," ")</f>
        <v>Estaciones de bomberos adecuadas</v>
      </c>
      <c r="AC412" s="164" t="str">
        <f>CONCATENATE(AA412,"_",AB412)</f>
        <v>014_Estaciones de bomberos adecuadas</v>
      </c>
      <c r="AD412" s="164" t="str">
        <f>CONCATENATE(Z412," ",AC412)</f>
        <v>14-Infraestructura física misional construida mantenida y dotada  014_Estaciones de bomberos adecuadas</v>
      </c>
      <c r="AE412" s="163" t="str">
        <f>CONCATENATE(U412,V412,W412,X412,AA412)</f>
        <v>O23011745032024025514014</v>
      </c>
      <c r="AF412" s="163" t="str">
        <f>IFERROR(VLOOKUP(AD412,TD!$J$66:$K$89,2,0)," ")</f>
        <v>PM/0131/0114/45030140255</v>
      </c>
      <c r="AG412" s="118" t="s">
        <v>385</v>
      </c>
      <c r="AH412" s="162" t="s">
        <v>193</v>
      </c>
      <c r="AI412" s="165" t="str">
        <f>CONCATENATE(PAA[[#This Row],[Id Interno]],"-",PAA[[#This Row],[tipo de Contrato (TH talento humano - B/S bienes y/o servicios)]],"-",S412,"-",T412,"-",PAA[[#This Row],[Objeto de la contratación]])</f>
        <v>20260395-TH-8173-7-Prestación de servicios profesionales para apoyar a la supervisión con las actividades técnicas del Área de Infraestructura de la Subdirección de Gestión Corporativa-SGC</v>
      </c>
    </row>
    <row r="413" spans="2:35" ht="56" x14ac:dyDescent="0.35">
      <c r="B413" s="23">
        <v>20260396</v>
      </c>
      <c r="C413" s="99" t="s">
        <v>670</v>
      </c>
      <c r="D413" s="23" t="s">
        <v>105</v>
      </c>
      <c r="E413" s="23" t="s">
        <v>363</v>
      </c>
      <c r="F413" s="159" t="s">
        <v>144</v>
      </c>
      <c r="G413" s="160" t="s">
        <v>373</v>
      </c>
      <c r="H413" s="161">
        <v>11</v>
      </c>
      <c r="I413" s="161">
        <v>0</v>
      </c>
      <c r="J413" s="127">
        <v>99000000</v>
      </c>
      <c r="K413" s="88" t="s">
        <v>398</v>
      </c>
      <c r="L413" s="159" t="s">
        <v>155</v>
      </c>
      <c r="M413" s="162" t="s">
        <v>422</v>
      </c>
      <c r="N413" s="23" t="s">
        <v>198</v>
      </c>
      <c r="O413" s="151" t="s">
        <v>946</v>
      </c>
      <c r="P413" s="159" t="s">
        <v>348</v>
      </c>
      <c r="Q413" s="100" t="s">
        <v>766</v>
      </c>
      <c r="R413" s="162" t="s">
        <v>216</v>
      </c>
      <c r="S413" s="162" t="str">
        <f>MID(PAA[[#This Row],[Meta Proyecto de Inversión]],1,4)</f>
        <v>8173</v>
      </c>
      <c r="T413" s="162" t="str">
        <f>MID(PAA[[#This Row],[Meta Proyecto de Inversión]],6,1)</f>
        <v>7</v>
      </c>
      <c r="U413" s="163" t="str">
        <f>IFERROR(VLOOKUP(N413,TD!$B$50:$F$54,2,0)," ")</f>
        <v>O230117</v>
      </c>
      <c r="V413" s="163" t="str">
        <f>IFERROR(VLOOKUP(N413,TD!$B$50:$F$54,3,0)," ")</f>
        <v>4503</v>
      </c>
      <c r="W413" s="163">
        <f>IFERROR(VLOOKUP(N413,TD!$B$50:$F$54,4,0)," ")</f>
        <v>20240255</v>
      </c>
      <c r="X413" s="162">
        <v>14</v>
      </c>
      <c r="Y413" s="163" t="str">
        <f>IFERROR(VLOOKUP(X413,TD!$J$51:$K$64,2,0)," ")</f>
        <v xml:space="preserve">Infraestructura física misional construida mantenida y dotada </v>
      </c>
      <c r="Z413" s="164" t="str">
        <f>CONCATENATE(X413,"-",Y413)</f>
        <v xml:space="preserve">14-Infraestructura física misional construida mantenida y dotada </v>
      </c>
      <c r="AA413" s="162" t="s">
        <v>225</v>
      </c>
      <c r="AB413" s="163" t="str">
        <f>IFERROR(VLOOKUP(AA413,TD!$N$51:$O$66,2,0)," ")</f>
        <v>Estaciones de bomberos adecuadas</v>
      </c>
      <c r="AC413" s="164" t="str">
        <f>CONCATENATE(AA413,"_",AB413)</f>
        <v>014_Estaciones de bomberos adecuadas</v>
      </c>
      <c r="AD413" s="164" t="str">
        <f>CONCATENATE(Z413," ",AC413)</f>
        <v>14-Infraestructura física misional construida mantenida y dotada  014_Estaciones de bomberos adecuadas</v>
      </c>
      <c r="AE413" s="163" t="str">
        <f>CONCATENATE(U413,V413,W413,X413,AA413)</f>
        <v>O23011745032024025514014</v>
      </c>
      <c r="AF413" s="163" t="str">
        <f>IFERROR(VLOOKUP(AD413,TD!$J$66:$K$89,2,0)," ")</f>
        <v>PM/0131/0114/45030140255</v>
      </c>
      <c r="AG413" s="118" t="s">
        <v>385</v>
      </c>
      <c r="AH413" s="162" t="s">
        <v>193</v>
      </c>
      <c r="AI413" s="165" t="str">
        <f>CONCATENATE(PAA[[#This Row],[Id Interno]],"-",PAA[[#This Row],[tipo de Contrato (TH talento humano - B/S bienes y/o servicios)]],"-",S413,"-",T413,"-",PAA[[#This Row],[Objeto de la contratación]])</f>
        <v>20260396-TH-8173-7-Prestación de servicios profesionales para apoyar las actividades de estructuración de procesos contractuales del Área de Infraestructura de la Subdirección de Gestión Corporativa-SGC</v>
      </c>
    </row>
    <row r="414" spans="2:35" ht="56" x14ac:dyDescent="0.35">
      <c r="B414" s="23">
        <v>20260397</v>
      </c>
      <c r="C414" s="99" t="s">
        <v>671</v>
      </c>
      <c r="D414" s="23" t="s">
        <v>105</v>
      </c>
      <c r="E414" s="23" t="s">
        <v>363</v>
      </c>
      <c r="F414" s="159" t="s">
        <v>144</v>
      </c>
      <c r="G414" s="160" t="s">
        <v>373</v>
      </c>
      <c r="H414" s="161">
        <v>11</v>
      </c>
      <c r="I414" s="161">
        <v>0</v>
      </c>
      <c r="J414" s="127">
        <v>56772000</v>
      </c>
      <c r="K414" s="88" t="s">
        <v>398</v>
      </c>
      <c r="L414" s="159" t="s">
        <v>155</v>
      </c>
      <c r="M414" s="162" t="s">
        <v>422</v>
      </c>
      <c r="N414" s="23" t="s">
        <v>197</v>
      </c>
      <c r="O414" s="151" t="s">
        <v>945</v>
      </c>
      <c r="P414" s="159" t="s">
        <v>348</v>
      </c>
      <c r="Q414" s="100" t="s">
        <v>766</v>
      </c>
      <c r="R414" s="162" t="s">
        <v>207</v>
      </c>
      <c r="S414" s="162" t="str">
        <f>MID(PAA[[#This Row],[Meta Proyecto de Inversión]],1,4)</f>
        <v>8126</v>
      </c>
      <c r="T414" s="162" t="str">
        <f>MID(PAA[[#This Row],[Meta Proyecto de Inversión]],6,1)</f>
        <v>8</v>
      </c>
      <c r="U414" s="163" t="str">
        <f>IFERROR(VLOOKUP(N414,TD!$B$50:$F$54,2,0)," ")</f>
        <v>O230117</v>
      </c>
      <c r="V414" s="163" t="str">
        <f>IFERROR(VLOOKUP(N414,TD!$B$50:$F$54,3,0)," ")</f>
        <v>4599</v>
      </c>
      <c r="W414" s="163">
        <f>IFERROR(VLOOKUP(N414,TD!$B$50:$F$54,4,0)," ")</f>
        <v>20240207</v>
      </c>
      <c r="X414" s="162" t="s">
        <v>174</v>
      </c>
      <c r="Y414" s="163" t="str">
        <f>IFERROR(VLOOKUP(X414,TD!$J$51:$K$64,2,0)," ")</f>
        <v>Infraestructura física, mantenimiento y dotación (Sedes construidas, mantenidas reforzadas)</v>
      </c>
      <c r="Z414" s="164" t="str">
        <f>CONCATENATE(X414,"-",Y414)</f>
        <v>08-Infraestructura física, mantenimiento y dotación (Sedes construidas, mantenidas reforzadas)</v>
      </c>
      <c r="AA414" s="162" t="s">
        <v>227</v>
      </c>
      <c r="AB414" s="163" t="str">
        <f>IFERROR(VLOOKUP(AA414,TD!$N$51:$O$66,2,0)," ")</f>
        <v>Sedes mantenidas</v>
      </c>
      <c r="AC414" s="164" t="str">
        <f>CONCATENATE(AA414,"_",AB414)</f>
        <v>016_Sedes mantenidas</v>
      </c>
      <c r="AD414" s="164" t="str">
        <f>CONCATENATE(Z414," ",AC414)</f>
        <v>08-Infraestructura física, mantenimiento y dotación (Sedes construidas, mantenidas reforzadas) 016_Sedes mantenidas</v>
      </c>
      <c r="AE414" s="163" t="str">
        <f>CONCATENATE(U414,V414,W414,X414,AA414)</f>
        <v>O23011745992024020708016</v>
      </c>
      <c r="AF414" s="163" t="str">
        <f>IFERROR(VLOOKUP(AD414,TD!$J$66:$K$89,2,0)," ")</f>
        <v>PM/0131/0108/45990160207</v>
      </c>
      <c r="AG414" s="118" t="s">
        <v>385</v>
      </c>
      <c r="AH414" s="162" t="s">
        <v>193</v>
      </c>
      <c r="AI414" s="165" t="str">
        <f>CONCATENATE(PAA[[#This Row],[Id Interno]],"-",PAA[[#This Row],[tipo de Contrato (TH talento humano - B/S bienes y/o servicios)]],"-",S414,"-",T414,"-",PAA[[#This Row],[Objeto de la contratación]])</f>
        <v>20260397-TH-8126-8-Prestar los servicios profesionales en las actividades asociadas del área de infraestructura que contribuyan para la implementación de procesos y procedimientos para la adecuada prestación del servicio-SGC.</v>
      </c>
    </row>
    <row r="415" spans="2:35" ht="56" x14ac:dyDescent="0.35">
      <c r="B415" s="23">
        <v>20260398</v>
      </c>
      <c r="C415" s="99" t="s">
        <v>672</v>
      </c>
      <c r="D415" s="23" t="s">
        <v>105</v>
      </c>
      <c r="E415" s="23" t="s">
        <v>363</v>
      </c>
      <c r="F415" s="159" t="s">
        <v>144</v>
      </c>
      <c r="G415" s="160" t="s">
        <v>373</v>
      </c>
      <c r="H415" s="161">
        <v>10</v>
      </c>
      <c r="I415" s="161">
        <v>0</v>
      </c>
      <c r="J415" s="127">
        <v>70000000</v>
      </c>
      <c r="K415" s="88" t="s">
        <v>398</v>
      </c>
      <c r="L415" s="159" t="s">
        <v>155</v>
      </c>
      <c r="M415" s="162" t="s">
        <v>422</v>
      </c>
      <c r="N415" s="23" t="s">
        <v>197</v>
      </c>
      <c r="O415" s="151" t="s">
        <v>945</v>
      </c>
      <c r="P415" s="159" t="s">
        <v>348</v>
      </c>
      <c r="Q415" s="100" t="s">
        <v>766</v>
      </c>
      <c r="R415" s="162" t="s">
        <v>208</v>
      </c>
      <c r="S415" s="162" t="str">
        <f>MID(PAA[[#This Row],[Meta Proyecto de Inversión]],1,4)</f>
        <v>8126</v>
      </c>
      <c r="T415" s="162" t="str">
        <f>MID(PAA[[#This Row],[Meta Proyecto de Inversión]],6,1)</f>
        <v>9</v>
      </c>
      <c r="U415" s="163" t="str">
        <f>IFERROR(VLOOKUP(N415,TD!$B$50:$F$54,2,0)," ")</f>
        <v>O230117</v>
      </c>
      <c r="V415" s="163" t="str">
        <f>IFERROR(VLOOKUP(N415,TD!$B$50:$F$54,3,0)," ")</f>
        <v>4599</v>
      </c>
      <c r="W415" s="163">
        <f>IFERROR(VLOOKUP(N415,TD!$B$50:$F$54,4,0)," ")</f>
        <v>20240207</v>
      </c>
      <c r="X415" s="162" t="s">
        <v>174</v>
      </c>
      <c r="Y415" s="163" t="str">
        <f>IFERROR(VLOOKUP(X415,TD!$J$51:$K$64,2,0)," ")</f>
        <v>Infraestructura física, mantenimiento y dotación (Sedes construidas, mantenidas reforzadas)</v>
      </c>
      <c r="Z415" s="164" t="str">
        <f>CONCATENATE(X415,"-",Y415)</f>
        <v>08-Infraestructura física, mantenimiento y dotación (Sedes construidas, mantenidas reforzadas)</v>
      </c>
      <c r="AA415" s="162" t="s">
        <v>227</v>
      </c>
      <c r="AB415" s="163" t="str">
        <f>IFERROR(VLOOKUP(AA415,TD!$N$51:$O$66,2,0)," ")</f>
        <v>Sedes mantenidas</v>
      </c>
      <c r="AC415" s="164" t="str">
        <f>CONCATENATE(AA415,"_",AB415)</f>
        <v>016_Sedes mantenidas</v>
      </c>
      <c r="AD415" s="164" t="str">
        <f>CONCATENATE(Z415," ",AC415)</f>
        <v>08-Infraestructura física, mantenimiento y dotación (Sedes construidas, mantenidas reforzadas) 016_Sedes mantenidas</v>
      </c>
      <c r="AE415" s="163" t="str">
        <f>CONCATENATE(U415,V415,W415,X415,AA415)</f>
        <v>O23011745992024020708016</v>
      </c>
      <c r="AF415" s="163" t="str">
        <f>IFERROR(VLOOKUP(AD415,TD!$J$66:$K$89,2,0)," ")</f>
        <v>PM/0131/0108/45990160207</v>
      </c>
      <c r="AG415" s="118" t="s">
        <v>385</v>
      </c>
      <c r="AH415" s="162" t="s">
        <v>193</v>
      </c>
      <c r="AI415" s="165" t="str">
        <f>CONCATENATE(PAA[[#This Row],[Id Interno]],"-",PAA[[#This Row],[tipo de Contrato (TH talento humano - B/S bienes y/o servicios)]],"-",S415,"-",T415,"-",PAA[[#This Row],[Objeto de la contratación]])</f>
        <v>20260398-TH-8126-9-Prestar los servicios profesionales para el acompañamiento y el seguimiento de los comodatos y demás actividades relacionadas con los procesos y procedimientos de inventarios de la Subdireccion de Gestión Corporativa-SGC</v>
      </c>
    </row>
    <row r="416" spans="2:35" ht="56" x14ac:dyDescent="0.35">
      <c r="B416" s="23">
        <v>20260399</v>
      </c>
      <c r="C416" s="99" t="s">
        <v>673</v>
      </c>
      <c r="D416" s="23" t="s">
        <v>105</v>
      </c>
      <c r="E416" s="23" t="s">
        <v>363</v>
      </c>
      <c r="F416" s="159" t="s">
        <v>145</v>
      </c>
      <c r="G416" s="160" t="s">
        <v>373</v>
      </c>
      <c r="H416" s="161">
        <v>11</v>
      </c>
      <c r="I416" s="161">
        <v>0</v>
      </c>
      <c r="J416" s="127">
        <v>36128000</v>
      </c>
      <c r="K416" s="88" t="s">
        <v>398</v>
      </c>
      <c r="L416" s="159" t="s">
        <v>155</v>
      </c>
      <c r="M416" s="162" t="s">
        <v>422</v>
      </c>
      <c r="N416" s="23" t="s">
        <v>197</v>
      </c>
      <c r="O416" s="151" t="s">
        <v>945</v>
      </c>
      <c r="P416" s="159" t="s">
        <v>348</v>
      </c>
      <c r="Q416" s="100" t="s">
        <v>766</v>
      </c>
      <c r="R416" s="162" t="s">
        <v>208</v>
      </c>
      <c r="S416" s="162" t="str">
        <f>MID(PAA[[#This Row],[Meta Proyecto de Inversión]],1,4)</f>
        <v>8126</v>
      </c>
      <c r="T416" s="162" t="str">
        <f>MID(PAA[[#This Row],[Meta Proyecto de Inversión]],6,1)</f>
        <v>9</v>
      </c>
      <c r="U416" s="163" t="str">
        <f>IFERROR(VLOOKUP(N416,TD!$B$50:$F$54,2,0)," ")</f>
        <v>O230117</v>
      </c>
      <c r="V416" s="163" t="str">
        <f>IFERROR(VLOOKUP(N416,TD!$B$50:$F$54,3,0)," ")</f>
        <v>4599</v>
      </c>
      <c r="W416" s="163">
        <f>IFERROR(VLOOKUP(N416,TD!$B$50:$F$54,4,0)," ")</f>
        <v>20240207</v>
      </c>
      <c r="X416" s="162" t="s">
        <v>174</v>
      </c>
      <c r="Y416" s="163" t="str">
        <f>IFERROR(VLOOKUP(X416,TD!$J$51:$K$64,2,0)," ")</f>
        <v>Infraestructura física, mantenimiento y dotación (Sedes construidas, mantenidas reforzadas)</v>
      </c>
      <c r="Z416" s="164" t="str">
        <f>CONCATENATE(X416,"-",Y416)</f>
        <v>08-Infraestructura física, mantenimiento y dotación (Sedes construidas, mantenidas reforzadas)</v>
      </c>
      <c r="AA416" s="162" t="s">
        <v>227</v>
      </c>
      <c r="AB416" s="163" t="str">
        <f>IFERROR(VLOOKUP(AA416,TD!$N$51:$O$66,2,0)," ")</f>
        <v>Sedes mantenidas</v>
      </c>
      <c r="AC416" s="164" t="str">
        <f>CONCATENATE(AA416,"_",AB416)</f>
        <v>016_Sedes mantenidas</v>
      </c>
      <c r="AD416" s="164" t="str">
        <f>CONCATENATE(Z416," ",AC416)</f>
        <v>08-Infraestructura física, mantenimiento y dotación (Sedes construidas, mantenidas reforzadas) 016_Sedes mantenidas</v>
      </c>
      <c r="AE416" s="163" t="str">
        <f>CONCATENATE(U416,V416,W416,X416,AA416)</f>
        <v>O23011745992024020708016</v>
      </c>
      <c r="AF416" s="163" t="str">
        <f>IFERROR(VLOOKUP(AD416,TD!$J$66:$K$89,2,0)," ")</f>
        <v>PM/0131/0108/45990160207</v>
      </c>
      <c r="AG416" s="118" t="s">
        <v>385</v>
      </c>
      <c r="AH416" s="162" t="s">
        <v>193</v>
      </c>
      <c r="AI416" s="165" t="str">
        <f>CONCATENATE(PAA[[#This Row],[Id Interno]],"-",PAA[[#This Row],[tipo de Contrato (TH talento humano - B/S bienes y/o servicios)]],"-",S416,"-",T416,"-",PAA[[#This Row],[Objeto de la contratación]])</f>
        <v>20260399-TH-8126-9-Prestación de servicios de apoyo a la gestión en la ejecución de los planes y programas de servicio al ciudadano a cargo de la Subdirección de Gestión Corporativa.-SGC</v>
      </c>
    </row>
    <row r="417" spans="2:35" ht="56" x14ac:dyDescent="0.35">
      <c r="B417" s="23">
        <v>20260400</v>
      </c>
      <c r="C417" s="99" t="s">
        <v>674</v>
      </c>
      <c r="D417" s="23" t="s">
        <v>105</v>
      </c>
      <c r="E417" s="23" t="s">
        <v>363</v>
      </c>
      <c r="F417" s="159" t="s">
        <v>144</v>
      </c>
      <c r="G417" s="160" t="s">
        <v>373</v>
      </c>
      <c r="H417" s="161">
        <v>11</v>
      </c>
      <c r="I417" s="161">
        <v>0</v>
      </c>
      <c r="J417" s="127">
        <v>100272000</v>
      </c>
      <c r="K417" s="88" t="s">
        <v>398</v>
      </c>
      <c r="L417" s="159" t="s">
        <v>155</v>
      </c>
      <c r="M417" s="162" t="s">
        <v>422</v>
      </c>
      <c r="N417" s="23" t="s">
        <v>197</v>
      </c>
      <c r="O417" s="151" t="s">
        <v>945</v>
      </c>
      <c r="P417" s="159" t="s">
        <v>348</v>
      </c>
      <c r="Q417" s="100" t="s">
        <v>766</v>
      </c>
      <c r="R417" s="162" t="s">
        <v>208</v>
      </c>
      <c r="S417" s="162" t="str">
        <f>MID(PAA[[#This Row],[Meta Proyecto de Inversión]],1,4)</f>
        <v>8126</v>
      </c>
      <c r="T417" s="162" t="str">
        <f>MID(PAA[[#This Row],[Meta Proyecto de Inversión]],6,1)</f>
        <v>9</v>
      </c>
      <c r="U417" s="163" t="str">
        <f>IFERROR(VLOOKUP(N417,TD!$B$50:$F$54,2,0)," ")</f>
        <v>O230117</v>
      </c>
      <c r="V417" s="163" t="str">
        <f>IFERROR(VLOOKUP(N417,TD!$B$50:$F$54,3,0)," ")</f>
        <v>4599</v>
      </c>
      <c r="W417" s="163">
        <f>IFERROR(VLOOKUP(N417,TD!$B$50:$F$54,4,0)," ")</f>
        <v>20240207</v>
      </c>
      <c r="X417" s="162" t="s">
        <v>174</v>
      </c>
      <c r="Y417" s="163" t="str">
        <f>IFERROR(VLOOKUP(X417,TD!$J$51:$K$64,2,0)," ")</f>
        <v>Infraestructura física, mantenimiento y dotación (Sedes construidas, mantenidas reforzadas)</v>
      </c>
      <c r="Z417" s="164" t="str">
        <f>CONCATENATE(X417,"-",Y417)</f>
        <v>08-Infraestructura física, mantenimiento y dotación (Sedes construidas, mantenidas reforzadas)</v>
      </c>
      <c r="AA417" s="162" t="s">
        <v>227</v>
      </c>
      <c r="AB417" s="163" t="str">
        <f>IFERROR(VLOOKUP(AA417,TD!$N$51:$O$66,2,0)," ")</f>
        <v>Sedes mantenidas</v>
      </c>
      <c r="AC417" s="164" t="str">
        <f>CONCATENATE(AA417,"_",AB417)</f>
        <v>016_Sedes mantenidas</v>
      </c>
      <c r="AD417" s="164" t="str">
        <f>CONCATENATE(Z417," ",AC417)</f>
        <v>08-Infraestructura física, mantenimiento y dotación (Sedes construidas, mantenidas reforzadas) 016_Sedes mantenidas</v>
      </c>
      <c r="AE417" s="163" t="str">
        <f>CONCATENATE(U417,V417,W417,X417,AA417)</f>
        <v>O23011745992024020708016</v>
      </c>
      <c r="AF417" s="163" t="str">
        <f>IFERROR(VLOOKUP(AD417,TD!$J$66:$K$89,2,0)," ")</f>
        <v>PM/0131/0108/45990160207</v>
      </c>
      <c r="AG417" s="118" t="s">
        <v>385</v>
      </c>
      <c r="AH417" s="162" t="s">
        <v>193</v>
      </c>
      <c r="AI417" s="165" t="str">
        <f>CONCATENATE(PAA[[#This Row],[Id Interno]],"-",PAA[[#This Row],[tipo de Contrato (TH talento humano - B/S bienes y/o servicios)]],"-",S417,"-",T417,"-",PAA[[#This Row],[Objeto de la contratación]])</f>
        <v>20260400-TH-8126-9-Prestación de servicios profesionales para articular la gestión en la ejecución de los planes y programas de servicio al ciudadano a cargo de la Subdirección de Gestión Corporativa.-SGC</v>
      </c>
    </row>
    <row r="418" spans="2:35" ht="56" x14ac:dyDescent="0.35">
      <c r="B418" s="23">
        <v>20260401</v>
      </c>
      <c r="C418" s="99" t="s">
        <v>673</v>
      </c>
      <c r="D418" s="23" t="s">
        <v>105</v>
      </c>
      <c r="E418" s="23" t="s">
        <v>363</v>
      </c>
      <c r="F418" s="159" t="s">
        <v>145</v>
      </c>
      <c r="G418" s="160" t="s">
        <v>373</v>
      </c>
      <c r="H418" s="161">
        <v>11</v>
      </c>
      <c r="I418" s="161">
        <v>0</v>
      </c>
      <c r="J418" s="127">
        <v>36128000</v>
      </c>
      <c r="K418" s="88" t="s">
        <v>398</v>
      </c>
      <c r="L418" s="159" t="s">
        <v>155</v>
      </c>
      <c r="M418" s="162" t="s">
        <v>422</v>
      </c>
      <c r="N418" s="23" t="s">
        <v>197</v>
      </c>
      <c r="O418" s="151" t="s">
        <v>945</v>
      </c>
      <c r="P418" s="159" t="s">
        <v>348</v>
      </c>
      <c r="Q418" s="100" t="s">
        <v>766</v>
      </c>
      <c r="R418" s="162" t="s">
        <v>208</v>
      </c>
      <c r="S418" s="162" t="str">
        <f>MID(PAA[[#This Row],[Meta Proyecto de Inversión]],1,4)</f>
        <v>8126</v>
      </c>
      <c r="T418" s="162" t="str">
        <f>MID(PAA[[#This Row],[Meta Proyecto de Inversión]],6,1)</f>
        <v>9</v>
      </c>
      <c r="U418" s="163" t="str">
        <f>IFERROR(VLOOKUP(N418,TD!$B$50:$F$54,2,0)," ")</f>
        <v>O230117</v>
      </c>
      <c r="V418" s="163" t="str">
        <f>IFERROR(VLOOKUP(N418,TD!$B$50:$F$54,3,0)," ")</f>
        <v>4599</v>
      </c>
      <c r="W418" s="163">
        <f>IFERROR(VLOOKUP(N418,TD!$B$50:$F$54,4,0)," ")</f>
        <v>20240207</v>
      </c>
      <c r="X418" s="162" t="s">
        <v>174</v>
      </c>
      <c r="Y418" s="163" t="str">
        <f>IFERROR(VLOOKUP(X418,TD!$J$51:$K$64,2,0)," ")</f>
        <v>Infraestructura física, mantenimiento y dotación (Sedes construidas, mantenidas reforzadas)</v>
      </c>
      <c r="Z418" s="164" t="str">
        <f>CONCATENATE(X418,"-",Y418)</f>
        <v>08-Infraestructura física, mantenimiento y dotación (Sedes construidas, mantenidas reforzadas)</v>
      </c>
      <c r="AA418" s="162" t="s">
        <v>227</v>
      </c>
      <c r="AB418" s="163" t="str">
        <f>IFERROR(VLOOKUP(AA418,TD!$N$51:$O$66,2,0)," ")</f>
        <v>Sedes mantenidas</v>
      </c>
      <c r="AC418" s="164" t="str">
        <f>CONCATENATE(AA418,"_",AB418)</f>
        <v>016_Sedes mantenidas</v>
      </c>
      <c r="AD418" s="164" t="str">
        <f>CONCATENATE(Z418," ",AC418)</f>
        <v>08-Infraestructura física, mantenimiento y dotación (Sedes construidas, mantenidas reforzadas) 016_Sedes mantenidas</v>
      </c>
      <c r="AE418" s="163" t="str">
        <f>CONCATENATE(U418,V418,W418,X418,AA418)</f>
        <v>O23011745992024020708016</v>
      </c>
      <c r="AF418" s="163" t="str">
        <f>IFERROR(VLOOKUP(AD418,TD!$J$66:$K$89,2,0)," ")</f>
        <v>PM/0131/0108/45990160207</v>
      </c>
      <c r="AG418" s="118" t="s">
        <v>385</v>
      </c>
      <c r="AH418" s="162" t="s">
        <v>193</v>
      </c>
      <c r="AI418" s="165" t="str">
        <f>CONCATENATE(PAA[[#This Row],[Id Interno]],"-",PAA[[#This Row],[tipo de Contrato (TH talento humano - B/S bienes y/o servicios)]],"-",S418,"-",T418,"-",PAA[[#This Row],[Objeto de la contratación]])</f>
        <v>20260401-TH-8126-9-Prestación de servicios de apoyo a la gestión en la ejecución de los planes y programas de servicio al ciudadano a cargo de la Subdirección de Gestión Corporativa.-SGC</v>
      </c>
    </row>
    <row r="419" spans="2:35" ht="56" x14ac:dyDescent="0.35">
      <c r="B419" s="23">
        <v>20260402</v>
      </c>
      <c r="C419" s="99" t="s">
        <v>673</v>
      </c>
      <c r="D419" s="23" t="s">
        <v>105</v>
      </c>
      <c r="E419" s="23" t="s">
        <v>363</v>
      </c>
      <c r="F419" s="159" t="s">
        <v>145</v>
      </c>
      <c r="G419" s="160" t="s">
        <v>373</v>
      </c>
      <c r="H419" s="161">
        <v>11</v>
      </c>
      <c r="I419" s="161">
        <v>0</v>
      </c>
      <c r="J419" s="127">
        <v>36128000</v>
      </c>
      <c r="K419" s="88" t="s">
        <v>398</v>
      </c>
      <c r="L419" s="159" t="s">
        <v>155</v>
      </c>
      <c r="M419" s="162" t="s">
        <v>422</v>
      </c>
      <c r="N419" s="23" t="s">
        <v>197</v>
      </c>
      <c r="O419" s="151" t="s">
        <v>945</v>
      </c>
      <c r="P419" s="159" t="s">
        <v>348</v>
      </c>
      <c r="Q419" s="100" t="s">
        <v>766</v>
      </c>
      <c r="R419" s="162" t="s">
        <v>208</v>
      </c>
      <c r="S419" s="162" t="str">
        <f>MID(PAA[[#This Row],[Meta Proyecto de Inversión]],1,4)</f>
        <v>8126</v>
      </c>
      <c r="T419" s="162" t="str">
        <f>MID(PAA[[#This Row],[Meta Proyecto de Inversión]],6,1)</f>
        <v>9</v>
      </c>
      <c r="U419" s="163" t="str">
        <f>IFERROR(VLOOKUP(N419,TD!$B$50:$F$54,2,0)," ")</f>
        <v>O230117</v>
      </c>
      <c r="V419" s="163" t="str">
        <f>IFERROR(VLOOKUP(N419,TD!$B$50:$F$54,3,0)," ")</f>
        <v>4599</v>
      </c>
      <c r="W419" s="163">
        <f>IFERROR(VLOOKUP(N419,TD!$B$50:$F$54,4,0)," ")</f>
        <v>20240207</v>
      </c>
      <c r="X419" s="162" t="s">
        <v>174</v>
      </c>
      <c r="Y419" s="163" t="str">
        <f>IFERROR(VLOOKUP(X419,TD!$J$51:$K$64,2,0)," ")</f>
        <v>Infraestructura física, mantenimiento y dotación (Sedes construidas, mantenidas reforzadas)</v>
      </c>
      <c r="Z419" s="164" t="str">
        <f>CONCATENATE(X419,"-",Y419)</f>
        <v>08-Infraestructura física, mantenimiento y dotación (Sedes construidas, mantenidas reforzadas)</v>
      </c>
      <c r="AA419" s="162" t="s">
        <v>227</v>
      </c>
      <c r="AB419" s="163" t="str">
        <f>IFERROR(VLOOKUP(AA419,TD!$N$51:$O$66,2,0)," ")</f>
        <v>Sedes mantenidas</v>
      </c>
      <c r="AC419" s="164" t="str">
        <f>CONCATENATE(AA419,"_",AB419)</f>
        <v>016_Sedes mantenidas</v>
      </c>
      <c r="AD419" s="164" t="str">
        <f>CONCATENATE(Z419," ",AC419)</f>
        <v>08-Infraestructura física, mantenimiento y dotación (Sedes construidas, mantenidas reforzadas) 016_Sedes mantenidas</v>
      </c>
      <c r="AE419" s="163" t="str">
        <f>CONCATENATE(U419,V419,W419,X419,AA419)</f>
        <v>O23011745992024020708016</v>
      </c>
      <c r="AF419" s="163" t="str">
        <f>IFERROR(VLOOKUP(AD419,TD!$J$66:$K$89,2,0)," ")</f>
        <v>PM/0131/0108/45990160207</v>
      </c>
      <c r="AG419" s="118" t="s">
        <v>385</v>
      </c>
      <c r="AH419" s="162" t="s">
        <v>193</v>
      </c>
      <c r="AI419" s="165" t="str">
        <f>CONCATENATE(PAA[[#This Row],[Id Interno]],"-",PAA[[#This Row],[tipo de Contrato (TH talento humano - B/S bienes y/o servicios)]],"-",S419,"-",T419,"-",PAA[[#This Row],[Objeto de la contratación]])</f>
        <v>20260402-TH-8126-9-Prestación de servicios de apoyo a la gestión en la ejecución de los planes y programas de servicio al ciudadano a cargo de la Subdirección de Gestión Corporativa.-SGC</v>
      </c>
    </row>
    <row r="420" spans="2:35" ht="56" x14ac:dyDescent="0.35">
      <c r="B420" s="23">
        <v>20260403</v>
      </c>
      <c r="C420" s="99" t="s">
        <v>673</v>
      </c>
      <c r="D420" s="23" t="s">
        <v>105</v>
      </c>
      <c r="E420" s="23" t="s">
        <v>363</v>
      </c>
      <c r="F420" s="159" t="s">
        <v>145</v>
      </c>
      <c r="G420" s="160" t="s">
        <v>373</v>
      </c>
      <c r="H420" s="161">
        <v>11</v>
      </c>
      <c r="I420" s="161">
        <v>0</v>
      </c>
      <c r="J420" s="127">
        <v>36128000</v>
      </c>
      <c r="K420" s="88" t="s">
        <v>398</v>
      </c>
      <c r="L420" s="159" t="s">
        <v>155</v>
      </c>
      <c r="M420" s="162" t="s">
        <v>422</v>
      </c>
      <c r="N420" s="23" t="s">
        <v>197</v>
      </c>
      <c r="O420" s="151" t="s">
        <v>945</v>
      </c>
      <c r="P420" s="159" t="s">
        <v>348</v>
      </c>
      <c r="Q420" s="100" t="s">
        <v>766</v>
      </c>
      <c r="R420" s="162" t="s">
        <v>208</v>
      </c>
      <c r="S420" s="162" t="str">
        <f>MID(PAA[[#This Row],[Meta Proyecto de Inversión]],1,4)</f>
        <v>8126</v>
      </c>
      <c r="T420" s="162" t="str">
        <f>MID(PAA[[#This Row],[Meta Proyecto de Inversión]],6,1)</f>
        <v>9</v>
      </c>
      <c r="U420" s="163" t="str">
        <f>IFERROR(VLOOKUP(N420,TD!$B$50:$F$54,2,0)," ")</f>
        <v>O230117</v>
      </c>
      <c r="V420" s="163" t="str">
        <f>IFERROR(VLOOKUP(N420,TD!$B$50:$F$54,3,0)," ")</f>
        <v>4599</v>
      </c>
      <c r="W420" s="163">
        <f>IFERROR(VLOOKUP(N420,TD!$B$50:$F$54,4,0)," ")</f>
        <v>20240207</v>
      </c>
      <c r="X420" s="162" t="s">
        <v>174</v>
      </c>
      <c r="Y420" s="163" t="str">
        <f>IFERROR(VLOOKUP(X420,TD!$J$51:$K$64,2,0)," ")</f>
        <v>Infraestructura física, mantenimiento y dotación (Sedes construidas, mantenidas reforzadas)</v>
      </c>
      <c r="Z420" s="164" t="str">
        <f>CONCATENATE(X420,"-",Y420)</f>
        <v>08-Infraestructura física, mantenimiento y dotación (Sedes construidas, mantenidas reforzadas)</v>
      </c>
      <c r="AA420" s="162" t="s">
        <v>227</v>
      </c>
      <c r="AB420" s="163" t="str">
        <f>IFERROR(VLOOKUP(AA420,TD!$N$51:$O$66,2,0)," ")</f>
        <v>Sedes mantenidas</v>
      </c>
      <c r="AC420" s="164" t="str">
        <f>CONCATENATE(AA420,"_",AB420)</f>
        <v>016_Sedes mantenidas</v>
      </c>
      <c r="AD420" s="164" t="str">
        <f>CONCATENATE(Z420," ",AC420)</f>
        <v>08-Infraestructura física, mantenimiento y dotación (Sedes construidas, mantenidas reforzadas) 016_Sedes mantenidas</v>
      </c>
      <c r="AE420" s="163" t="str">
        <f>CONCATENATE(U420,V420,W420,X420,AA420)</f>
        <v>O23011745992024020708016</v>
      </c>
      <c r="AF420" s="163" t="str">
        <f>IFERROR(VLOOKUP(AD420,TD!$J$66:$K$89,2,0)," ")</f>
        <v>PM/0131/0108/45990160207</v>
      </c>
      <c r="AG420" s="118" t="s">
        <v>385</v>
      </c>
      <c r="AH420" s="162" t="s">
        <v>193</v>
      </c>
      <c r="AI420" s="165" t="str">
        <f>CONCATENATE(PAA[[#This Row],[Id Interno]],"-",PAA[[#This Row],[tipo de Contrato (TH talento humano - B/S bienes y/o servicios)]],"-",S420,"-",T420,"-",PAA[[#This Row],[Objeto de la contratación]])</f>
        <v>20260403-TH-8126-9-Prestación de servicios de apoyo a la gestión en la ejecución de los planes y programas de servicio al ciudadano a cargo de la Subdirección de Gestión Corporativa.-SGC</v>
      </c>
    </row>
    <row r="421" spans="2:35" ht="56" x14ac:dyDescent="0.35">
      <c r="B421" s="23">
        <v>20260404</v>
      </c>
      <c r="C421" s="99" t="s">
        <v>673</v>
      </c>
      <c r="D421" s="23" t="s">
        <v>105</v>
      </c>
      <c r="E421" s="23" t="s">
        <v>363</v>
      </c>
      <c r="F421" s="159" t="s">
        <v>145</v>
      </c>
      <c r="G421" s="160" t="s">
        <v>373</v>
      </c>
      <c r="H421" s="161">
        <v>11</v>
      </c>
      <c r="I421" s="161">
        <v>0</v>
      </c>
      <c r="J421" s="127">
        <v>36128000</v>
      </c>
      <c r="K421" s="88" t="s">
        <v>398</v>
      </c>
      <c r="L421" s="159" t="s">
        <v>155</v>
      </c>
      <c r="M421" s="162" t="s">
        <v>422</v>
      </c>
      <c r="N421" s="23" t="s">
        <v>197</v>
      </c>
      <c r="O421" s="151" t="s">
        <v>945</v>
      </c>
      <c r="P421" s="159" t="s">
        <v>348</v>
      </c>
      <c r="Q421" s="53" t="s">
        <v>766</v>
      </c>
      <c r="R421" s="162" t="s">
        <v>208</v>
      </c>
      <c r="S421" s="162" t="str">
        <f>MID(PAA[[#This Row],[Meta Proyecto de Inversión]],1,4)</f>
        <v>8126</v>
      </c>
      <c r="T421" s="162" t="str">
        <f>MID(PAA[[#This Row],[Meta Proyecto de Inversión]],6,1)</f>
        <v>9</v>
      </c>
      <c r="U421" s="163" t="str">
        <f>IFERROR(VLOOKUP(N421,TD!$B$50:$F$54,2,0)," ")</f>
        <v>O230117</v>
      </c>
      <c r="V421" s="163" t="str">
        <f>IFERROR(VLOOKUP(N421,TD!$B$50:$F$54,3,0)," ")</f>
        <v>4599</v>
      </c>
      <c r="W421" s="163">
        <f>IFERROR(VLOOKUP(N421,TD!$B$50:$F$54,4,0)," ")</f>
        <v>20240207</v>
      </c>
      <c r="X421" s="162" t="s">
        <v>174</v>
      </c>
      <c r="Y421" s="163" t="str">
        <f>IFERROR(VLOOKUP(X421,TD!$J$51:$K$64,2,0)," ")</f>
        <v>Infraestructura física, mantenimiento y dotación (Sedes construidas, mantenidas reforzadas)</v>
      </c>
      <c r="Z421" s="164" t="str">
        <f>CONCATENATE(X421,"-",Y421)</f>
        <v>08-Infraestructura física, mantenimiento y dotación (Sedes construidas, mantenidas reforzadas)</v>
      </c>
      <c r="AA421" s="162" t="s">
        <v>227</v>
      </c>
      <c r="AB421" s="163" t="str">
        <f>IFERROR(VLOOKUP(AA421,TD!$N$51:$O$66,2,0)," ")</f>
        <v>Sedes mantenidas</v>
      </c>
      <c r="AC421" s="164" t="str">
        <f>CONCATENATE(AA421,"_",AB421)</f>
        <v>016_Sedes mantenidas</v>
      </c>
      <c r="AD421" s="164" t="str">
        <f>CONCATENATE(Z421," ",AC421)</f>
        <v>08-Infraestructura física, mantenimiento y dotación (Sedes construidas, mantenidas reforzadas) 016_Sedes mantenidas</v>
      </c>
      <c r="AE421" s="163" t="str">
        <f>CONCATENATE(U421,V421,W421,X421,AA421)</f>
        <v>O23011745992024020708016</v>
      </c>
      <c r="AF421" s="163" t="str">
        <f>IFERROR(VLOOKUP(AD421,TD!$J$66:$K$89,2,0)," ")</f>
        <v>PM/0131/0108/45990160207</v>
      </c>
      <c r="AG421" s="118" t="s">
        <v>385</v>
      </c>
      <c r="AH421" s="162" t="s">
        <v>193</v>
      </c>
      <c r="AI421" s="165" t="str">
        <f>CONCATENATE(PAA[[#This Row],[Id Interno]],"-",PAA[[#This Row],[tipo de Contrato (TH talento humano - B/S bienes y/o servicios)]],"-",S421,"-",T421,"-",PAA[[#This Row],[Objeto de la contratación]])</f>
        <v>20260404-TH-8126-9-Prestación de servicios de apoyo a la gestión en la ejecución de los planes y programas de servicio al ciudadano a cargo de la Subdirección de Gestión Corporativa.-SGC</v>
      </c>
    </row>
    <row r="422" spans="2:35" ht="56" x14ac:dyDescent="0.35">
      <c r="B422" s="23">
        <v>20260405</v>
      </c>
      <c r="C422" s="99" t="s">
        <v>673</v>
      </c>
      <c r="D422" s="23" t="s">
        <v>105</v>
      </c>
      <c r="E422" s="23" t="s">
        <v>363</v>
      </c>
      <c r="F422" s="159" t="s">
        <v>145</v>
      </c>
      <c r="G422" s="160" t="s">
        <v>373</v>
      </c>
      <c r="H422" s="161">
        <v>11</v>
      </c>
      <c r="I422" s="161">
        <v>0</v>
      </c>
      <c r="J422" s="127">
        <v>36128000</v>
      </c>
      <c r="K422" s="88" t="s">
        <v>398</v>
      </c>
      <c r="L422" s="159" t="s">
        <v>155</v>
      </c>
      <c r="M422" s="162" t="s">
        <v>422</v>
      </c>
      <c r="N422" s="23" t="s">
        <v>197</v>
      </c>
      <c r="O422" s="151" t="s">
        <v>945</v>
      </c>
      <c r="P422" s="159" t="s">
        <v>348</v>
      </c>
      <c r="Q422" s="53" t="s">
        <v>766</v>
      </c>
      <c r="R422" s="162" t="s">
        <v>208</v>
      </c>
      <c r="S422" s="162" t="str">
        <f>MID(PAA[[#This Row],[Meta Proyecto de Inversión]],1,4)</f>
        <v>8126</v>
      </c>
      <c r="T422" s="162" t="str">
        <f>MID(PAA[[#This Row],[Meta Proyecto de Inversión]],6,1)</f>
        <v>9</v>
      </c>
      <c r="U422" s="163" t="str">
        <f>IFERROR(VLOOKUP(N422,TD!$B$50:$F$54,2,0)," ")</f>
        <v>O230117</v>
      </c>
      <c r="V422" s="163" t="str">
        <f>IFERROR(VLOOKUP(N422,TD!$B$50:$F$54,3,0)," ")</f>
        <v>4599</v>
      </c>
      <c r="W422" s="163">
        <f>IFERROR(VLOOKUP(N422,TD!$B$50:$F$54,4,0)," ")</f>
        <v>20240207</v>
      </c>
      <c r="X422" s="162" t="s">
        <v>174</v>
      </c>
      <c r="Y422" s="163" t="str">
        <f>IFERROR(VLOOKUP(X422,TD!$J$51:$K$64,2,0)," ")</f>
        <v>Infraestructura física, mantenimiento y dotación (Sedes construidas, mantenidas reforzadas)</v>
      </c>
      <c r="Z422" s="164" t="str">
        <f>CONCATENATE(X422,"-",Y422)</f>
        <v>08-Infraestructura física, mantenimiento y dotación (Sedes construidas, mantenidas reforzadas)</v>
      </c>
      <c r="AA422" s="162" t="s">
        <v>227</v>
      </c>
      <c r="AB422" s="163" t="str">
        <f>IFERROR(VLOOKUP(AA422,TD!$N$51:$O$66,2,0)," ")</f>
        <v>Sedes mantenidas</v>
      </c>
      <c r="AC422" s="164" t="str">
        <f>CONCATENATE(AA422,"_",AB422)</f>
        <v>016_Sedes mantenidas</v>
      </c>
      <c r="AD422" s="164" t="str">
        <f>CONCATENATE(Z422," ",AC422)</f>
        <v>08-Infraestructura física, mantenimiento y dotación (Sedes construidas, mantenidas reforzadas) 016_Sedes mantenidas</v>
      </c>
      <c r="AE422" s="163" t="str">
        <f>CONCATENATE(U422,V422,W422,X422,AA422)</f>
        <v>O23011745992024020708016</v>
      </c>
      <c r="AF422" s="163" t="str">
        <f>IFERROR(VLOOKUP(AD422,TD!$J$66:$K$89,2,0)," ")</f>
        <v>PM/0131/0108/45990160207</v>
      </c>
      <c r="AG422" s="118" t="s">
        <v>385</v>
      </c>
      <c r="AH422" s="162" t="s">
        <v>193</v>
      </c>
      <c r="AI422" s="165" t="str">
        <f>CONCATENATE(PAA[[#This Row],[Id Interno]],"-",PAA[[#This Row],[tipo de Contrato (TH talento humano - B/S bienes y/o servicios)]],"-",S422,"-",T422,"-",PAA[[#This Row],[Objeto de la contratación]])</f>
        <v>20260405-TH-8126-9-Prestación de servicios de apoyo a la gestión en la ejecución de los planes y programas de servicio al ciudadano a cargo de la Subdirección de Gestión Corporativa.-SGC</v>
      </c>
    </row>
    <row r="423" spans="2:35" ht="56" x14ac:dyDescent="0.35">
      <c r="B423" s="23">
        <v>20260406</v>
      </c>
      <c r="C423" s="99" t="s">
        <v>673</v>
      </c>
      <c r="D423" s="23" t="s">
        <v>105</v>
      </c>
      <c r="E423" s="23" t="s">
        <v>363</v>
      </c>
      <c r="F423" s="159" t="s">
        <v>145</v>
      </c>
      <c r="G423" s="160" t="s">
        <v>373</v>
      </c>
      <c r="H423" s="161">
        <v>11</v>
      </c>
      <c r="I423" s="161">
        <v>0</v>
      </c>
      <c r="J423" s="127">
        <v>36128000</v>
      </c>
      <c r="K423" s="88" t="s">
        <v>398</v>
      </c>
      <c r="L423" s="159" t="s">
        <v>155</v>
      </c>
      <c r="M423" s="162" t="s">
        <v>422</v>
      </c>
      <c r="N423" s="23" t="s">
        <v>197</v>
      </c>
      <c r="O423" s="151" t="s">
        <v>945</v>
      </c>
      <c r="P423" s="159" t="s">
        <v>348</v>
      </c>
      <c r="Q423" s="53" t="s">
        <v>766</v>
      </c>
      <c r="R423" s="162" t="s">
        <v>208</v>
      </c>
      <c r="S423" s="162" t="str">
        <f>MID(PAA[[#This Row],[Meta Proyecto de Inversión]],1,4)</f>
        <v>8126</v>
      </c>
      <c r="T423" s="162" t="str">
        <f>MID(PAA[[#This Row],[Meta Proyecto de Inversión]],6,1)</f>
        <v>9</v>
      </c>
      <c r="U423" s="163" t="str">
        <f>IFERROR(VLOOKUP(N423,TD!$B$50:$F$54,2,0)," ")</f>
        <v>O230117</v>
      </c>
      <c r="V423" s="163" t="str">
        <f>IFERROR(VLOOKUP(N423,TD!$B$50:$F$54,3,0)," ")</f>
        <v>4599</v>
      </c>
      <c r="W423" s="163">
        <f>IFERROR(VLOOKUP(N423,TD!$B$50:$F$54,4,0)," ")</f>
        <v>20240207</v>
      </c>
      <c r="X423" s="162" t="s">
        <v>174</v>
      </c>
      <c r="Y423" s="163" t="str">
        <f>IFERROR(VLOOKUP(X423,TD!$J$51:$K$64,2,0)," ")</f>
        <v>Infraestructura física, mantenimiento y dotación (Sedes construidas, mantenidas reforzadas)</v>
      </c>
      <c r="Z423" s="164" t="str">
        <f>CONCATENATE(X423,"-",Y423)</f>
        <v>08-Infraestructura física, mantenimiento y dotación (Sedes construidas, mantenidas reforzadas)</v>
      </c>
      <c r="AA423" s="162" t="s">
        <v>227</v>
      </c>
      <c r="AB423" s="163" t="str">
        <f>IFERROR(VLOOKUP(AA423,TD!$N$51:$O$66,2,0)," ")</f>
        <v>Sedes mantenidas</v>
      </c>
      <c r="AC423" s="164" t="str">
        <f>CONCATENATE(AA423,"_",AB423)</f>
        <v>016_Sedes mantenidas</v>
      </c>
      <c r="AD423" s="164" t="str">
        <f>CONCATENATE(Z423," ",AC423)</f>
        <v>08-Infraestructura física, mantenimiento y dotación (Sedes construidas, mantenidas reforzadas) 016_Sedes mantenidas</v>
      </c>
      <c r="AE423" s="163" t="str">
        <f>CONCATENATE(U423,V423,W423,X423,AA423)</f>
        <v>O23011745992024020708016</v>
      </c>
      <c r="AF423" s="163" t="str">
        <f>IFERROR(VLOOKUP(AD423,TD!$J$66:$K$89,2,0)," ")</f>
        <v>PM/0131/0108/45990160207</v>
      </c>
      <c r="AG423" s="118" t="s">
        <v>385</v>
      </c>
      <c r="AH423" s="162" t="s">
        <v>193</v>
      </c>
      <c r="AI423" s="165" t="str">
        <f>CONCATENATE(PAA[[#This Row],[Id Interno]],"-",PAA[[#This Row],[tipo de Contrato (TH talento humano - B/S bienes y/o servicios)]],"-",S423,"-",T423,"-",PAA[[#This Row],[Objeto de la contratación]])</f>
        <v>20260406-TH-8126-9-Prestación de servicios de apoyo a la gestión en la ejecución de los planes y programas de servicio al ciudadano a cargo de la Subdirección de Gestión Corporativa.-SGC</v>
      </c>
    </row>
    <row r="424" spans="2:35" ht="56" x14ac:dyDescent="0.35">
      <c r="B424" s="23">
        <v>20260407</v>
      </c>
      <c r="C424" s="99" t="s">
        <v>673</v>
      </c>
      <c r="D424" s="23" t="s">
        <v>105</v>
      </c>
      <c r="E424" s="23" t="s">
        <v>363</v>
      </c>
      <c r="F424" s="159" t="s">
        <v>145</v>
      </c>
      <c r="G424" s="160" t="s">
        <v>373</v>
      </c>
      <c r="H424" s="161">
        <v>11</v>
      </c>
      <c r="I424" s="161">
        <v>0</v>
      </c>
      <c r="J424" s="127">
        <v>36128000</v>
      </c>
      <c r="K424" s="88" t="s">
        <v>398</v>
      </c>
      <c r="L424" s="159" t="s">
        <v>155</v>
      </c>
      <c r="M424" s="162" t="s">
        <v>422</v>
      </c>
      <c r="N424" s="23" t="s">
        <v>197</v>
      </c>
      <c r="O424" s="151" t="s">
        <v>945</v>
      </c>
      <c r="P424" s="159" t="s">
        <v>348</v>
      </c>
      <c r="Q424" s="53" t="s">
        <v>766</v>
      </c>
      <c r="R424" s="162" t="s">
        <v>208</v>
      </c>
      <c r="S424" s="162" t="str">
        <f>MID(PAA[[#This Row],[Meta Proyecto de Inversión]],1,4)</f>
        <v>8126</v>
      </c>
      <c r="T424" s="162" t="str">
        <f>MID(PAA[[#This Row],[Meta Proyecto de Inversión]],6,1)</f>
        <v>9</v>
      </c>
      <c r="U424" s="163" t="str">
        <f>IFERROR(VLOOKUP(N424,TD!$B$50:$F$54,2,0)," ")</f>
        <v>O230117</v>
      </c>
      <c r="V424" s="163" t="str">
        <f>IFERROR(VLOOKUP(N424,TD!$B$50:$F$54,3,0)," ")</f>
        <v>4599</v>
      </c>
      <c r="W424" s="163">
        <f>IFERROR(VLOOKUP(N424,TD!$B$50:$F$54,4,0)," ")</f>
        <v>20240207</v>
      </c>
      <c r="X424" s="162" t="s">
        <v>174</v>
      </c>
      <c r="Y424" s="163" t="str">
        <f>IFERROR(VLOOKUP(X424,TD!$J$51:$K$64,2,0)," ")</f>
        <v>Infraestructura física, mantenimiento y dotación (Sedes construidas, mantenidas reforzadas)</v>
      </c>
      <c r="Z424" s="164" t="str">
        <f>CONCATENATE(X424,"-",Y424)</f>
        <v>08-Infraestructura física, mantenimiento y dotación (Sedes construidas, mantenidas reforzadas)</v>
      </c>
      <c r="AA424" s="162" t="s">
        <v>227</v>
      </c>
      <c r="AB424" s="163" t="str">
        <f>IFERROR(VLOOKUP(AA424,TD!$N$51:$O$66,2,0)," ")</f>
        <v>Sedes mantenidas</v>
      </c>
      <c r="AC424" s="164" t="str">
        <f>CONCATENATE(AA424,"_",AB424)</f>
        <v>016_Sedes mantenidas</v>
      </c>
      <c r="AD424" s="164" t="str">
        <f>CONCATENATE(Z424," ",AC424)</f>
        <v>08-Infraestructura física, mantenimiento y dotación (Sedes construidas, mantenidas reforzadas) 016_Sedes mantenidas</v>
      </c>
      <c r="AE424" s="163" t="str">
        <f>CONCATENATE(U424,V424,W424,X424,AA424)</f>
        <v>O23011745992024020708016</v>
      </c>
      <c r="AF424" s="163" t="str">
        <f>IFERROR(VLOOKUP(AD424,TD!$J$66:$K$89,2,0)," ")</f>
        <v>PM/0131/0108/45990160207</v>
      </c>
      <c r="AG424" s="118" t="s">
        <v>385</v>
      </c>
      <c r="AH424" s="162" t="s">
        <v>193</v>
      </c>
      <c r="AI424" s="165" t="str">
        <f>CONCATENATE(PAA[[#This Row],[Id Interno]],"-",PAA[[#This Row],[tipo de Contrato (TH talento humano - B/S bienes y/o servicios)]],"-",S424,"-",T424,"-",PAA[[#This Row],[Objeto de la contratación]])</f>
        <v>20260407-TH-8126-9-Prestación de servicios de apoyo a la gestión en la ejecución de los planes y programas de servicio al ciudadano a cargo de la Subdirección de Gestión Corporativa.-SGC</v>
      </c>
    </row>
    <row r="425" spans="2:35" ht="56" x14ac:dyDescent="0.35">
      <c r="B425" s="23">
        <v>20260408</v>
      </c>
      <c r="C425" s="99" t="s">
        <v>675</v>
      </c>
      <c r="D425" s="23" t="s">
        <v>105</v>
      </c>
      <c r="E425" s="23" t="s">
        <v>363</v>
      </c>
      <c r="F425" s="159" t="s">
        <v>144</v>
      </c>
      <c r="G425" s="160" t="s">
        <v>373</v>
      </c>
      <c r="H425" s="161">
        <v>11</v>
      </c>
      <c r="I425" s="161">
        <v>0</v>
      </c>
      <c r="J425" s="127">
        <v>88000000</v>
      </c>
      <c r="K425" s="88" t="s">
        <v>398</v>
      </c>
      <c r="L425" s="159" t="s">
        <v>155</v>
      </c>
      <c r="M425" s="162" t="s">
        <v>422</v>
      </c>
      <c r="N425" s="23" t="s">
        <v>197</v>
      </c>
      <c r="O425" s="151" t="s">
        <v>945</v>
      </c>
      <c r="P425" s="159" t="s">
        <v>348</v>
      </c>
      <c r="Q425" s="53" t="s">
        <v>766</v>
      </c>
      <c r="R425" s="162" t="s">
        <v>208</v>
      </c>
      <c r="S425" s="162" t="str">
        <f>MID(PAA[[#This Row],[Meta Proyecto de Inversión]],1,4)</f>
        <v>8126</v>
      </c>
      <c r="T425" s="162" t="str">
        <f>MID(PAA[[#This Row],[Meta Proyecto de Inversión]],6,1)</f>
        <v>9</v>
      </c>
      <c r="U425" s="163" t="str">
        <f>IFERROR(VLOOKUP(N425,TD!$B$50:$F$54,2,0)," ")</f>
        <v>O230117</v>
      </c>
      <c r="V425" s="163" t="str">
        <f>IFERROR(VLOOKUP(N425,TD!$B$50:$F$54,3,0)," ")</f>
        <v>4599</v>
      </c>
      <c r="W425" s="163">
        <f>IFERROR(VLOOKUP(N425,TD!$B$50:$F$54,4,0)," ")</f>
        <v>20240207</v>
      </c>
      <c r="X425" s="162" t="s">
        <v>174</v>
      </c>
      <c r="Y425" s="163" t="str">
        <f>IFERROR(VLOOKUP(X425,TD!$J$51:$K$64,2,0)," ")</f>
        <v>Infraestructura física, mantenimiento y dotación (Sedes construidas, mantenidas reforzadas)</v>
      </c>
      <c r="Z425" s="164" t="str">
        <f>CONCATENATE(X425,"-",Y425)</f>
        <v>08-Infraestructura física, mantenimiento y dotación (Sedes construidas, mantenidas reforzadas)</v>
      </c>
      <c r="AA425" s="162" t="s">
        <v>227</v>
      </c>
      <c r="AB425" s="163" t="str">
        <f>IFERROR(VLOOKUP(AA425,TD!$N$51:$O$66,2,0)," ")</f>
        <v>Sedes mantenidas</v>
      </c>
      <c r="AC425" s="164" t="str">
        <f>CONCATENATE(AA425,"_",AB425)</f>
        <v>016_Sedes mantenidas</v>
      </c>
      <c r="AD425" s="164" t="str">
        <f>CONCATENATE(Z425," ",AC425)</f>
        <v>08-Infraestructura física, mantenimiento y dotación (Sedes construidas, mantenidas reforzadas) 016_Sedes mantenidas</v>
      </c>
      <c r="AE425" s="163" t="str">
        <f>CONCATENATE(U425,V425,W425,X425,AA425)</f>
        <v>O23011745992024020708016</v>
      </c>
      <c r="AF425" s="163" t="str">
        <f>IFERROR(VLOOKUP(AD425,TD!$J$66:$K$89,2,0)," ")</f>
        <v>PM/0131/0108/45990160207</v>
      </c>
      <c r="AG425" s="118" t="s">
        <v>385</v>
      </c>
      <c r="AH425" s="162" t="s">
        <v>193</v>
      </c>
      <c r="AI425" s="165" t="str">
        <f>CONCATENATE(PAA[[#This Row],[Id Interno]],"-",PAA[[#This Row],[tipo de Contrato (TH talento humano - B/S bienes y/o servicios)]],"-",S425,"-",T425,"-",PAA[[#This Row],[Objeto de la contratación]])</f>
        <v>20260408-TH-8126-9-Prestación de servicios profesionales en la Subdirección de Gestión Corporativa adelantando las actividades necesarias para la ejecución del programa y los procesos de seguros de la Entidad-SGC</v>
      </c>
    </row>
    <row r="426" spans="2:35" ht="56" x14ac:dyDescent="0.35">
      <c r="B426" s="23">
        <v>20260409</v>
      </c>
      <c r="C426" s="99" t="s">
        <v>676</v>
      </c>
      <c r="D426" s="23" t="s">
        <v>105</v>
      </c>
      <c r="E426" s="23" t="s">
        <v>363</v>
      </c>
      <c r="F426" s="159" t="s">
        <v>145</v>
      </c>
      <c r="G426" s="160" t="s">
        <v>373</v>
      </c>
      <c r="H426" s="161">
        <v>11</v>
      </c>
      <c r="I426" s="161">
        <v>0</v>
      </c>
      <c r="J426" s="127">
        <v>47187000</v>
      </c>
      <c r="K426" s="88" t="s">
        <v>398</v>
      </c>
      <c r="L426" s="159" t="s">
        <v>155</v>
      </c>
      <c r="M426" s="162" t="s">
        <v>422</v>
      </c>
      <c r="N426" s="23" t="s">
        <v>197</v>
      </c>
      <c r="O426" s="151" t="s">
        <v>945</v>
      </c>
      <c r="P426" s="159" t="s">
        <v>348</v>
      </c>
      <c r="Q426" s="53" t="s">
        <v>766</v>
      </c>
      <c r="R426" s="162" t="s">
        <v>208</v>
      </c>
      <c r="S426" s="162" t="str">
        <f>MID(PAA[[#This Row],[Meta Proyecto de Inversión]],1,4)</f>
        <v>8126</v>
      </c>
      <c r="T426" s="162" t="str">
        <f>MID(PAA[[#This Row],[Meta Proyecto de Inversión]],6,1)</f>
        <v>9</v>
      </c>
      <c r="U426" s="163" t="str">
        <f>IFERROR(VLOOKUP(N426,TD!$B$50:$F$54,2,0)," ")</f>
        <v>O230117</v>
      </c>
      <c r="V426" s="163" t="str">
        <f>IFERROR(VLOOKUP(N426,TD!$B$50:$F$54,3,0)," ")</f>
        <v>4599</v>
      </c>
      <c r="W426" s="163">
        <f>IFERROR(VLOOKUP(N426,TD!$B$50:$F$54,4,0)," ")</f>
        <v>20240207</v>
      </c>
      <c r="X426" s="162" t="s">
        <v>174</v>
      </c>
      <c r="Y426" s="163" t="str">
        <f>IFERROR(VLOOKUP(X426,TD!$J$51:$K$64,2,0)," ")</f>
        <v>Infraestructura física, mantenimiento y dotación (Sedes construidas, mantenidas reforzadas)</v>
      </c>
      <c r="Z426" s="164" t="str">
        <f>CONCATENATE(X426,"-",Y426)</f>
        <v>08-Infraestructura física, mantenimiento y dotación (Sedes construidas, mantenidas reforzadas)</v>
      </c>
      <c r="AA426" s="162" t="s">
        <v>227</v>
      </c>
      <c r="AB426" s="163" t="str">
        <f>IFERROR(VLOOKUP(AA426,TD!$N$51:$O$66,2,0)," ")</f>
        <v>Sedes mantenidas</v>
      </c>
      <c r="AC426" s="164" t="str">
        <f>CONCATENATE(AA426,"_",AB426)</f>
        <v>016_Sedes mantenidas</v>
      </c>
      <c r="AD426" s="164" t="str">
        <f>CONCATENATE(Z426," ",AC426)</f>
        <v>08-Infraestructura física, mantenimiento y dotación (Sedes construidas, mantenidas reforzadas) 016_Sedes mantenidas</v>
      </c>
      <c r="AE426" s="163" t="str">
        <f>CONCATENATE(U426,V426,W426,X426,AA426)</f>
        <v>O23011745992024020708016</v>
      </c>
      <c r="AF426" s="163" t="str">
        <f>IFERROR(VLOOKUP(AD426,TD!$J$66:$K$89,2,0)," ")</f>
        <v>PM/0131/0108/45990160207</v>
      </c>
      <c r="AG426" s="118" t="s">
        <v>385</v>
      </c>
      <c r="AH426" s="162" t="s">
        <v>193</v>
      </c>
      <c r="AI426" s="165" t="str">
        <f>CONCATENATE(PAA[[#This Row],[Id Interno]],"-",PAA[[#This Row],[tipo de Contrato (TH talento humano - B/S bienes y/o servicios)]],"-",S426,"-",T426,"-",PAA[[#This Row],[Objeto de la contratación]])</f>
        <v>20260409-TH-8126-9-Prestación de servicios de apoyo en la gestión de seguros de la Subdirección de Gestión Corporativa. –SGC</v>
      </c>
    </row>
    <row r="427" spans="2:35" ht="70" x14ac:dyDescent="0.35">
      <c r="B427" s="23">
        <v>20260410</v>
      </c>
      <c r="C427" s="99" t="s">
        <v>677</v>
      </c>
      <c r="D427" s="23" t="s">
        <v>105</v>
      </c>
      <c r="E427" s="23" t="s">
        <v>363</v>
      </c>
      <c r="F427" s="159" t="s">
        <v>144</v>
      </c>
      <c r="G427" s="160" t="s">
        <v>373</v>
      </c>
      <c r="H427" s="161">
        <v>11</v>
      </c>
      <c r="I427" s="161">
        <v>0</v>
      </c>
      <c r="J427" s="127">
        <v>56772000</v>
      </c>
      <c r="K427" s="88" t="s">
        <v>398</v>
      </c>
      <c r="L427" s="159" t="s">
        <v>155</v>
      </c>
      <c r="M427" s="162" t="s">
        <v>422</v>
      </c>
      <c r="N427" s="23" t="s">
        <v>197</v>
      </c>
      <c r="O427" s="151" t="s">
        <v>945</v>
      </c>
      <c r="P427" s="159" t="s">
        <v>348</v>
      </c>
      <c r="Q427" s="53" t="s">
        <v>766</v>
      </c>
      <c r="R427" s="162" t="s">
        <v>208</v>
      </c>
      <c r="S427" s="162" t="str">
        <f>MID(PAA[[#This Row],[Meta Proyecto de Inversión]],1,4)</f>
        <v>8126</v>
      </c>
      <c r="T427" s="162" t="str">
        <f>MID(PAA[[#This Row],[Meta Proyecto de Inversión]],6,1)</f>
        <v>9</v>
      </c>
      <c r="U427" s="163" t="str">
        <f>IFERROR(VLOOKUP(N427,TD!$B$50:$F$54,2,0)," ")</f>
        <v>O230117</v>
      </c>
      <c r="V427" s="163" t="str">
        <f>IFERROR(VLOOKUP(N427,TD!$B$50:$F$54,3,0)," ")</f>
        <v>4599</v>
      </c>
      <c r="W427" s="163">
        <f>IFERROR(VLOOKUP(N427,TD!$B$50:$F$54,4,0)," ")</f>
        <v>20240207</v>
      </c>
      <c r="X427" s="162" t="s">
        <v>174</v>
      </c>
      <c r="Y427" s="163" t="str">
        <f>IFERROR(VLOOKUP(X427,TD!$J$51:$K$64,2,0)," ")</f>
        <v>Infraestructura física, mantenimiento y dotación (Sedes construidas, mantenidas reforzadas)</v>
      </c>
      <c r="Z427" s="164" t="str">
        <f>CONCATENATE(X427,"-",Y427)</f>
        <v>08-Infraestructura física, mantenimiento y dotación (Sedes construidas, mantenidas reforzadas)</v>
      </c>
      <c r="AA427" s="162" t="s">
        <v>227</v>
      </c>
      <c r="AB427" s="163" t="str">
        <f>IFERROR(VLOOKUP(AA427,TD!$N$51:$O$66,2,0)," ")</f>
        <v>Sedes mantenidas</v>
      </c>
      <c r="AC427" s="164" t="str">
        <f>CONCATENATE(AA427,"_",AB427)</f>
        <v>016_Sedes mantenidas</v>
      </c>
      <c r="AD427" s="164" t="str">
        <f>CONCATENATE(Z427," ",AC427)</f>
        <v>08-Infraestructura física, mantenimiento y dotación (Sedes construidas, mantenidas reforzadas) 016_Sedes mantenidas</v>
      </c>
      <c r="AE427" s="163" t="str">
        <f>CONCATENATE(U427,V427,W427,X427,AA427)</f>
        <v>O23011745992024020708016</v>
      </c>
      <c r="AF427" s="163" t="str">
        <f>IFERROR(VLOOKUP(AD427,TD!$J$66:$K$89,2,0)," ")</f>
        <v>PM/0131/0108/45990160207</v>
      </c>
      <c r="AG427" s="118" t="s">
        <v>385</v>
      </c>
      <c r="AH427" s="162" t="s">
        <v>193</v>
      </c>
      <c r="AI427" s="165" t="str">
        <f>CONCATENATE(PAA[[#This Row],[Id Interno]],"-",PAA[[#This Row],[tipo de Contrato (TH talento humano - B/S bienes y/o servicios)]],"-",S427,"-",T427,"-",PAA[[#This Row],[Objeto de la contratación]])</f>
        <v>20260410-TH-8126-9-Prestación de servicios profesionales para apoyar a la Subdirección de Gestión Corporativa aplicando los procesos y procedimientos de seguros e inventarios -SGC</v>
      </c>
    </row>
    <row r="428" spans="2:35" ht="70" x14ac:dyDescent="0.35">
      <c r="B428" s="23">
        <v>20260411</v>
      </c>
      <c r="C428" s="99" t="s">
        <v>678</v>
      </c>
      <c r="D428" s="23" t="s">
        <v>105</v>
      </c>
      <c r="E428" s="23" t="s">
        <v>363</v>
      </c>
      <c r="F428" s="159" t="s">
        <v>145</v>
      </c>
      <c r="G428" s="160" t="s">
        <v>373</v>
      </c>
      <c r="H428" s="161">
        <v>11</v>
      </c>
      <c r="I428" s="161">
        <v>0</v>
      </c>
      <c r="J428" s="127">
        <v>36128000</v>
      </c>
      <c r="K428" s="88" t="s">
        <v>398</v>
      </c>
      <c r="L428" s="159" t="s">
        <v>155</v>
      </c>
      <c r="M428" s="162" t="s">
        <v>422</v>
      </c>
      <c r="N428" s="23" t="s">
        <v>197</v>
      </c>
      <c r="O428" s="151" t="s">
        <v>945</v>
      </c>
      <c r="P428" s="159" t="s">
        <v>348</v>
      </c>
      <c r="Q428" s="53" t="s">
        <v>766</v>
      </c>
      <c r="R428" s="162" t="s">
        <v>208</v>
      </c>
      <c r="S428" s="162" t="str">
        <f>MID(PAA[[#This Row],[Meta Proyecto de Inversión]],1,4)</f>
        <v>8126</v>
      </c>
      <c r="T428" s="162" t="str">
        <f>MID(PAA[[#This Row],[Meta Proyecto de Inversión]],6,1)</f>
        <v>9</v>
      </c>
      <c r="U428" s="163" t="str">
        <f>IFERROR(VLOOKUP(N428,TD!$B$50:$F$54,2,0)," ")</f>
        <v>O230117</v>
      </c>
      <c r="V428" s="163" t="str">
        <f>IFERROR(VLOOKUP(N428,TD!$B$50:$F$54,3,0)," ")</f>
        <v>4599</v>
      </c>
      <c r="W428" s="163">
        <f>IFERROR(VLOOKUP(N428,TD!$B$50:$F$54,4,0)," ")</f>
        <v>20240207</v>
      </c>
      <c r="X428" s="162" t="s">
        <v>174</v>
      </c>
      <c r="Y428" s="163" t="str">
        <f>IFERROR(VLOOKUP(X428,TD!$J$51:$K$64,2,0)," ")</f>
        <v>Infraestructura física, mantenimiento y dotación (Sedes construidas, mantenidas reforzadas)</v>
      </c>
      <c r="Z428" s="164" t="str">
        <f>CONCATENATE(X428,"-",Y428)</f>
        <v>08-Infraestructura física, mantenimiento y dotación (Sedes construidas, mantenidas reforzadas)</v>
      </c>
      <c r="AA428" s="162" t="s">
        <v>227</v>
      </c>
      <c r="AB428" s="163" t="str">
        <f>IFERROR(VLOOKUP(AA428,TD!$N$51:$O$66,2,0)," ")</f>
        <v>Sedes mantenidas</v>
      </c>
      <c r="AC428" s="164" t="str">
        <f>CONCATENATE(AA428,"_",AB428)</f>
        <v>016_Sedes mantenidas</v>
      </c>
      <c r="AD428" s="164" t="str">
        <f>CONCATENATE(Z428," ",AC428)</f>
        <v>08-Infraestructura física, mantenimiento y dotación (Sedes construidas, mantenidas reforzadas) 016_Sedes mantenidas</v>
      </c>
      <c r="AE428" s="163" t="str">
        <f>CONCATENATE(U428,V428,W428,X428,AA428)</f>
        <v>O23011745992024020708016</v>
      </c>
      <c r="AF428" s="163" t="str">
        <f>IFERROR(VLOOKUP(AD428,TD!$J$66:$K$89,2,0)," ")</f>
        <v>PM/0131/0108/45990160207</v>
      </c>
      <c r="AG428" s="118" t="s">
        <v>385</v>
      </c>
      <c r="AH428" s="162" t="s">
        <v>193</v>
      </c>
      <c r="AI428" s="165" t="str">
        <f>CONCATENATE(PAA[[#This Row],[Id Interno]],"-",PAA[[#This Row],[tipo de Contrato (TH talento humano - B/S bienes y/o servicios)]],"-",S428,"-",T428,"-",PAA[[#This Row],[Objeto de la contratación]])</f>
        <v>20260411-TH-8126-9-Prestación de servicios de apoyo a la gestión de seguros de la Subdirección de Gestión Corporativa. –SGC</v>
      </c>
    </row>
    <row r="429" spans="2:35" ht="56" x14ac:dyDescent="0.35">
      <c r="B429" s="99">
        <v>20260412</v>
      </c>
      <c r="C429" s="99" t="s">
        <v>679</v>
      </c>
      <c r="D429" s="99" t="s">
        <v>105</v>
      </c>
      <c r="E429" s="99" t="s">
        <v>363</v>
      </c>
      <c r="F429" s="160" t="s">
        <v>144</v>
      </c>
      <c r="G429" s="160" t="s">
        <v>373</v>
      </c>
      <c r="H429" s="167">
        <v>4</v>
      </c>
      <c r="I429" s="167">
        <v>0</v>
      </c>
      <c r="J429" s="118">
        <v>29491924</v>
      </c>
      <c r="K429" s="126" t="s">
        <v>398</v>
      </c>
      <c r="L429" s="160" t="s">
        <v>155</v>
      </c>
      <c r="M429" s="166" t="s">
        <v>422</v>
      </c>
      <c r="N429" s="99" t="s">
        <v>197</v>
      </c>
      <c r="O429" s="151" t="s">
        <v>945</v>
      </c>
      <c r="P429" s="160" t="s">
        <v>348</v>
      </c>
      <c r="Q429" s="128" t="s">
        <v>766</v>
      </c>
      <c r="R429" s="166" t="s">
        <v>208</v>
      </c>
      <c r="S429" s="162" t="str">
        <f>MID(PAA[[#This Row],[Meta Proyecto de Inversión]],1,4)</f>
        <v>8126</v>
      </c>
      <c r="T429" s="162" t="str">
        <f>MID(PAA[[#This Row],[Meta Proyecto de Inversión]],6,1)</f>
        <v>9</v>
      </c>
      <c r="U429" s="168" t="str">
        <f>IFERROR(VLOOKUP(N429,TD!$B$50:$F$54,2,0)," ")</f>
        <v>O230117</v>
      </c>
      <c r="V429" s="168" t="str">
        <f>IFERROR(VLOOKUP(N429,TD!$B$50:$F$54,3,0)," ")</f>
        <v>4599</v>
      </c>
      <c r="W429" s="168">
        <f>IFERROR(VLOOKUP(N429,TD!$B$50:$F$54,4,0)," ")</f>
        <v>20240207</v>
      </c>
      <c r="X429" s="166" t="s">
        <v>174</v>
      </c>
      <c r="Y429" s="168" t="str">
        <f>IFERROR(VLOOKUP(X429,TD!$J$51:$K$64,2,0)," ")</f>
        <v>Infraestructura física, mantenimiento y dotación (Sedes construidas, mantenidas reforzadas)</v>
      </c>
      <c r="Z429" s="164" t="str">
        <f>CONCATENATE(X429,"-",Y429)</f>
        <v>08-Infraestructura física, mantenimiento y dotación (Sedes construidas, mantenidas reforzadas)</v>
      </c>
      <c r="AA429" s="166" t="s">
        <v>227</v>
      </c>
      <c r="AB429" s="168" t="str">
        <f>IFERROR(VLOOKUP(AA429,TD!$N$51:$O$66,2,0)," ")</f>
        <v>Sedes mantenidas</v>
      </c>
      <c r="AC429" s="164" t="str">
        <f>CONCATENATE(AA429,"_",AB429)</f>
        <v>016_Sedes mantenidas</v>
      </c>
      <c r="AD429" s="164" t="str">
        <f>CONCATENATE(Z429," ",AC429)</f>
        <v>08-Infraestructura física, mantenimiento y dotación (Sedes construidas, mantenidas reforzadas) 016_Sedes mantenidas</v>
      </c>
      <c r="AE429" s="168" t="str">
        <f>CONCATENATE(U429,V429,W429,X429,AA429)</f>
        <v>O23011745992024020708016</v>
      </c>
      <c r="AF429" s="168" t="str">
        <f>IFERROR(VLOOKUP(AD429,TD!$J$66:$K$89,2,0)," ")</f>
        <v>PM/0131/0108/45990160207</v>
      </c>
      <c r="AG429" s="118" t="s">
        <v>385</v>
      </c>
      <c r="AH429" s="166" t="s">
        <v>193</v>
      </c>
      <c r="AI429" s="169" t="str">
        <f>CONCATENATE(PAA[[#This Row],[Id Interno]],"-",PAA[[#This Row],[tipo de Contrato (TH talento humano - B/S bienes y/o servicios)]],"-",S429,"-",T429,"-",PAA[[#This Row],[Objeto de la contratación]])</f>
        <v>20260412-TH-8126-9-Prestación de servicios profesionales en la Subdirección de Gestión Corporativa en las actividades relacionadas con MIPG-SGC</v>
      </c>
    </row>
    <row r="430" spans="2:35" ht="56" x14ac:dyDescent="0.35">
      <c r="B430" s="23">
        <v>20260414</v>
      </c>
      <c r="C430" s="99" t="s">
        <v>681</v>
      </c>
      <c r="D430" s="23" t="s">
        <v>105</v>
      </c>
      <c r="E430" s="23" t="s">
        <v>363</v>
      </c>
      <c r="F430" s="159" t="s">
        <v>145</v>
      </c>
      <c r="G430" s="160" t="s">
        <v>373</v>
      </c>
      <c r="H430" s="161">
        <v>11</v>
      </c>
      <c r="I430" s="161">
        <v>0</v>
      </c>
      <c r="J430" s="127">
        <v>30966000</v>
      </c>
      <c r="K430" s="88" t="s">
        <v>398</v>
      </c>
      <c r="L430" s="159" t="s">
        <v>155</v>
      </c>
      <c r="M430" s="162" t="s">
        <v>422</v>
      </c>
      <c r="N430" s="23" t="s">
        <v>197</v>
      </c>
      <c r="O430" s="151" t="s">
        <v>945</v>
      </c>
      <c r="P430" s="159" t="s">
        <v>348</v>
      </c>
      <c r="Q430" s="53" t="s">
        <v>766</v>
      </c>
      <c r="R430" s="162" t="s">
        <v>208</v>
      </c>
      <c r="S430" s="162" t="str">
        <f>MID(PAA[[#This Row],[Meta Proyecto de Inversión]],1,4)</f>
        <v>8126</v>
      </c>
      <c r="T430" s="162" t="str">
        <f>MID(PAA[[#This Row],[Meta Proyecto de Inversión]],6,1)</f>
        <v>9</v>
      </c>
      <c r="U430" s="163" t="str">
        <f>IFERROR(VLOOKUP(N430,TD!$B$50:$F$54,2,0)," ")</f>
        <v>O230117</v>
      </c>
      <c r="V430" s="163" t="str">
        <f>IFERROR(VLOOKUP(N430,TD!$B$50:$F$54,3,0)," ")</f>
        <v>4599</v>
      </c>
      <c r="W430" s="163">
        <f>IFERROR(VLOOKUP(N430,TD!$B$50:$F$54,4,0)," ")</f>
        <v>20240207</v>
      </c>
      <c r="X430" s="162" t="s">
        <v>174</v>
      </c>
      <c r="Y430" s="163" t="str">
        <f>IFERROR(VLOOKUP(X430,TD!$J$51:$K$64,2,0)," ")</f>
        <v>Infraestructura física, mantenimiento y dotación (Sedes construidas, mantenidas reforzadas)</v>
      </c>
      <c r="Z430" s="164" t="str">
        <f>CONCATENATE(X430,"-",Y430)</f>
        <v>08-Infraestructura física, mantenimiento y dotación (Sedes construidas, mantenidas reforzadas)</v>
      </c>
      <c r="AA430" s="162" t="s">
        <v>227</v>
      </c>
      <c r="AB430" s="163" t="str">
        <f>IFERROR(VLOOKUP(AA430,TD!$N$51:$O$66,2,0)," ")</f>
        <v>Sedes mantenidas</v>
      </c>
      <c r="AC430" s="164" t="str">
        <f>CONCATENATE(AA430,"_",AB430)</f>
        <v>016_Sedes mantenidas</v>
      </c>
      <c r="AD430" s="164" t="str">
        <f>CONCATENATE(Z430," ",AC430)</f>
        <v>08-Infraestructura física, mantenimiento y dotación (Sedes construidas, mantenidas reforzadas) 016_Sedes mantenidas</v>
      </c>
      <c r="AE430" s="163" t="str">
        <f>CONCATENATE(U430,V430,W430,X430,AA430)</f>
        <v>O23011745992024020708016</v>
      </c>
      <c r="AF430" s="163" t="str">
        <f>IFERROR(VLOOKUP(AD430,TD!$J$66:$K$89,2,0)," ")</f>
        <v>PM/0131/0108/45990160207</v>
      </c>
      <c r="AG430" s="118" t="s">
        <v>385</v>
      </c>
      <c r="AH430" s="162" t="s">
        <v>193</v>
      </c>
      <c r="AI430" s="165" t="str">
        <f>CONCATENATE(PAA[[#This Row],[Id Interno]],"-",PAA[[#This Row],[tipo de Contrato (TH talento humano - B/S bienes y/o servicios)]],"-",S430,"-",T430,"-",PAA[[#This Row],[Objeto de la contratación]])</f>
        <v>20260414-TH-8126-9-Prestación de servicios de apoyo a la gestión del proceso de inventarios de la Subdirección de Gestión Corporativa.-SGC</v>
      </c>
    </row>
    <row r="431" spans="2:35" ht="56" x14ac:dyDescent="0.35">
      <c r="B431" s="23">
        <v>20260415</v>
      </c>
      <c r="C431" s="99" t="s">
        <v>681</v>
      </c>
      <c r="D431" s="23" t="s">
        <v>105</v>
      </c>
      <c r="E431" s="23" t="s">
        <v>363</v>
      </c>
      <c r="F431" s="159" t="s">
        <v>145</v>
      </c>
      <c r="G431" s="160" t="s">
        <v>373</v>
      </c>
      <c r="H431" s="161">
        <v>11</v>
      </c>
      <c r="I431" s="161">
        <v>0</v>
      </c>
      <c r="J431" s="127">
        <v>30966000</v>
      </c>
      <c r="K431" s="88" t="s">
        <v>398</v>
      </c>
      <c r="L431" s="159" t="s">
        <v>155</v>
      </c>
      <c r="M431" s="162" t="s">
        <v>422</v>
      </c>
      <c r="N431" s="23" t="s">
        <v>197</v>
      </c>
      <c r="O431" s="151" t="s">
        <v>945</v>
      </c>
      <c r="P431" s="159" t="s">
        <v>348</v>
      </c>
      <c r="Q431" s="53" t="s">
        <v>766</v>
      </c>
      <c r="R431" s="162" t="s">
        <v>208</v>
      </c>
      <c r="S431" s="162" t="str">
        <f>MID(PAA[[#This Row],[Meta Proyecto de Inversión]],1,4)</f>
        <v>8126</v>
      </c>
      <c r="T431" s="162" t="str">
        <f>MID(PAA[[#This Row],[Meta Proyecto de Inversión]],6,1)</f>
        <v>9</v>
      </c>
      <c r="U431" s="163" t="str">
        <f>IFERROR(VLOOKUP(N431,TD!$B$50:$F$54,2,0)," ")</f>
        <v>O230117</v>
      </c>
      <c r="V431" s="163" t="str">
        <f>IFERROR(VLOOKUP(N431,TD!$B$50:$F$54,3,0)," ")</f>
        <v>4599</v>
      </c>
      <c r="W431" s="163">
        <f>IFERROR(VLOOKUP(N431,TD!$B$50:$F$54,4,0)," ")</f>
        <v>20240207</v>
      </c>
      <c r="X431" s="162" t="s">
        <v>174</v>
      </c>
      <c r="Y431" s="163" t="str">
        <f>IFERROR(VLOOKUP(X431,TD!$J$51:$K$64,2,0)," ")</f>
        <v>Infraestructura física, mantenimiento y dotación (Sedes construidas, mantenidas reforzadas)</v>
      </c>
      <c r="Z431" s="164" t="str">
        <f>CONCATENATE(X431,"-",Y431)</f>
        <v>08-Infraestructura física, mantenimiento y dotación (Sedes construidas, mantenidas reforzadas)</v>
      </c>
      <c r="AA431" s="162" t="s">
        <v>227</v>
      </c>
      <c r="AB431" s="163" t="str">
        <f>IFERROR(VLOOKUP(AA431,TD!$N$51:$O$66,2,0)," ")</f>
        <v>Sedes mantenidas</v>
      </c>
      <c r="AC431" s="164" t="str">
        <f>CONCATENATE(AA431,"_",AB431)</f>
        <v>016_Sedes mantenidas</v>
      </c>
      <c r="AD431" s="164" t="str">
        <f>CONCATENATE(Z431," ",AC431)</f>
        <v>08-Infraestructura física, mantenimiento y dotación (Sedes construidas, mantenidas reforzadas) 016_Sedes mantenidas</v>
      </c>
      <c r="AE431" s="163" t="str">
        <f>CONCATENATE(U431,V431,W431,X431,AA431)</f>
        <v>O23011745992024020708016</v>
      </c>
      <c r="AF431" s="163" t="str">
        <f>IFERROR(VLOOKUP(AD431,TD!$J$66:$K$89,2,0)," ")</f>
        <v>PM/0131/0108/45990160207</v>
      </c>
      <c r="AG431" s="118" t="s">
        <v>385</v>
      </c>
      <c r="AH431" s="162" t="s">
        <v>193</v>
      </c>
      <c r="AI431" s="165" t="str">
        <f>CONCATENATE(PAA[[#This Row],[Id Interno]],"-",PAA[[#This Row],[tipo de Contrato (TH talento humano - B/S bienes y/o servicios)]],"-",S431,"-",T431,"-",PAA[[#This Row],[Objeto de la contratación]])</f>
        <v>20260415-TH-8126-9-Prestación de servicios de apoyo a la gestión del proceso de inventarios de la Subdirección de Gestión Corporativa.-SGC</v>
      </c>
    </row>
    <row r="432" spans="2:35" ht="56" x14ac:dyDescent="0.35">
      <c r="B432" s="23">
        <v>20260416</v>
      </c>
      <c r="C432" s="99" t="s">
        <v>681</v>
      </c>
      <c r="D432" s="23" t="s">
        <v>105</v>
      </c>
      <c r="E432" s="23" t="s">
        <v>363</v>
      </c>
      <c r="F432" s="159" t="s">
        <v>145</v>
      </c>
      <c r="G432" s="160" t="s">
        <v>373</v>
      </c>
      <c r="H432" s="161">
        <v>11</v>
      </c>
      <c r="I432" s="161">
        <v>0</v>
      </c>
      <c r="J432" s="127">
        <v>30966000</v>
      </c>
      <c r="K432" s="88" t="s">
        <v>398</v>
      </c>
      <c r="L432" s="159" t="s">
        <v>155</v>
      </c>
      <c r="M432" s="162" t="s">
        <v>422</v>
      </c>
      <c r="N432" s="23" t="s">
        <v>197</v>
      </c>
      <c r="O432" s="151" t="s">
        <v>945</v>
      </c>
      <c r="P432" s="159" t="s">
        <v>348</v>
      </c>
      <c r="Q432" s="53" t="s">
        <v>766</v>
      </c>
      <c r="R432" s="162" t="s">
        <v>208</v>
      </c>
      <c r="S432" s="162" t="str">
        <f>MID(PAA[[#This Row],[Meta Proyecto de Inversión]],1,4)</f>
        <v>8126</v>
      </c>
      <c r="T432" s="162" t="str">
        <f>MID(PAA[[#This Row],[Meta Proyecto de Inversión]],6,1)</f>
        <v>9</v>
      </c>
      <c r="U432" s="163" t="str">
        <f>IFERROR(VLOOKUP(N432,TD!$B$50:$F$54,2,0)," ")</f>
        <v>O230117</v>
      </c>
      <c r="V432" s="163" t="str">
        <f>IFERROR(VLOOKUP(N432,TD!$B$50:$F$54,3,0)," ")</f>
        <v>4599</v>
      </c>
      <c r="W432" s="163">
        <f>IFERROR(VLOOKUP(N432,TD!$B$50:$F$54,4,0)," ")</f>
        <v>20240207</v>
      </c>
      <c r="X432" s="162" t="s">
        <v>174</v>
      </c>
      <c r="Y432" s="163" t="str">
        <f>IFERROR(VLOOKUP(X432,TD!$J$51:$K$64,2,0)," ")</f>
        <v>Infraestructura física, mantenimiento y dotación (Sedes construidas, mantenidas reforzadas)</v>
      </c>
      <c r="Z432" s="164" t="str">
        <f>CONCATENATE(X432,"-",Y432)</f>
        <v>08-Infraestructura física, mantenimiento y dotación (Sedes construidas, mantenidas reforzadas)</v>
      </c>
      <c r="AA432" s="162" t="s">
        <v>227</v>
      </c>
      <c r="AB432" s="163" t="str">
        <f>IFERROR(VLOOKUP(AA432,TD!$N$51:$O$66,2,0)," ")</f>
        <v>Sedes mantenidas</v>
      </c>
      <c r="AC432" s="164" t="str">
        <f>CONCATENATE(AA432,"_",AB432)</f>
        <v>016_Sedes mantenidas</v>
      </c>
      <c r="AD432" s="164" t="str">
        <f>CONCATENATE(Z432," ",AC432)</f>
        <v>08-Infraestructura física, mantenimiento y dotación (Sedes construidas, mantenidas reforzadas) 016_Sedes mantenidas</v>
      </c>
      <c r="AE432" s="163" t="str">
        <f>CONCATENATE(U432,V432,W432,X432,AA432)</f>
        <v>O23011745992024020708016</v>
      </c>
      <c r="AF432" s="163" t="str">
        <f>IFERROR(VLOOKUP(AD432,TD!$J$66:$K$89,2,0)," ")</f>
        <v>PM/0131/0108/45990160207</v>
      </c>
      <c r="AG432" s="118" t="s">
        <v>385</v>
      </c>
      <c r="AH432" s="162" t="s">
        <v>193</v>
      </c>
      <c r="AI432" s="165" t="str">
        <f>CONCATENATE(PAA[[#This Row],[Id Interno]],"-",PAA[[#This Row],[tipo de Contrato (TH talento humano - B/S bienes y/o servicios)]],"-",S432,"-",T432,"-",PAA[[#This Row],[Objeto de la contratación]])</f>
        <v>20260416-TH-8126-9-Prestación de servicios de apoyo a la gestión del proceso de inventarios de la Subdirección de Gestión Corporativa.-SGC</v>
      </c>
    </row>
    <row r="433" spans="2:35" ht="56" x14ac:dyDescent="0.35">
      <c r="B433" s="23">
        <v>20260417</v>
      </c>
      <c r="C433" s="99" t="s">
        <v>682</v>
      </c>
      <c r="D433" s="23" t="s">
        <v>105</v>
      </c>
      <c r="E433" s="23" t="s">
        <v>363</v>
      </c>
      <c r="F433" s="159" t="s">
        <v>144</v>
      </c>
      <c r="G433" s="160" t="s">
        <v>373</v>
      </c>
      <c r="H433" s="161">
        <v>11</v>
      </c>
      <c r="I433" s="161">
        <v>0</v>
      </c>
      <c r="J433" s="127">
        <v>102034000</v>
      </c>
      <c r="K433" s="88" t="s">
        <v>398</v>
      </c>
      <c r="L433" s="159" t="s">
        <v>155</v>
      </c>
      <c r="M433" s="162" t="s">
        <v>422</v>
      </c>
      <c r="N433" s="23" t="s">
        <v>197</v>
      </c>
      <c r="O433" s="151" t="s">
        <v>945</v>
      </c>
      <c r="P433" s="159" t="s">
        <v>348</v>
      </c>
      <c r="Q433" s="53" t="s">
        <v>766</v>
      </c>
      <c r="R433" s="162" t="s">
        <v>208</v>
      </c>
      <c r="S433" s="162" t="str">
        <f>MID(PAA[[#This Row],[Meta Proyecto de Inversión]],1,4)</f>
        <v>8126</v>
      </c>
      <c r="T433" s="162" t="str">
        <f>MID(PAA[[#This Row],[Meta Proyecto de Inversión]],6,1)</f>
        <v>9</v>
      </c>
      <c r="U433" s="163" t="str">
        <f>IFERROR(VLOOKUP(N433,TD!$B$50:$F$54,2,0)," ")</f>
        <v>O230117</v>
      </c>
      <c r="V433" s="163" t="str">
        <f>IFERROR(VLOOKUP(N433,TD!$B$50:$F$54,3,0)," ")</f>
        <v>4599</v>
      </c>
      <c r="W433" s="163">
        <f>IFERROR(VLOOKUP(N433,TD!$B$50:$F$54,4,0)," ")</f>
        <v>20240207</v>
      </c>
      <c r="X433" s="162" t="s">
        <v>174</v>
      </c>
      <c r="Y433" s="163" t="str">
        <f>IFERROR(VLOOKUP(X433,TD!$J$51:$K$64,2,0)," ")</f>
        <v>Infraestructura física, mantenimiento y dotación (Sedes construidas, mantenidas reforzadas)</v>
      </c>
      <c r="Z433" s="164" t="str">
        <f>CONCATENATE(X433,"-",Y433)</f>
        <v>08-Infraestructura física, mantenimiento y dotación (Sedes construidas, mantenidas reforzadas)</v>
      </c>
      <c r="AA433" s="162" t="s">
        <v>227</v>
      </c>
      <c r="AB433" s="163" t="str">
        <f>IFERROR(VLOOKUP(AA433,TD!$N$51:$O$66,2,0)," ")</f>
        <v>Sedes mantenidas</v>
      </c>
      <c r="AC433" s="164" t="str">
        <f>CONCATENATE(AA433,"_",AB433)</f>
        <v>016_Sedes mantenidas</v>
      </c>
      <c r="AD433" s="164" t="str">
        <f>CONCATENATE(Z433," ",AC433)</f>
        <v>08-Infraestructura física, mantenimiento y dotación (Sedes construidas, mantenidas reforzadas) 016_Sedes mantenidas</v>
      </c>
      <c r="AE433" s="163" t="str">
        <f>CONCATENATE(U433,V433,W433,X433,AA433)</f>
        <v>O23011745992024020708016</v>
      </c>
      <c r="AF433" s="163" t="str">
        <f>IFERROR(VLOOKUP(AD433,TD!$J$66:$K$89,2,0)," ")</f>
        <v>PM/0131/0108/45990160207</v>
      </c>
      <c r="AG433" s="118" t="s">
        <v>385</v>
      </c>
      <c r="AH433" s="162" t="s">
        <v>193</v>
      </c>
      <c r="AI433" s="165" t="str">
        <f>CONCATENATE(PAA[[#This Row],[Id Interno]],"-",PAA[[#This Row],[tipo de Contrato (TH talento humano - B/S bienes y/o servicios)]],"-",S433,"-",T433,"-",PAA[[#This Row],[Objeto de la contratación]])</f>
        <v>20260417-TH-8126-9-Prestar servicios profesionales en la Subdirección de Gestión Corporativa en lo relacionado con los procesos de inventarios, almacén y bajas-SGC</v>
      </c>
    </row>
    <row r="434" spans="2:35" ht="56" x14ac:dyDescent="0.35">
      <c r="B434" s="23">
        <v>20260418</v>
      </c>
      <c r="C434" s="99" t="s">
        <v>683</v>
      </c>
      <c r="D434" s="23" t="s">
        <v>105</v>
      </c>
      <c r="E434" s="23" t="s">
        <v>363</v>
      </c>
      <c r="F434" s="159" t="s">
        <v>144</v>
      </c>
      <c r="G434" s="160" t="s">
        <v>373</v>
      </c>
      <c r="H434" s="161">
        <v>11</v>
      </c>
      <c r="I434" s="161">
        <v>0</v>
      </c>
      <c r="J434" s="127">
        <v>82390000</v>
      </c>
      <c r="K434" s="88" t="s">
        <v>398</v>
      </c>
      <c r="L434" s="159" t="s">
        <v>155</v>
      </c>
      <c r="M434" s="162" t="s">
        <v>422</v>
      </c>
      <c r="N434" s="23" t="s">
        <v>197</v>
      </c>
      <c r="O434" s="151" t="s">
        <v>945</v>
      </c>
      <c r="P434" s="159" t="s">
        <v>348</v>
      </c>
      <c r="Q434" s="53" t="s">
        <v>766</v>
      </c>
      <c r="R434" s="162" t="s">
        <v>208</v>
      </c>
      <c r="S434" s="162" t="str">
        <f>MID(PAA[[#This Row],[Meta Proyecto de Inversión]],1,4)</f>
        <v>8126</v>
      </c>
      <c r="T434" s="162" t="str">
        <f>MID(PAA[[#This Row],[Meta Proyecto de Inversión]],6,1)</f>
        <v>9</v>
      </c>
      <c r="U434" s="163" t="str">
        <f>IFERROR(VLOOKUP(N434,TD!$B$50:$F$54,2,0)," ")</f>
        <v>O230117</v>
      </c>
      <c r="V434" s="163" t="str">
        <f>IFERROR(VLOOKUP(N434,TD!$B$50:$F$54,3,0)," ")</f>
        <v>4599</v>
      </c>
      <c r="W434" s="163">
        <f>IFERROR(VLOOKUP(N434,TD!$B$50:$F$54,4,0)," ")</f>
        <v>20240207</v>
      </c>
      <c r="X434" s="162" t="s">
        <v>174</v>
      </c>
      <c r="Y434" s="163" t="str">
        <f>IFERROR(VLOOKUP(X434,TD!$J$51:$K$64,2,0)," ")</f>
        <v>Infraestructura física, mantenimiento y dotación (Sedes construidas, mantenidas reforzadas)</v>
      </c>
      <c r="Z434" s="164" t="str">
        <f>CONCATENATE(X434,"-",Y434)</f>
        <v>08-Infraestructura física, mantenimiento y dotación (Sedes construidas, mantenidas reforzadas)</v>
      </c>
      <c r="AA434" s="162" t="s">
        <v>227</v>
      </c>
      <c r="AB434" s="163" t="str">
        <f>IFERROR(VLOOKUP(AA434,TD!$N$51:$O$66,2,0)," ")</f>
        <v>Sedes mantenidas</v>
      </c>
      <c r="AC434" s="164" t="str">
        <f>CONCATENATE(AA434,"_",AB434)</f>
        <v>016_Sedes mantenidas</v>
      </c>
      <c r="AD434" s="164" t="str">
        <f>CONCATENATE(Z434," ",AC434)</f>
        <v>08-Infraestructura física, mantenimiento y dotación (Sedes construidas, mantenidas reforzadas) 016_Sedes mantenidas</v>
      </c>
      <c r="AE434" s="163" t="str">
        <f>CONCATENATE(U434,V434,W434,X434,AA434)</f>
        <v>O23011745992024020708016</v>
      </c>
      <c r="AF434" s="163" t="str">
        <f>IFERROR(VLOOKUP(AD434,TD!$J$66:$K$89,2,0)," ")</f>
        <v>PM/0131/0108/45990160207</v>
      </c>
      <c r="AG434" s="118" t="s">
        <v>385</v>
      </c>
      <c r="AH434" s="162" t="s">
        <v>193</v>
      </c>
      <c r="AI434" s="165" t="str">
        <f>CONCATENATE(PAA[[#This Row],[Id Interno]],"-",PAA[[#This Row],[tipo de Contrato (TH talento humano - B/S bienes y/o servicios)]],"-",S434,"-",T434,"-",PAA[[#This Row],[Objeto de la contratación]])</f>
        <v>20260418-TH-8126-9-Prestar servicios profesionales para desarrollar e implementar sistemas de información, brindar soporte, mantenimiento y generar interoperabilidad con la Subdirección de Gestión Corporativa -SGC</v>
      </c>
    </row>
    <row r="435" spans="2:35" ht="56" x14ac:dyDescent="0.35">
      <c r="B435" s="23">
        <v>20260419</v>
      </c>
      <c r="C435" s="99" t="s">
        <v>684</v>
      </c>
      <c r="D435" s="23" t="s">
        <v>105</v>
      </c>
      <c r="E435" s="23" t="s">
        <v>363</v>
      </c>
      <c r="F435" s="159" t="s">
        <v>144</v>
      </c>
      <c r="G435" s="160" t="s">
        <v>373</v>
      </c>
      <c r="H435" s="161">
        <v>11</v>
      </c>
      <c r="I435" s="161">
        <v>0</v>
      </c>
      <c r="J435" s="127">
        <v>75204000</v>
      </c>
      <c r="K435" s="88" t="s">
        <v>398</v>
      </c>
      <c r="L435" s="159" t="s">
        <v>155</v>
      </c>
      <c r="M435" s="162" t="s">
        <v>422</v>
      </c>
      <c r="N435" s="23" t="s">
        <v>197</v>
      </c>
      <c r="O435" s="151" t="s">
        <v>945</v>
      </c>
      <c r="P435" s="159" t="s">
        <v>348</v>
      </c>
      <c r="Q435" s="53" t="s">
        <v>766</v>
      </c>
      <c r="R435" s="162" t="s">
        <v>208</v>
      </c>
      <c r="S435" s="162" t="str">
        <f>MID(PAA[[#This Row],[Meta Proyecto de Inversión]],1,4)</f>
        <v>8126</v>
      </c>
      <c r="T435" s="162" t="str">
        <f>MID(PAA[[#This Row],[Meta Proyecto de Inversión]],6,1)</f>
        <v>9</v>
      </c>
      <c r="U435" s="163" t="str">
        <f>IFERROR(VLOOKUP(N435,TD!$B$50:$F$54,2,0)," ")</f>
        <v>O230117</v>
      </c>
      <c r="V435" s="163" t="str">
        <f>IFERROR(VLOOKUP(N435,TD!$B$50:$F$54,3,0)," ")</f>
        <v>4599</v>
      </c>
      <c r="W435" s="163">
        <f>IFERROR(VLOOKUP(N435,TD!$B$50:$F$54,4,0)," ")</f>
        <v>20240207</v>
      </c>
      <c r="X435" s="162" t="s">
        <v>174</v>
      </c>
      <c r="Y435" s="163" t="str">
        <f>IFERROR(VLOOKUP(X435,TD!$J$51:$K$64,2,0)," ")</f>
        <v>Infraestructura física, mantenimiento y dotación (Sedes construidas, mantenidas reforzadas)</v>
      </c>
      <c r="Z435" s="164" t="str">
        <f>CONCATENATE(X435,"-",Y435)</f>
        <v>08-Infraestructura física, mantenimiento y dotación (Sedes construidas, mantenidas reforzadas)</v>
      </c>
      <c r="AA435" s="162" t="s">
        <v>227</v>
      </c>
      <c r="AB435" s="163" t="str">
        <f>IFERROR(VLOOKUP(AA435,TD!$N$51:$O$66,2,0)," ")</f>
        <v>Sedes mantenidas</v>
      </c>
      <c r="AC435" s="164" t="str">
        <f>CONCATENATE(AA435,"_",AB435)</f>
        <v>016_Sedes mantenidas</v>
      </c>
      <c r="AD435" s="164" t="str">
        <f>CONCATENATE(Z435," ",AC435)</f>
        <v>08-Infraestructura física, mantenimiento y dotación (Sedes construidas, mantenidas reforzadas) 016_Sedes mantenidas</v>
      </c>
      <c r="AE435" s="163" t="str">
        <f>CONCATENATE(U435,V435,W435,X435,AA435)</f>
        <v>O23011745992024020708016</v>
      </c>
      <c r="AF435" s="163" t="str">
        <f>IFERROR(VLOOKUP(AD435,TD!$J$66:$K$89,2,0)," ")</f>
        <v>PM/0131/0108/45990160207</v>
      </c>
      <c r="AG435" s="118" t="s">
        <v>385</v>
      </c>
      <c r="AH435" s="162" t="s">
        <v>193</v>
      </c>
      <c r="AI435" s="165" t="str">
        <f>CONCATENATE(PAA[[#This Row],[Id Interno]],"-",PAA[[#This Row],[tipo de Contrato (TH talento humano - B/S bienes y/o servicios)]],"-",S435,"-",T435,"-",PAA[[#This Row],[Objeto de la contratación]])</f>
        <v>20260419-TH-8126-9-Prestación de servicios profesionales para la ejecución de los procesos contables que se desarrollan en el Área Financiera de la UAE Cuerpo Oficial de Bomberos asignados. -SGC</v>
      </c>
    </row>
    <row r="436" spans="2:35" ht="56" x14ac:dyDescent="0.35">
      <c r="B436" s="23">
        <v>20260420</v>
      </c>
      <c r="C436" s="99" t="s">
        <v>685</v>
      </c>
      <c r="D436" s="23" t="s">
        <v>105</v>
      </c>
      <c r="E436" s="23" t="s">
        <v>363</v>
      </c>
      <c r="F436" s="159" t="s">
        <v>145</v>
      </c>
      <c r="G436" s="160" t="s">
        <v>373</v>
      </c>
      <c r="H436" s="161">
        <v>11</v>
      </c>
      <c r="I436" s="161">
        <v>0</v>
      </c>
      <c r="J436" s="127">
        <v>30966000</v>
      </c>
      <c r="K436" s="88" t="s">
        <v>398</v>
      </c>
      <c r="L436" s="159" t="s">
        <v>155</v>
      </c>
      <c r="M436" s="162" t="s">
        <v>422</v>
      </c>
      <c r="N436" s="23" t="s">
        <v>197</v>
      </c>
      <c r="O436" s="151" t="s">
        <v>945</v>
      </c>
      <c r="P436" s="159" t="s">
        <v>348</v>
      </c>
      <c r="Q436" s="53" t="s">
        <v>766</v>
      </c>
      <c r="R436" s="162" t="s">
        <v>208</v>
      </c>
      <c r="S436" s="162" t="str">
        <f>MID(PAA[[#This Row],[Meta Proyecto de Inversión]],1,4)</f>
        <v>8126</v>
      </c>
      <c r="T436" s="162" t="str">
        <f>MID(PAA[[#This Row],[Meta Proyecto de Inversión]],6,1)</f>
        <v>9</v>
      </c>
      <c r="U436" s="163" t="str">
        <f>IFERROR(VLOOKUP(N436,TD!$B$50:$F$54,2,0)," ")</f>
        <v>O230117</v>
      </c>
      <c r="V436" s="163" t="str">
        <f>IFERROR(VLOOKUP(N436,TD!$B$50:$F$54,3,0)," ")</f>
        <v>4599</v>
      </c>
      <c r="W436" s="163">
        <f>IFERROR(VLOOKUP(N436,TD!$B$50:$F$54,4,0)," ")</f>
        <v>20240207</v>
      </c>
      <c r="X436" s="162" t="s">
        <v>174</v>
      </c>
      <c r="Y436" s="163" t="str">
        <f>IFERROR(VLOOKUP(X436,TD!$J$51:$K$64,2,0)," ")</f>
        <v>Infraestructura física, mantenimiento y dotación (Sedes construidas, mantenidas reforzadas)</v>
      </c>
      <c r="Z436" s="164" t="str">
        <f>CONCATENATE(X436,"-",Y436)</f>
        <v>08-Infraestructura física, mantenimiento y dotación (Sedes construidas, mantenidas reforzadas)</v>
      </c>
      <c r="AA436" s="162" t="s">
        <v>227</v>
      </c>
      <c r="AB436" s="163" t="str">
        <f>IFERROR(VLOOKUP(AA436,TD!$N$51:$O$66,2,0)," ")</f>
        <v>Sedes mantenidas</v>
      </c>
      <c r="AC436" s="164" t="str">
        <f>CONCATENATE(AA436,"_",AB436)</f>
        <v>016_Sedes mantenidas</v>
      </c>
      <c r="AD436" s="164" t="str">
        <f>CONCATENATE(Z436," ",AC436)</f>
        <v>08-Infraestructura física, mantenimiento y dotación (Sedes construidas, mantenidas reforzadas) 016_Sedes mantenidas</v>
      </c>
      <c r="AE436" s="163" t="str">
        <f>CONCATENATE(U436,V436,W436,X436,AA436)</f>
        <v>O23011745992024020708016</v>
      </c>
      <c r="AF436" s="163" t="str">
        <f>IFERROR(VLOOKUP(AD436,TD!$J$66:$K$89,2,0)," ")</f>
        <v>PM/0131/0108/45990160207</v>
      </c>
      <c r="AG436" s="118" t="s">
        <v>385</v>
      </c>
      <c r="AH436" s="162" t="s">
        <v>193</v>
      </c>
      <c r="AI436" s="165" t="str">
        <f>CONCATENATE(PAA[[#This Row],[Id Interno]],"-",PAA[[#This Row],[tipo de Contrato (TH talento humano - B/S bienes y/o servicios)]],"-",S436,"-",T436,"-",PAA[[#This Row],[Objeto de la contratación]])</f>
        <v>20260420-TH-8126-9-Prestación de servicios de apoyo a la gestión documental de la Subdirección de Gestión Corporativa de la Unidad.-SGC.</v>
      </c>
    </row>
    <row r="437" spans="2:35" ht="70" x14ac:dyDescent="0.35">
      <c r="B437" s="23">
        <v>20260422</v>
      </c>
      <c r="C437" s="99" t="s">
        <v>686</v>
      </c>
      <c r="D437" s="23" t="s">
        <v>105</v>
      </c>
      <c r="E437" s="23" t="s">
        <v>363</v>
      </c>
      <c r="F437" s="159" t="s">
        <v>145</v>
      </c>
      <c r="G437" s="160" t="s">
        <v>373</v>
      </c>
      <c r="H437" s="161">
        <v>11</v>
      </c>
      <c r="I437" s="161">
        <v>0</v>
      </c>
      <c r="J437" s="127">
        <v>40551000</v>
      </c>
      <c r="K437" s="88" t="s">
        <v>398</v>
      </c>
      <c r="L437" s="159" t="s">
        <v>155</v>
      </c>
      <c r="M437" s="162" t="s">
        <v>422</v>
      </c>
      <c r="N437" s="23" t="s">
        <v>197</v>
      </c>
      <c r="O437" s="151" t="s">
        <v>945</v>
      </c>
      <c r="P437" s="159" t="s">
        <v>348</v>
      </c>
      <c r="Q437" s="53" t="s">
        <v>766</v>
      </c>
      <c r="R437" s="162" t="s">
        <v>208</v>
      </c>
      <c r="S437" s="162" t="str">
        <f>MID(PAA[[#This Row],[Meta Proyecto de Inversión]],1,4)</f>
        <v>8126</v>
      </c>
      <c r="T437" s="162" t="str">
        <f>MID(PAA[[#This Row],[Meta Proyecto de Inversión]],6,1)</f>
        <v>9</v>
      </c>
      <c r="U437" s="163" t="str">
        <f>IFERROR(VLOOKUP(N437,TD!$B$50:$F$54,2,0)," ")</f>
        <v>O230117</v>
      </c>
      <c r="V437" s="163" t="str">
        <f>IFERROR(VLOOKUP(N437,TD!$B$50:$F$54,3,0)," ")</f>
        <v>4599</v>
      </c>
      <c r="W437" s="163">
        <f>IFERROR(VLOOKUP(N437,TD!$B$50:$F$54,4,0)," ")</f>
        <v>20240207</v>
      </c>
      <c r="X437" s="162" t="s">
        <v>174</v>
      </c>
      <c r="Y437" s="163" t="str">
        <f>IFERROR(VLOOKUP(X437,TD!$J$51:$K$64,2,0)," ")</f>
        <v>Infraestructura física, mantenimiento y dotación (Sedes construidas, mantenidas reforzadas)</v>
      </c>
      <c r="Z437" s="164" t="str">
        <f>CONCATENATE(X437,"-",Y437)</f>
        <v>08-Infraestructura física, mantenimiento y dotación (Sedes construidas, mantenidas reforzadas)</v>
      </c>
      <c r="AA437" s="162" t="s">
        <v>227</v>
      </c>
      <c r="AB437" s="163" t="str">
        <f>IFERROR(VLOOKUP(AA437,TD!$N$51:$O$66,2,0)," ")</f>
        <v>Sedes mantenidas</v>
      </c>
      <c r="AC437" s="164" t="str">
        <f>CONCATENATE(AA437,"_",AB437)</f>
        <v>016_Sedes mantenidas</v>
      </c>
      <c r="AD437" s="164" t="str">
        <f>CONCATENATE(Z437," ",AC437)</f>
        <v>08-Infraestructura física, mantenimiento y dotación (Sedes construidas, mantenidas reforzadas) 016_Sedes mantenidas</v>
      </c>
      <c r="AE437" s="163" t="str">
        <f>CONCATENATE(U437,V437,W437,X437,AA437)</f>
        <v>O23011745992024020708016</v>
      </c>
      <c r="AF437" s="163" t="str">
        <f>IFERROR(VLOOKUP(AD437,TD!$J$66:$K$89,2,0)," ")</f>
        <v>PM/0131/0108/45990160207</v>
      </c>
      <c r="AG437" s="118" t="s">
        <v>385</v>
      </c>
      <c r="AH437" s="162" t="s">
        <v>193</v>
      </c>
      <c r="AI437" s="165" t="str">
        <f>CONCATENATE(PAA[[#This Row],[Id Interno]],"-",PAA[[#This Row],[tipo de Contrato (TH talento humano - B/S bienes y/o servicios)]],"-",S437,"-",T437,"-",PAA[[#This Row],[Objeto de la contratación]])</f>
        <v>20260422-TH-8126-9-Prestación de servicios de apoyo a la gestión documental de la Subdirección de Gestión Corporativa de la Unidad.-SGC</v>
      </c>
    </row>
    <row r="438" spans="2:35" ht="56" x14ac:dyDescent="0.35">
      <c r="B438" s="23">
        <v>20260423</v>
      </c>
      <c r="C438" s="99" t="s">
        <v>686</v>
      </c>
      <c r="D438" s="23" t="s">
        <v>105</v>
      </c>
      <c r="E438" s="23" t="s">
        <v>363</v>
      </c>
      <c r="F438" s="159" t="s">
        <v>145</v>
      </c>
      <c r="G438" s="160" t="s">
        <v>373</v>
      </c>
      <c r="H438" s="161">
        <v>11</v>
      </c>
      <c r="I438" s="161">
        <v>0</v>
      </c>
      <c r="J438" s="127">
        <v>30966000</v>
      </c>
      <c r="K438" s="88" t="s">
        <v>398</v>
      </c>
      <c r="L438" s="159" t="s">
        <v>155</v>
      </c>
      <c r="M438" s="162" t="s">
        <v>422</v>
      </c>
      <c r="N438" s="23" t="s">
        <v>197</v>
      </c>
      <c r="O438" s="151" t="s">
        <v>945</v>
      </c>
      <c r="P438" s="159" t="s">
        <v>348</v>
      </c>
      <c r="Q438" s="53" t="s">
        <v>766</v>
      </c>
      <c r="R438" s="162" t="s">
        <v>208</v>
      </c>
      <c r="S438" s="162" t="str">
        <f>MID(PAA[[#This Row],[Meta Proyecto de Inversión]],1,4)</f>
        <v>8126</v>
      </c>
      <c r="T438" s="162" t="str">
        <f>MID(PAA[[#This Row],[Meta Proyecto de Inversión]],6,1)</f>
        <v>9</v>
      </c>
      <c r="U438" s="163" t="str">
        <f>IFERROR(VLOOKUP(N438,TD!$B$50:$F$54,2,0)," ")</f>
        <v>O230117</v>
      </c>
      <c r="V438" s="163" t="str">
        <f>IFERROR(VLOOKUP(N438,TD!$B$50:$F$54,3,0)," ")</f>
        <v>4599</v>
      </c>
      <c r="W438" s="163">
        <f>IFERROR(VLOOKUP(N438,TD!$B$50:$F$54,4,0)," ")</f>
        <v>20240207</v>
      </c>
      <c r="X438" s="162" t="s">
        <v>174</v>
      </c>
      <c r="Y438" s="163" t="str">
        <f>IFERROR(VLOOKUP(X438,TD!$J$51:$K$64,2,0)," ")</f>
        <v>Infraestructura física, mantenimiento y dotación (Sedes construidas, mantenidas reforzadas)</v>
      </c>
      <c r="Z438" s="164" t="str">
        <f>CONCATENATE(X438,"-",Y438)</f>
        <v>08-Infraestructura física, mantenimiento y dotación (Sedes construidas, mantenidas reforzadas)</v>
      </c>
      <c r="AA438" s="162" t="s">
        <v>227</v>
      </c>
      <c r="AB438" s="163" t="str">
        <f>IFERROR(VLOOKUP(AA438,TD!$N$51:$O$66,2,0)," ")</f>
        <v>Sedes mantenidas</v>
      </c>
      <c r="AC438" s="164" t="str">
        <f>CONCATENATE(AA438,"_",AB438)</f>
        <v>016_Sedes mantenidas</v>
      </c>
      <c r="AD438" s="164" t="str">
        <f>CONCATENATE(Z438," ",AC438)</f>
        <v>08-Infraestructura física, mantenimiento y dotación (Sedes construidas, mantenidas reforzadas) 016_Sedes mantenidas</v>
      </c>
      <c r="AE438" s="163" t="str">
        <f>CONCATENATE(U438,V438,W438,X438,AA438)</f>
        <v>O23011745992024020708016</v>
      </c>
      <c r="AF438" s="163" t="str">
        <f>IFERROR(VLOOKUP(AD438,TD!$J$66:$K$89,2,0)," ")</f>
        <v>PM/0131/0108/45990160207</v>
      </c>
      <c r="AG438" s="118" t="s">
        <v>385</v>
      </c>
      <c r="AH438" s="162" t="s">
        <v>193</v>
      </c>
      <c r="AI438" s="165" t="str">
        <f>CONCATENATE(PAA[[#This Row],[Id Interno]],"-",PAA[[#This Row],[tipo de Contrato (TH talento humano - B/S bienes y/o servicios)]],"-",S438,"-",T438,"-",PAA[[#This Row],[Objeto de la contratación]])</f>
        <v>20260423-TH-8126-9-Prestación de servicios de apoyo a la gestión documental de la Subdirección de Gestión Corporativa de la Unidad.-SGC</v>
      </c>
    </row>
    <row r="439" spans="2:35" ht="56" x14ac:dyDescent="0.35">
      <c r="B439" s="23">
        <v>20260424</v>
      </c>
      <c r="C439" s="99" t="s">
        <v>686</v>
      </c>
      <c r="D439" s="23" t="s">
        <v>105</v>
      </c>
      <c r="E439" s="23" t="s">
        <v>363</v>
      </c>
      <c r="F439" s="159" t="s">
        <v>145</v>
      </c>
      <c r="G439" s="160" t="s">
        <v>373</v>
      </c>
      <c r="H439" s="161">
        <v>11</v>
      </c>
      <c r="I439" s="161">
        <v>0</v>
      </c>
      <c r="J439" s="127">
        <v>34100000</v>
      </c>
      <c r="K439" s="88" t="s">
        <v>398</v>
      </c>
      <c r="L439" s="159" t="s">
        <v>155</v>
      </c>
      <c r="M439" s="162" t="s">
        <v>422</v>
      </c>
      <c r="N439" s="23" t="s">
        <v>197</v>
      </c>
      <c r="O439" s="151" t="s">
        <v>945</v>
      </c>
      <c r="P439" s="159" t="s">
        <v>348</v>
      </c>
      <c r="Q439" s="53" t="s">
        <v>766</v>
      </c>
      <c r="R439" s="162" t="s">
        <v>208</v>
      </c>
      <c r="S439" s="162" t="str">
        <f>MID(PAA[[#This Row],[Meta Proyecto de Inversión]],1,4)</f>
        <v>8126</v>
      </c>
      <c r="T439" s="162" t="str">
        <f>MID(PAA[[#This Row],[Meta Proyecto de Inversión]],6,1)</f>
        <v>9</v>
      </c>
      <c r="U439" s="163" t="str">
        <f>IFERROR(VLOOKUP(N439,TD!$B$50:$F$54,2,0)," ")</f>
        <v>O230117</v>
      </c>
      <c r="V439" s="163" t="str">
        <f>IFERROR(VLOOKUP(N439,TD!$B$50:$F$54,3,0)," ")</f>
        <v>4599</v>
      </c>
      <c r="W439" s="163">
        <f>IFERROR(VLOOKUP(N439,TD!$B$50:$F$54,4,0)," ")</f>
        <v>20240207</v>
      </c>
      <c r="X439" s="162" t="s">
        <v>174</v>
      </c>
      <c r="Y439" s="163" t="str">
        <f>IFERROR(VLOOKUP(X439,TD!$J$51:$K$64,2,0)," ")</f>
        <v>Infraestructura física, mantenimiento y dotación (Sedes construidas, mantenidas reforzadas)</v>
      </c>
      <c r="Z439" s="164" t="str">
        <f>CONCATENATE(X439,"-",Y439)</f>
        <v>08-Infraestructura física, mantenimiento y dotación (Sedes construidas, mantenidas reforzadas)</v>
      </c>
      <c r="AA439" s="162" t="s">
        <v>227</v>
      </c>
      <c r="AB439" s="163" t="str">
        <f>IFERROR(VLOOKUP(AA439,TD!$N$51:$O$66,2,0)," ")</f>
        <v>Sedes mantenidas</v>
      </c>
      <c r="AC439" s="164" t="str">
        <f>CONCATENATE(AA439,"_",AB439)</f>
        <v>016_Sedes mantenidas</v>
      </c>
      <c r="AD439" s="164" t="str">
        <f>CONCATENATE(Z439," ",AC439)</f>
        <v>08-Infraestructura física, mantenimiento y dotación (Sedes construidas, mantenidas reforzadas) 016_Sedes mantenidas</v>
      </c>
      <c r="AE439" s="163" t="str">
        <f>CONCATENATE(U439,V439,W439,X439,AA439)</f>
        <v>O23011745992024020708016</v>
      </c>
      <c r="AF439" s="163" t="str">
        <f>IFERROR(VLOOKUP(AD439,TD!$J$66:$K$89,2,0)," ")</f>
        <v>PM/0131/0108/45990160207</v>
      </c>
      <c r="AG439" s="118" t="s">
        <v>385</v>
      </c>
      <c r="AH439" s="162" t="s">
        <v>193</v>
      </c>
      <c r="AI439" s="165" t="str">
        <f>CONCATENATE(PAA[[#This Row],[Id Interno]],"-",PAA[[#This Row],[tipo de Contrato (TH talento humano - B/S bienes y/o servicios)]],"-",S439,"-",T439,"-",PAA[[#This Row],[Objeto de la contratación]])</f>
        <v>20260424-TH-8126-9-Prestación de servicios de apoyo a la gestión documental de la Subdirección de Gestión Corporativa de la Unidad.-SGC</v>
      </c>
    </row>
    <row r="440" spans="2:35" ht="56" x14ac:dyDescent="0.35">
      <c r="B440" s="23">
        <v>20260425</v>
      </c>
      <c r="C440" s="99" t="s">
        <v>687</v>
      </c>
      <c r="D440" s="23" t="s">
        <v>105</v>
      </c>
      <c r="E440" s="23" t="s">
        <v>363</v>
      </c>
      <c r="F440" s="159" t="s">
        <v>144</v>
      </c>
      <c r="G440" s="160" t="s">
        <v>373</v>
      </c>
      <c r="H440" s="161">
        <v>11</v>
      </c>
      <c r="I440" s="161">
        <v>0</v>
      </c>
      <c r="J440" s="127">
        <v>56772000</v>
      </c>
      <c r="K440" s="88" t="s">
        <v>398</v>
      </c>
      <c r="L440" s="159" t="s">
        <v>155</v>
      </c>
      <c r="M440" s="162" t="s">
        <v>422</v>
      </c>
      <c r="N440" s="23" t="s">
        <v>197</v>
      </c>
      <c r="O440" s="151" t="s">
        <v>945</v>
      </c>
      <c r="P440" s="159" t="s">
        <v>348</v>
      </c>
      <c r="Q440" s="53" t="s">
        <v>766</v>
      </c>
      <c r="R440" s="162" t="s">
        <v>208</v>
      </c>
      <c r="S440" s="162" t="str">
        <f>MID(PAA[[#This Row],[Meta Proyecto de Inversión]],1,4)</f>
        <v>8126</v>
      </c>
      <c r="T440" s="162" t="str">
        <f>MID(PAA[[#This Row],[Meta Proyecto de Inversión]],6,1)</f>
        <v>9</v>
      </c>
      <c r="U440" s="163" t="str">
        <f>IFERROR(VLOOKUP(N440,TD!$B$50:$F$54,2,0)," ")</f>
        <v>O230117</v>
      </c>
      <c r="V440" s="163" t="str">
        <f>IFERROR(VLOOKUP(N440,TD!$B$50:$F$54,3,0)," ")</f>
        <v>4599</v>
      </c>
      <c r="W440" s="163">
        <f>IFERROR(VLOOKUP(N440,TD!$B$50:$F$54,4,0)," ")</f>
        <v>20240207</v>
      </c>
      <c r="X440" s="162" t="s">
        <v>174</v>
      </c>
      <c r="Y440" s="163" t="str">
        <f>IFERROR(VLOOKUP(X440,TD!$J$51:$K$64,2,0)," ")</f>
        <v>Infraestructura física, mantenimiento y dotación (Sedes construidas, mantenidas reforzadas)</v>
      </c>
      <c r="Z440" s="164" t="str">
        <f>CONCATENATE(X440,"-",Y440)</f>
        <v>08-Infraestructura física, mantenimiento y dotación (Sedes construidas, mantenidas reforzadas)</v>
      </c>
      <c r="AA440" s="162" t="s">
        <v>227</v>
      </c>
      <c r="AB440" s="163" t="str">
        <f>IFERROR(VLOOKUP(AA440,TD!$N$51:$O$66,2,0)," ")</f>
        <v>Sedes mantenidas</v>
      </c>
      <c r="AC440" s="164" t="str">
        <f>CONCATENATE(AA440,"_",AB440)</f>
        <v>016_Sedes mantenidas</v>
      </c>
      <c r="AD440" s="164" t="str">
        <f>CONCATENATE(Z440," ",AC440)</f>
        <v>08-Infraestructura física, mantenimiento y dotación (Sedes construidas, mantenidas reforzadas) 016_Sedes mantenidas</v>
      </c>
      <c r="AE440" s="163" t="str">
        <f>CONCATENATE(U440,V440,W440,X440,AA440)</f>
        <v>O23011745992024020708016</v>
      </c>
      <c r="AF440" s="163" t="str">
        <f>IFERROR(VLOOKUP(AD440,TD!$J$66:$K$89,2,0)," ")</f>
        <v>PM/0131/0108/45990160207</v>
      </c>
      <c r="AG440" s="118" t="s">
        <v>385</v>
      </c>
      <c r="AH440" s="162" t="s">
        <v>193</v>
      </c>
      <c r="AI440" s="165" t="str">
        <f>CONCATENATE(PAA[[#This Row],[Id Interno]],"-",PAA[[#This Row],[tipo de Contrato (TH talento humano - B/S bienes y/o servicios)]],"-",S440,"-",T440,"-",PAA[[#This Row],[Objeto de la contratación]])</f>
        <v>20260425-TH-8126-9-Prestación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441" spans="2:35" ht="56" x14ac:dyDescent="0.35">
      <c r="B441" s="23">
        <v>20260426</v>
      </c>
      <c r="C441" s="99" t="s">
        <v>687</v>
      </c>
      <c r="D441" s="23" t="s">
        <v>105</v>
      </c>
      <c r="E441" s="23" t="s">
        <v>363</v>
      </c>
      <c r="F441" s="159" t="s">
        <v>144</v>
      </c>
      <c r="G441" s="160" t="s">
        <v>373</v>
      </c>
      <c r="H441" s="161">
        <v>11</v>
      </c>
      <c r="I441" s="161">
        <v>0</v>
      </c>
      <c r="J441" s="127">
        <v>56772000</v>
      </c>
      <c r="K441" s="88" t="s">
        <v>398</v>
      </c>
      <c r="L441" s="159" t="s">
        <v>155</v>
      </c>
      <c r="M441" s="162" t="s">
        <v>422</v>
      </c>
      <c r="N441" s="23" t="s">
        <v>197</v>
      </c>
      <c r="O441" s="151" t="s">
        <v>945</v>
      </c>
      <c r="P441" s="159" t="s">
        <v>348</v>
      </c>
      <c r="Q441" s="53" t="s">
        <v>766</v>
      </c>
      <c r="R441" s="162" t="s">
        <v>208</v>
      </c>
      <c r="S441" s="162" t="str">
        <f>MID(PAA[[#This Row],[Meta Proyecto de Inversión]],1,4)</f>
        <v>8126</v>
      </c>
      <c r="T441" s="162" t="str">
        <f>MID(PAA[[#This Row],[Meta Proyecto de Inversión]],6,1)</f>
        <v>9</v>
      </c>
      <c r="U441" s="163" t="str">
        <f>IFERROR(VLOOKUP(N441,TD!$B$50:$F$54,2,0)," ")</f>
        <v>O230117</v>
      </c>
      <c r="V441" s="163" t="str">
        <f>IFERROR(VLOOKUP(N441,TD!$B$50:$F$54,3,0)," ")</f>
        <v>4599</v>
      </c>
      <c r="W441" s="163">
        <f>IFERROR(VLOOKUP(N441,TD!$B$50:$F$54,4,0)," ")</f>
        <v>20240207</v>
      </c>
      <c r="X441" s="162" t="s">
        <v>174</v>
      </c>
      <c r="Y441" s="163" t="str">
        <f>IFERROR(VLOOKUP(X441,TD!$J$51:$K$64,2,0)," ")</f>
        <v>Infraestructura física, mantenimiento y dotación (Sedes construidas, mantenidas reforzadas)</v>
      </c>
      <c r="Z441" s="164" t="str">
        <f>CONCATENATE(X441,"-",Y441)</f>
        <v>08-Infraestructura física, mantenimiento y dotación (Sedes construidas, mantenidas reforzadas)</v>
      </c>
      <c r="AA441" s="162" t="s">
        <v>227</v>
      </c>
      <c r="AB441" s="163" t="str">
        <f>IFERROR(VLOOKUP(AA441,TD!$N$51:$O$66,2,0)," ")</f>
        <v>Sedes mantenidas</v>
      </c>
      <c r="AC441" s="164" t="str">
        <f>CONCATENATE(AA441,"_",AB441)</f>
        <v>016_Sedes mantenidas</v>
      </c>
      <c r="AD441" s="164" t="str">
        <f>CONCATENATE(Z441," ",AC441)</f>
        <v>08-Infraestructura física, mantenimiento y dotación (Sedes construidas, mantenidas reforzadas) 016_Sedes mantenidas</v>
      </c>
      <c r="AE441" s="163" t="str">
        <f>CONCATENATE(U441,V441,W441,X441,AA441)</f>
        <v>O23011745992024020708016</v>
      </c>
      <c r="AF441" s="163" t="str">
        <f>IFERROR(VLOOKUP(AD441,TD!$J$66:$K$89,2,0)," ")</f>
        <v>PM/0131/0108/45990160207</v>
      </c>
      <c r="AG441" s="118" t="s">
        <v>385</v>
      </c>
      <c r="AH441" s="162" t="s">
        <v>193</v>
      </c>
      <c r="AI441" s="165" t="str">
        <f>CONCATENATE(PAA[[#This Row],[Id Interno]],"-",PAA[[#This Row],[tipo de Contrato (TH talento humano - B/S bienes y/o servicios)]],"-",S441,"-",T441,"-",PAA[[#This Row],[Objeto de la contratación]])</f>
        <v>20260426-TH-8126-9-Prestación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442" spans="2:35" ht="56" x14ac:dyDescent="0.35">
      <c r="B442" s="23">
        <v>20260427</v>
      </c>
      <c r="C442" s="99" t="s">
        <v>688</v>
      </c>
      <c r="D442" s="23" t="s">
        <v>105</v>
      </c>
      <c r="E442" s="23" t="s">
        <v>363</v>
      </c>
      <c r="F442" s="159" t="s">
        <v>144</v>
      </c>
      <c r="G442" s="160" t="s">
        <v>373</v>
      </c>
      <c r="H442" s="161">
        <v>11</v>
      </c>
      <c r="I442" s="161">
        <v>0</v>
      </c>
      <c r="J442" s="127">
        <v>75204000</v>
      </c>
      <c r="K442" s="88" t="s">
        <v>398</v>
      </c>
      <c r="L442" s="159" t="s">
        <v>155</v>
      </c>
      <c r="M442" s="162" t="s">
        <v>422</v>
      </c>
      <c r="N442" s="23" t="s">
        <v>197</v>
      </c>
      <c r="O442" s="151" t="s">
        <v>945</v>
      </c>
      <c r="P442" s="159" t="s">
        <v>348</v>
      </c>
      <c r="Q442" s="53" t="s">
        <v>766</v>
      </c>
      <c r="R442" s="162" t="s">
        <v>208</v>
      </c>
      <c r="S442" s="162" t="str">
        <f>MID(PAA[[#This Row],[Meta Proyecto de Inversión]],1,4)</f>
        <v>8126</v>
      </c>
      <c r="T442" s="162" t="str">
        <f>MID(PAA[[#This Row],[Meta Proyecto de Inversión]],6,1)</f>
        <v>9</v>
      </c>
      <c r="U442" s="163" t="str">
        <f>IFERROR(VLOOKUP(N442,TD!$B$50:$F$54,2,0)," ")</f>
        <v>O230117</v>
      </c>
      <c r="V442" s="163" t="str">
        <f>IFERROR(VLOOKUP(N442,TD!$B$50:$F$54,3,0)," ")</f>
        <v>4599</v>
      </c>
      <c r="W442" s="163">
        <f>IFERROR(VLOOKUP(N442,TD!$B$50:$F$54,4,0)," ")</f>
        <v>20240207</v>
      </c>
      <c r="X442" s="162" t="s">
        <v>174</v>
      </c>
      <c r="Y442" s="163" t="str">
        <f>IFERROR(VLOOKUP(X442,TD!$J$51:$K$64,2,0)," ")</f>
        <v>Infraestructura física, mantenimiento y dotación (Sedes construidas, mantenidas reforzadas)</v>
      </c>
      <c r="Z442" s="164" t="str">
        <f>CONCATENATE(X442,"-",Y442)</f>
        <v>08-Infraestructura física, mantenimiento y dotación (Sedes construidas, mantenidas reforzadas)</v>
      </c>
      <c r="AA442" s="162" t="s">
        <v>227</v>
      </c>
      <c r="AB442" s="163" t="str">
        <f>IFERROR(VLOOKUP(AA442,TD!$N$51:$O$66,2,0)," ")</f>
        <v>Sedes mantenidas</v>
      </c>
      <c r="AC442" s="164" t="str">
        <f>CONCATENATE(AA442,"_",AB442)</f>
        <v>016_Sedes mantenidas</v>
      </c>
      <c r="AD442" s="164" t="str">
        <f>CONCATENATE(Z442," ",AC442)</f>
        <v>08-Infraestructura física, mantenimiento y dotación (Sedes construidas, mantenidas reforzadas) 016_Sedes mantenidas</v>
      </c>
      <c r="AE442" s="163" t="str">
        <f>CONCATENATE(U442,V442,W442,X442,AA442)</f>
        <v>O23011745992024020708016</v>
      </c>
      <c r="AF442" s="163" t="str">
        <f>IFERROR(VLOOKUP(AD442,TD!$J$66:$K$89,2,0)," ")</f>
        <v>PM/0131/0108/45990160207</v>
      </c>
      <c r="AG442" s="118" t="s">
        <v>385</v>
      </c>
      <c r="AH442" s="162" t="s">
        <v>193</v>
      </c>
      <c r="AI442" s="165" t="str">
        <f>CONCATENATE(PAA[[#This Row],[Id Interno]],"-",PAA[[#This Row],[tipo de Contrato (TH talento humano - B/S bienes y/o servicios)]],"-",S442,"-",T442,"-",PAA[[#This Row],[Objeto de la contratación]])</f>
        <v>20260427-TH-8126-9-Prestar los servicios profesionales para la gestión administrativa y operativa de la Subdirección de Gestión Corporativa en el proceso de adquisición de bienes y servicios - SGC</v>
      </c>
    </row>
    <row r="443" spans="2:35" ht="70" x14ac:dyDescent="0.35">
      <c r="B443" s="23">
        <v>20260428</v>
      </c>
      <c r="C443" s="160" t="s">
        <v>689</v>
      </c>
      <c r="D443" s="23" t="s">
        <v>105</v>
      </c>
      <c r="E443" s="23" t="s">
        <v>363</v>
      </c>
      <c r="F443" s="159" t="s">
        <v>145</v>
      </c>
      <c r="G443" s="160" t="s">
        <v>373</v>
      </c>
      <c r="H443" s="161">
        <v>11</v>
      </c>
      <c r="I443" s="161">
        <v>0</v>
      </c>
      <c r="J443" s="127">
        <v>38060000</v>
      </c>
      <c r="K443" s="88" t="s">
        <v>398</v>
      </c>
      <c r="L443" s="159" t="s">
        <v>155</v>
      </c>
      <c r="M443" s="162" t="s">
        <v>422</v>
      </c>
      <c r="N443" s="23" t="s">
        <v>197</v>
      </c>
      <c r="O443" s="151" t="s">
        <v>945</v>
      </c>
      <c r="P443" s="159" t="s">
        <v>348</v>
      </c>
      <c r="Q443" s="53" t="s">
        <v>766</v>
      </c>
      <c r="R443" s="162" t="s">
        <v>208</v>
      </c>
      <c r="S443" s="162" t="str">
        <f>MID(PAA[[#This Row],[Meta Proyecto de Inversión]],1,4)</f>
        <v>8126</v>
      </c>
      <c r="T443" s="162" t="str">
        <f>MID(PAA[[#This Row],[Meta Proyecto de Inversión]],6,1)</f>
        <v>9</v>
      </c>
      <c r="U443" s="163" t="str">
        <f>IFERROR(VLOOKUP(N443,TD!$B$50:$F$54,2,0)," ")</f>
        <v>O230117</v>
      </c>
      <c r="V443" s="163" t="str">
        <f>IFERROR(VLOOKUP(N443,TD!$B$50:$F$54,3,0)," ")</f>
        <v>4599</v>
      </c>
      <c r="W443" s="163">
        <f>IFERROR(VLOOKUP(N443,TD!$B$50:$F$54,4,0)," ")</f>
        <v>20240207</v>
      </c>
      <c r="X443" s="162" t="s">
        <v>174</v>
      </c>
      <c r="Y443" s="163" t="str">
        <f>IFERROR(VLOOKUP(X443,TD!$J$51:$K$64,2,0)," ")</f>
        <v>Infraestructura física, mantenimiento y dotación (Sedes construidas, mantenidas reforzadas)</v>
      </c>
      <c r="Z443" s="164" t="str">
        <f>CONCATENATE(X443,"-",Y443)</f>
        <v>08-Infraestructura física, mantenimiento y dotación (Sedes construidas, mantenidas reforzadas)</v>
      </c>
      <c r="AA443" s="162" t="s">
        <v>227</v>
      </c>
      <c r="AB443" s="163" t="str">
        <f>IFERROR(VLOOKUP(AA443,TD!$N$51:$O$66,2,0)," ")</f>
        <v>Sedes mantenidas</v>
      </c>
      <c r="AC443" s="164" t="str">
        <f>CONCATENATE(AA443,"_",AB443)</f>
        <v>016_Sedes mantenidas</v>
      </c>
      <c r="AD443" s="164" t="str">
        <f>CONCATENATE(Z443," ",AC443)</f>
        <v>08-Infraestructura física, mantenimiento y dotación (Sedes construidas, mantenidas reforzadas) 016_Sedes mantenidas</v>
      </c>
      <c r="AE443" s="163" t="str">
        <f>CONCATENATE(U443,V443,W443,X443,AA443)</f>
        <v>O23011745992024020708016</v>
      </c>
      <c r="AF443" s="163" t="str">
        <f>IFERROR(VLOOKUP(AD443,TD!$J$66:$K$89,2,0)," ")</f>
        <v>PM/0131/0108/45990160207</v>
      </c>
      <c r="AG443" s="118" t="s">
        <v>385</v>
      </c>
      <c r="AH443" s="162" t="s">
        <v>193</v>
      </c>
      <c r="AI443" s="165" t="str">
        <f>CONCATENATE(PAA[[#This Row],[Id Interno]],"-",PAA[[#This Row],[tipo de Contrato (TH talento humano - B/S bienes y/o servicios)]],"-",S443,"-",T443,"-",PAA[[#This Row],[Objeto de la contratación]])</f>
        <v>20260428-TH-8126-9-Prestar los servicios como conductor de la Subdirección de Gestión Corporativa -SGC</v>
      </c>
    </row>
    <row r="444" spans="2:35" ht="70" x14ac:dyDescent="0.35">
      <c r="B444" s="23">
        <v>20260429</v>
      </c>
      <c r="C444" s="160" t="s">
        <v>690</v>
      </c>
      <c r="D444" s="23" t="s">
        <v>105</v>
      </c>
      <c r="E444" s="23" t="s">
        <v>363</v>
      </c>
      <c r="F444" s="159" t="s">
        <v>144</v>
      </c>
      <c r="G444" s="160" t="s">
        <v>373</v>
      </c>
      <c r="H444" s="161">
        <v>11</v>
      </c>
      <c r="I444" s="161">
        <v>0</v>
      </c>
      <c r="J444" s="127">
        <v>75204000</v>
      </c>
      <c r="K444" s="88" t="s">
        <v>398</v>
      </c>
      <c r="L444" s="159" t="s">
        <v>155</v>
      </c>
      <c r="M444" s="162" t="s">
        <v>422</v>
      </c>
      <c r="N444" s="23" t="s">
        <v>197</v>
      </c>
      <c r="O444" s="151" t="s">
        <v>945</v>
      </c>
      <c r="P444" s="159" t="s">
        <v>348</v>
      </c>
      <c r="Q444" s="53" t="s">
        <v>766</v>
      </c>
      <c r="R444" s="162" t="s">
        <v>208</v>
      </c>
      <c r="S444" s="162" t="str">
        <f>MID(PAA[[#This Row],[Meta Proyecto de Inversión]],1,4)</f>
        <v>8126</v>
      </c>
      <c r="T444" s="162" t="str">
        <f>MID(PAA[[#This Row],[Meta Proyecto de Inversión]],6,1)</f>
        <v>9</v>
      </c>
      <c r="U444" s="163" t="str">
        <f>IFERROR(VLOOKUP(N444,TD!$B$50:$F$54,2,0)," ")</f>
        <v>O230117</v>
      </c>
      <c r="V444" s="163" t="str">
        <f>IFERROR(VLOOKUP(N444,TD!$B$50:$F$54,3,0)," ")</f>
        <v>4599</v>
      </c>
      <c r="W444" s="163">
        <f>IFERROR(VLOOKUP(N444,TD!$B$50:$F$54,4,0)," ")</f>
        <v>20240207</v>
      </c>
      <c r="X444" s="162" t="s">
        <v>174</v>
      </c>
      <c r="Y444" s="163" t="str">
        <f>IFERROR(VLOOKUP(X444,TD!$J$51:$K$64,2,0)," ")</f>
        <v>Infraestructura física, mantenimiento y dotación (Sedes construidas, mantenidas reforzadas)</v>
      </c>
      <c r="Z444" s="164" t="str">
        <f>CONCATENATE(X444,"-",Y444)</f>
        <v>08-Infraestructura física, mantenimiento y dotación (Sedes construidas, mantenidas reforzadas)</v>
      </c>
      <c r="AA444" s="162" t="s">
        <v>227</v>
      </c>
      <c r="AB444" s="163" t="str">
        <f>IFERROR(VLOOKUP(AA444,TD!$N$51:$O$66,2,0)," ")</f>
        <v>Sedes mantenidas</v>
      </c>
      <c r="AC444" s="164" t="str">
        <f>CONCATENATE(AA444,"_",AB444)</f>
        <v>016_Sedes mantenidas</v>
      </c>
      <c r="AD444" s="164" t="str">
        <f>CONCATENATE(Z444," ",AC444)</f>
        <v>08-Infraestructura física, mantenimiento y dotación (Sedes construidas, mantenidas reforzadas) 016_Sedes mantenidas</v>
      </c>
      <c r="AE444" s="163" t="str">
        <f>CONCATENATE(U444,V444,W444,X444,AA444)</f>
        <v>O23011745992024020708016</v>
      </c>
      <c r="AF444" s="163" t="str">
        <f>IFERROR(VLOOKUP(AD444,TD!$J$66:$K$89,2,0)," ")</f>
        <v>PM/0131/0108/45990160207</v>
      </c>
      <c r="AG444" s="118" t="s">
        <v>385</v>
      </c>
      <c r="AH444" s="162" t="s">
        <v>193</v>
      </c>
      <c r="AI444" s="165" t="str">
        <f>CONCATENATE(PAA[[#This Row],[Id Interno]],"-",PAA[[#This Row],[tipo de Contrato (TH talento humano - B/S bienes y/o servicios)]],"-",S444,"-",T444,"-",PAA[[#This Row],[Objeto de la contratación]])</f>
        <v>20260429-TH-8126-9-Prestar servicios profesionales en la Subdirección de Gestión Corporativa en el marco de las actividades administrativas de la Dependencia.-SGC</v>
      </c>
    </row>
    <row r="445" spans="2:35" ht="70" x14ac:dyDescent="0.35">
      <c r="B445" s="23">
        <v>20260430</v>
      </c>
      <c r="C445" s="160" t="s">
        <v>670</v>
      </c>
      <c r="D445" s="23" t="s">
        <v>105</v>
      </c>
      <c r="E445" s="23" t="s">
        <v>363</v>
      </c>
      <c r="F445" s="159" t="s">
        <v>144</v>
      </c>
      <c r="G445" s="160" t="s">
        <v>373</v>
      </c>
      <c r="H445" s="161">
        <v>11</v>
      </c>
      <c r="I445" s="161">
        <v>0</v>
      </c>
      <c r="J445" s="127">
        <v>99000000</v>
      </c>
      <c r="K445" s="88" t="s">
        <v>398</v>
      </c>
      <c r="L445" s="159" t="s">
        <v>155</v>
      </c>
      <c r="M445" s="162" t="s">
        <v>422</v>
      </c>
      <c r="N445" s="23" t="s">
        <v>198</v>
      </c>
      <c r="O445" s="151" t="s">
        <v>946</v>
      </c>
      <c r="P445" s="159" t="s">
        <v>348</v>
      </c>
      <c r="Q445" s="53" t="s">
        <v>766</v>
      </c>
      <c r="R445" s="162" t="s">
        <v>216</v>
      </c>
      <c r="S445" s="162" t="str">
        <f>MID(PAA[[#This Row],[Meta Proyecto de Inversión]],1,4)</f>
        <v>8173</v>
      </c>
      <c r="T445" s="162" t="str">
        <f>MID(PAA[[#This Row],[Meta Proyecto de Inversión]],6,1)</f>
        <v>7</v>
      </c>
      <c r="U445" s="163" t="str">
        <f>IFERROR(VLOOKUP(N445,TD!$B$50:$F$54,2,0)," ")</f>
        <v>O230117</v>
      </c>
      <c r="V445" s="163" t="str">
        <f>IFERROR(VLOOKUP(N445,TD!$B$50:$F$54,3,0)," ")</f>
        <v>4503</v>
      </c>
      <c r="W445" s="163">
        <f>IFERROR(VLOOKUP(N445,TD!$B$50:$F$54,4,0)," ")</f>
        <v>20240255</v>
      </c>
      <c r="X445" s="162">
        <v>14</v>
      </c>
      <c r="Y445" s="163" t="str">
        <f>IFERROR(VLOOKUP(X445,TD!$J$51:$K$64,2,0)," ")</f>
        <v xml:space="preserve">Infraestructura física misional construida mantenida y dotada </v>
      </c>
      <c r="Z445" s="164" t="str">
        <f>CONCATENATE(X445,"-",Y445)</f>
        <v xml:space="preserve">14-Infraestructura física misional construida mantenida y dotada </v>
      </c>
      <c r="AA445" s="162" t="s">
        <v>225</v>
      </c>
      <c r="AB445" s="163" t="str">
        <f>IFERROR(VLOOKUP(AA445,TD!$N$51:$O$66,2,0)," ")</f>
        <v>Estaciones de bomberos adecuadas</v>
      </c>
      <c r="AC445" s="164" t="str">
        <f>CONCATENATE(AA445,"_",AB445)</f>
        <v>014_Estaciones de bomberos adecuadas</v>
      </c>
      <c r="AD445" s="164" t="str">
        <f>CONCATENATE(Z445," ",AC445)</f>
        <v>14-Infraestructura física misional construida mantenida y dotada  014_Estaciones de bomberos adecuadas</v>
      </c>
      <c r="AE445" s="163" t="str">
        <f>CONCATENATE(U445,V445,W445,X445,AA445)</f>
        <v>O23011745032024025514014</v>
      </c>
      <c r="AF445" s="163" t="str">
        <f>IFERROR(VLOOKUP(AD445,TD!$J$66:$K$89,2,0)," ")</f>
        <v>PM/0131/0114/45030140255</v>
      </c>
      <c r="AG445" s="118" t="s">
        <v>385</v>
      </c>
      <c r="AH445" s="162" t="s">
        <v>193</v>
      </c>
      <c r="AI445" s="165" t="str">
        <f>CONCATENATE(PAA[[#This Row],[Id Interno]],"-",PAA[[#This Row],[tipo de Contrato (TH talento humano - B/S bienes y/o servicios)]],"-",S445,"-",T445,"-",PAA[[#This Row],[Objeto de la contratación]])</f>
        <v>20260430-TH-8173-7-Prestación de servicios profesionales para apoyar las actividades de estructuración de procesos contractuales del Área de Infraestructura de la Subdirección de Gestión Corporativa-SGC</v>
      </c>
    </row>
    <row r="446" spans="2:35" ht="70" x14ac:dyDescent="0.35">
      <c r="B446" s="23">
        <v>20260431</v>
      </c>
      <c r="C446" s="160" t="s">
        <v>680</v>
      </c>
      <c r="D446" s="23" t="s">
        <v>105</v>
      </c>
      <c r="E446" s="23" t="s">
        <v>363</v>
      </c>
      <c r="F446" s="159" t="s">
        <v>144</v>
      </c>
      <c r="G446" s="160" t="s">
        <v>373</v>
      </c>
      <c r="H446" s="161">
        <v>11</v>
      </c>
      <c r="I446" s="161">
        <v>0</v>
      </c>
      <c r="J446" s="127">
        <v>81103000</v>
      </c>
      <c r="K446" s="88" t="s">
        <v>398</v>
      </c>
      <c r="L446" s="159" t="s">
        <v>155</v>
      </c>
      <c r="M446" s="162" t="s">
        <v>422</v>
      </c>
      <c r="N446" s="23" t="s">
        <v>198</v>
      </c>
      <c r="O446" s="151" t="s">
        <v>946</v>
      </c>
      <c r="P446" s="159" t="s">
        <v>348</v>
      </c>
      <c r="Q446" s="53" t="s">
        <v>766</v>
      </c>
      <c r="R446" s="162" t="s">
        <v>216</v>
      </c>
      <c r="S446" s="162" t="str">
        <f>MID(PAA[[#This Row],[Meta Proyecto de Inversión]],1,4)</f>
        <v>8173</v>
      </c>
      <c r="T446" s="162" t="str">
        <f>MID(PAA[[#This Row],[Meta Proyecto de Inversión]],6,1)</f>
        <v>7</v>
      </c>
      <c r="U446" s="163" t="str">
        <f>IFERROR(VLOOKUP(N446,TD!$B$50:$F$54,2,0)," ")</f>
        <v>O230117</v>
      </c>
      <c r="V446" s="163" t="str">
        <f>IFERROR(VLOOKUP(N446,TD!$B$50:$F$54,3,0)," ")</f>
        <v>4503</v>
      </c>
      <c r="W446" s="163">
        <f>IFERROR(VLOOKUP(N446,TD!$B$50:$F$54,4,0)," ")</f>
        <v>20240255</v>
      </c>
      <c r="X446" s="162">
        <v>14</v>
      </c>
      <c r="Y446" s="163" t="str">
        <f>IFERROR(VLOOKUP(X446,TD!$J$51:$K$64,2,0)," ")</f>
        <v xml:space="preserve">Infraestructura física misional construida mantenida y dotada </v>
      </c>
      <c r="Z446" s="164" t="str">
        <f>CONCATENATE(X446,"-",Y446)</f>
        <v xml:space="preserve">14-Infraestructura física misional construida mantenida y dotada </v>
      </c>
      <c r="AA446" s="162" t="s">
        <v>225</v>
      </c>
      <c r="AB446" s="163" t="str">
        <f>IFERROR(VLOOKUP(AA446,TD!$N$51:$O$66,2,0)," ")</f>
        <v>Estaciones de bomberos adecuadas</v>
      </c>
      <c r="AC446" s="164" t="str">
        <f>CONCATENATE(AA446,"_",AB446)</f>
        <v>014_Estaciones de bomberos adecuadas</v>
      </c>
      <c r="AD446" s="164" t="str">
        <f>CONCATENATE(Z446," ",AC446)</f>
        <v>14-Infraestructura física misional construida mantenida y dotada  014_Estaciones de bomberos adecuadas</v>
      </c>
      <c r="AE446" s="163" t="str">
        <f>CONCATENATE(U446,V446,W446,X446,AA446)</f>
        <v>O23011745032024025514014</v>
      </c>
      <c r="AF446" s="163" t="str">
        <f>IFERROR(VLOOKUP(AD446,TD!$J$66:$K$89,2,0)," ")</f>
        <v>PM/0131/0114/45030140255</v>
      </c>
      <c r="AG446" s="118" t="s">
        <v>385</v>
      </c>
      <c r="AH446" s="162" t="s">
        <v>193</v>
      </c>
      <c r="AI446" s="165" t="str">
        <f>CONCATENATE(PAA[[#This Row],[Id Interno]],"-",PAA[[#This Row],[tipo de Contrato (TH talento humano - B/S bienes y/o servicios)]],"-",S446,"-",T446,"-",PAA[[#This Row],[Objeto de la contratación]])</f>
        <v>20260431-TH-8173-7-Prestar servicios profesionales para realizar acompañamiento juridico en la elaboración de los procesos contractuales adelantados por la Subdirección Gestión Corporativa -SGC</v>
      </c>
    </row>
    <row r="447" spans="2:35" ht="56" x14ac:dyDescent="0.35">
      <c r="B447" s="23">
        <v>20260432</v>
      </c>
      <c r="C447" s="160" t="s">
        <v>691</v>
      </c>
      <c r="D447" s="23" t="s">
        <v>105</v>
      </c>
      <c r="E447" s="23" t="s">
        <v>363</v>
      </c>
      <c r="F447" s="159" t="s">
        <v>144</v>
      </c>
      <c r="G447" s="160" t="s">
        <v>373</v>
      </c>
      <c r="H447" s="136">
        <v>11</v>
      </c>
      <c r="I447" s="161">
        <v>0</v>
      </c>
      <c r="J447" s="118">
        <v>81103000</v>
      </c>
      <c r="K447" s="88" t="s">
        <v>398</v>
      </c>
      <c r="L447" s="159" t="s">
        <v>155</v>
      </c>
      <c r="M447" s="162" t="s">
        <v>422</v>
      </c>
      <c r="N447" s="23" t="s">
        <v>197</v>
      </c>
      <c r="O447" s="151" t="s">
        <v>945</v>
      </c>
      <c r="P447" s="159" t="s">
        <v>348</v>
      </c>
      <c r="Q447" s="53" t="s">
        <v>766</v>
      </c>
      <c r="R447" s="162" t="s">
        <v>207</v>
      </c>
      <c r="S447" s="162" t="str">
        <f>MID(PAA[[#This Row],[Meta Proyecto de Inversión]],1,4)</f>
        <v>8126</v>
      </c>
      <c r="T447" s="162" t="str">
        <f>MID(PAA[[#This Row],[Meta Proyecto de Inversión]],6,1)</f>
        <v>8</v>
      </c>
      <c r="U447" s="163" t="str">
        <f>IFERROR(VLOOKUP(N447,TD!$B$50:$F$54,2,0)," ")</f>
        <v>O230117</v>
      </c>
      <c r="V447" s="163" t="str">
        <f>IFERROR(VLOOKUP(N447,TD!$B$50:$F$54,3,0)," ")</f>
        <v>4599</v>
      </c>
      <c r="W447" s="163">
        <f>IFERROR(VLOOKUP(N447,TD!$B$50:$F$54,4,0)," ")</f>
        <v>20240207</v>
      </c>
      <c r="X447" s="162" t="s">
        <v>174</v>
      </c>
      <c r="Y447" s="163" t="str">
        <f>IFERROR(VLOOKUP(X447,TD!$J$51:$K$64,2,0)," ")</f>
        <v>Infraestructura física, mantenimiento y dotación (Sedes construidas, mantenidas reforzadas)</v>
      </c>
      <c r="Z447" s="164" t="str">
        <f>CONCATENATE(X447,"-",Y447)</f>
        <v>08-Infraestructura física, mantenimiento y dotación (Sedes construidas, mantenidas reforzadas)</v>
      </c>
      <c r="AA447" s="162" t="s">
        <v>227</v>
      </c>
      <c r="AB447" s="163" t="str">
        <f>IFERROR(VLOOKUP(AA447,TD!$N$51:$O$66,2,0)," ")</f>
        <v>Sedes mantenidas</v>
      </c>
      <c r="AC447" s="164" t="str">
        <f>CONCATENATE(AA447,"_",AB447)</f>
        <v>016_Sedes mantenidas</v>
      </c>
      <c r="AD447" s="164" t="str">
        <f>CONCATENATE(Z447," ",AC447)</f>
        <v>08-Infraestructura física, mantenimiento y dotación (Sedes construidas, mantenidas reforzadas) 016_Sedes mantenidas</v>
      </c>
      <c r="AE447" s="163" t="str">
        <f>CONCATENATE(U447,V447,W447,X447,AA447)</f>
        <v>O23011745992024020708016</v>
      </c>
      <c r="AF447" s="163" t="str">
        <f>IFERROR(VLOOKUP(AD447,TD!$J$66:$K$89,2,0)," ")</f>
        <v>PM/0131/0108/45990160207</v>
      </c>
      <c r="AG447" s="118" t="s">
        <v>385</v>
      </c>
      <c r="AH447" s="162" t="s">
        <v>193</v>
      </c>
      <c r="AI447" s="165" t="str">
        <f>CONCATENATE(PAA[[#This Row],[Id Interno]],"-",PAA[[#This Row],[tipo de Contrato (TH talento humano - B/S bienes y/o servicios)]],"-",S447,"-",T447,"-",PAA[[#This Row],[Objeto de la contratación]])</f>
        <v>20260432-TH-8126-8-Prestación de servicios profesionales para adelantar actividades técnicas y trámites administrativos del Área de Infraestructura de la Subdirección de Gestión Corporativa-SGC</v>
      </c>
    </row>
    <row r="448" spans="2:35" ht="56" x14ac:dyDescent="0.35">
      <c r="B448" s="23">
        <v>20260433</v>
      </c>
      <c r="C448" s="160" t="s">
        <v>692</v>
      </c>
      <c r="D448" s="23" t="s">
        <v>105</v>
      </c>
      <c r="E448" s="23" t="s">
        <v>363</v>
      </c>
      <c r="F448" s="159" t="s">
        <v>144</v>
      </c>
      <c r="G448" s="160" t="s">
        <v>373</v>
      </c>
      <c r="H448" s="161">
        <v>11</v>
      </c>
      <c r="I448" s="161">
        <v>0</v>
      </c>
      <c r="J448" s="127">
        <v>99000000</v>
      </c>
      <c r="K448" s="88" t="s">
        <v>398</v>
      </c>
      <c r="L448" s="159" t="s">
        <v>155</v>
      </c>
      <c r="M448" s="162" t="s">
        <v>422</v>
      </c>
      <c r="N448" s="23" t="s">
        <v>197</v>
      </c>
      <c r="O448" s="151" t="s">
        <v>945</v>
      </c>
      <c r="P448" s="159" t="s">
        <v>348</v>
      </c>
      <c r="Q448" s="53" t="s">
        <v>766</v>
      </c>
      <c r="R448" s="162" t="s">
        <v>207</v>
      </c>
      <c r="S448" s="162" t="str">
        <f>MID(PAA[[#This Row],[Meta Proyecto de Inversión]],1,4)</f>
        <v>8126</v>
      </c>
      <c r="T448" s="162" t="str">
        <f>MID(PAA[[#This Row],[Meta Proyecto de Inversión]],6,1)</f>
        <v>8</v>
      </c>
      <c r="U448" s="163" t="str">
        <f>IFERROR(VLOOKUP(N448,TD!$B$50:$F$54,2,0)," ")</f>
        <v>O230117</v>
      </c>
      <c r="V448" s="163" t="str">
        <f>IFERROR(VLOOKUP(N448,TD!$B$50:$F$54,3,0)," ")</f>
        <v>4599</v>
      </c>
      <c r="W448" s="163">
        <f>IFERROR(VLOOKUP(N448,TD!$B$50:$F$54,4,0)," ")</f>
        <v>20240207</v>
      </c>
      <c r="X448" s="162" t="s">
        <v>174</v>
      </c>
      <c r="Y448" s="163" t="str">
        <f>IFERROR(VLOOKUP(X448,TD!$J$51:$K$64,2,0)," ")</f>
        <v>Infraestructura física, mantenimiento y dotación (Sedes construidas, mantenidas reforzadas)</v>
      </c>
      <c r="Z448" s="164" t="str">
        <f>CONCATENATE(X448,"-",Y448)</f>
        <v>08-Infraestructura física, mantenimiento y dotación (Sedes construidas, mantenidas reforzadas)</v>
      </c>
      <c r="AA448" s="162" t="s">
        <v>227</v>
      </c>
      <c r="AB448" s="163" t="str">
        <f>IFERROR(VLOOKUP(AA448,TD!$N$51:$O$66,2,0)," ")</f>
        <v>Sedes mantenidas</v>
      </c>
      <c r="AC448" s="164" t="str">
        <f>CONCATENATE(AA448,"_",AB448)</f>
        <v>016_Sedes mantenidas</v>
      </c>
      <c r="AD448" s="164" t="str">
        <f>CONCATENATE(Z448," ",AC448)</f>
        <v>08-Infraestructura física, mantenimiento y dotación (Sedes construidas, mantenidas reforzadas) 016_Sedes mantenidas</v>
      </c>
      <c r="AE448" s="163" t="str">
        <f>CONCATENATE(U448,V448,W448,X448,AA448)</f>
        <v>O23011745992024020708016</v>
      </c>
      <c r="AF448" s="163" t="str">
        <f>IFERROR(VLOOKUP(AD448,TD!$J$66:$K$89,2,0)," ")</f>
        <v>PM/0131/0108/45990160207</v>
      </c>
      <c r="AG448" s="118" t="s">
        <v>385</v>
      </c>
      <c r="AH448" s="162" t="s">
        <v>193</v>
      </c>
      <c r="AI448" s="165" t="str">
        <f>CONCATENATE(PAA[[#This Row],[Id Interno]],"-",PAA[[#This Row],[tipo de Contrato (TH talento humano - B/S bienes y/o servicios)]],"-",S448,"-",T448,"-",PAA[[#This Row],[Objeto de la contratación]])</f>
        <v>20260433-TH-8126-8-Prestación de servicios profesionales especializados para articular y revisar los procesos y procedimientos del área de infraestructura, así como en el apoyo a la supervisión de los contratos que le sean asignados-SGC</v>
      </c>
    </row>
    <row r="449" spans="2:35" ht="56" x14ac:dyDescent="0.35">
      <c r="B449" s="23">
        <v>20260434</v>
      </c>
      <c r="C449" s="160" t="s">
        <v>693</v>
      </c>
      <c r="D449" s="23" t="s">
        <v>105</v>
      </c>
      <c r="E449" s="23" t="s">
        <v>363</v>
      </c>
      <c r="F449" s="159" t="s">
        <v>144</v>
      </c>
      <c r="G449" s="160" t="s">
        <v>373</v>
      </c>
      <c r="H449" s="161">
        <v>11</v>
      </c>
      <c r="I449" s="161">
        <v>0</v>
      </c>
      <c r="J449" s="127">
        <v>102035000</v>
      </c>
      <c r="K449" s="88" t="s">
        <v>398</v>
      </c>
      <c r="L449" s="159" t="s">
        <v>155</v>
      </c>
      <c r="M449" s="162" t="s">
        <v>422</v>
      </c>
      <c r="N449" s="23" t="s">
        <v>198</v>
      </c>
      <c r="O449" s="151" t="s">
        <v>946</v>
      </c>
      <c r="P449" s="159" t="s">
        <v>348</v>
      </c>
      <c r="Q449" s="53" t="s">
        <v>766</v>
      </c>
      <c r="R449" s="162" t="s">
        <v>216</v>
      </c>
      <c r="S449" s="162" t="str">
        <f>MID(PAA[[#This Row],[Meta Proyecto de Inversión]],1,4)</f>
        <v>8173</v>
      </c>
      <c r="T449" s="162" t="str">
        <f>MID(PAA[[#This Row],[Meta Proyecto de Inversión]],6,1)</f>
        <v>7</v>
      </c>
      <c r="U449" s="163" t="str">
        <f>IFERROR(VLOOKUP(N449,TD!$B$50:$F$54,2,0)," ")</f>
        <v>O230117</v>
      </c>
      <c r="V449" s="163" t="str">
        <f>IFERROR(VLOOKUP(N449,TD!$B$50:$F$54,3,0)," ")</f>
        <v>4503</v>
      </c>
      <c r="W449" s="163">
        <f>IFERROR(VLOOKUP(N449,TD!$B$50:$F$54,4,0)," ")</f>
        <v>20240255</v>
      </c>
      <c r="X449" s="162">
        <v>14</v>
      </c>
      <c r="Y449" s="163" t="str">
        <f>IFERROR(VLOOKUP(X449,TD!$J$51:$K$64,2,0)," ")</f>
        <v xml:space="preserve">Infraestructura física misional construida mantenida y dotada </v>
      </c>
      <c r="Z449" s="164" t="str">
        <f>CONCATENATE(X449,"-",Y449)</f>
        <v xml:space="preserve">14-Infraestructura física misional construida mantenida y dotada </v>
      </c>
      <c r="AA449" s="162" t="s">
        <v>225</v>
      </c>
      <c r="AB449" s="163" t="str">
        <f>IFERROR(VLOOKUP(AA449,TD!$N$51:$O$66,2,0)," ")</f>
        <v>Estaciones de bomberos adecuadas</v>
      </c>
      <c r="AC449" s="164" t="str">
        <f>CONCATENATE(AA449,"_",AB449)</f>
        <v>014_Estaciones de bomberos adecuadas</v>
      </c>
      <c r="AD449" s="164" t="str">
        <f>CONCATENATE(Z449," ",AC449)</f>
        <v>14-Infraestructura física misional construida mantenida y dotada  014_Estaciones de bomberos adecuadas</v>
      </c>
      <c r="AE449" s="163" t="str">
        <f>CONCATENATE(U449,V449,W449,X449,AA449)</f>
        <v>O23011745032024025514014</v>
      </c>
      <c r="AF449" s="163" t="str">
        <f>IFERROR(VLOOKUP(AD449,TD!$J$66:$K$89,2,0)," ")</f>
        <v>PM/0131/0114/45030140255</v>
      </c>
      <c r="AG449" s="118" t="s">
        <v>385</v>
      </c>
      <c r="AH449" s="162" t="s">
        <v>193</v>
      </c>
      <c r="AI449" s="165" t="str">
        <f>CONCATENATE(PAA[[#This Row],[Id Interno]],"-",PAA[[#This Row],[tipo de Contrato (TH talento humano - B/S bienes y/o servicios)]],"-",S449,"-",T449,"-",PAA[[#This Row],[Objeto de la contratación]])</f>
        <v>20260434-TH-8173-7-Prestación de Servicios Profesionales para la formulación, seguimiento y ejecución de procesos presupuestales y financieros a cargo del área de infraestructura de la Subdirección de Gestión Corporativa -SGC</v>
      </c>
    </row>
    <row r="450" spans="2:35" ht="56" x14ac:dyDescent="0.35">
      <c r="B450" s="23">
        <v>20260435</v>
      </c>
      <c r="C450" s="99" t="s">
        <v>694</v>
      </c>
      <c r="D450" s="23" t="s">
        <v>105</v>
      </c>
      <c r="E450" s="23" t="s">
        <v>363</v>
      </c>
      <c r="F450" s="159" t="s">
        <v>144</v>
      </c>
      <c r="G450" s="160" t="s">
        <v>373</v>
      </c>
      <c r="H450" s="161">
        <v>11</v>
      </c>
      <c r="I450" s="161">
        <v>0</v>
      </c>
      <c r="J450" s="127">
        <v>75204000</v>
      </c>
      <c r="K450" s="88" t="s">
        <v>398</v>
      </c>
      <c r="L450" s="159" t="s">
        <v>155</v>
      </c>
      <c r="M450" s="162" t="s">
        <v>422</v>
      </c>
      <c r="N450" s="23" t="s">
        <v>197</v>
      </c>
      <c r="O450" s="151" t="s">
        <v>945</v>
      </c>
      <c r="P450" s="159" t="s">
        <v>348</v>
      </c>
      <c r="Q450" s="53" t="s">
        <v>766</v>
      </c>
      <c r="R450" s="162" t="s">
        <v>207</v>
      </c>
      <c r="S450" s="162" t="str">
        <f>MID(PAA[[#This Row],[Meta Proyecto de Inversión]],1,4)</f>
        <v>8126</v>
      </c>
      <c r="T450" s="162" t="str">
        <f>MID(PAA[[#This Row],[Meta Proyecto de Inversión]],6,1)</f>
        <v>8</v>
      </c>
      <c r="U450" s="163" t="str">
        <f>IFERROR(VLOOKUP(N450,TD!$B$50:$F$54,2,0)," ")</f>
        <v>O230117</v>
      </c>
      <c r="V450" s="163" t="str">
        <f>IFERROR(VLOOKUP(N450,TD!$B$50:$F$54,3,0)," ")</f>
        <v>4599</v>
      </c>
      <c r="W450" s="163">
        <f>IFERROR(VLOOKUP(N450,TD!$B$50:$F$54,4,0)," ")</f>
        <v>20240207</v>
      </c>
      <c r="X450" s="162" t="s">
        <v>174</v>
      </c>
      <c r="Y450" s="163" t="str">
        <f>IFERROR(VLOOKUP(X450,TD!$J$51:$K$64,2,0)," ")</f>
        <v>Infraestructura física, mantenimiento y dotación (Sedes construidas, mantenidas reforzadas)</v>
      </c>
      <c r="Z450" s="164" t="str">
        <f>CONCATENATE(X450,"-",Y450)</f>
        <v>08-Infraestructura física, mantenimiento y dotación (Sedes construidas, mantenidas reforzadas)</v>
      </c>
      <c r="AA450" s="162" t="s">
        <v>227</v>
      </c>
      <c r="AB450" s="163" t="str">
        <f>IFERROR(VLOOKUP(AA450,TD!$N$51:$O$66,2,0)," ")</f>
        <v>Sedes mantenidas</v>
      </c>
      <c r="AC450" s="164" t="str">
        <f>CONCATENATE(AA450,"_",AB450)</f>
        <v>016_Sedes mantenidas</v>
      </c>
      <c r="AD450" s="164" t="str">
        <f>CONCATENATE(Z450," ",AC450)</f>
        <v>08-Infraestructura física, mantenimiento y dotación (Sedes construidas, mantenidas reforzadas) 016_Sedes mantenidas</v>
      </c>
      <c r="AE450" s="163" t="str">
        <f>CONCATENATE(U450,V450,W450,X450,AA450)</f>
        <v>O23011745992024020708016</v>
      </c>
      <c r="AF450" s="163" t="str">
        <f>IFERROR(VLOOKUP(AD450,TD!$J$66:$K$89,2,0)," ")</f>
        <v>PM/0131/0108/45990160207</v>
      </c>
      <c r="AG450" s="118" t="s">
        <v>385</v>
      </c>
      <c r="AH450" s="162" t="s">
        <v>193</v>
      </c>
      <c r="AI450" s="165" t="str">
        <f>CONCATENATE(PAA[[#This Row],[Id Interno]],"-",PAA[[#This Row],[tipo de Contrato (TH talento humano - B/S bienes y/o servicios)]],"-",S450,"-",T450,"-",PAA[[#This Row],[Objeto de la contratación]])</f>
        <v>20260435-TH-8126-8-Prestación de servicios profesionales para atender las necesidades de mantenimiento de las instalaciones y las actividades técnicas y administrativas de competencia del Área de Infraestructura de la Subdirección de Gestión Corporativa-SGC</v>
      </c>
    </row>
    <row r="451" spans="2:35" ht="56" x14ac:dyDescent="0.35">
      <c r="B451" s="23">
        <v>20260436</v>
      </c>
      <c r="C451" s="99" t="s">
        <v>695</v>
      </c>
      <c r="D451" s="23" t="s">
        <v>105</v>
      </c>
      <c r="E451" s="23" t="s">
        <v>363</v>
      </c>
      <c r="F451" s="159" t="s">
        <v>144</v>
      </c>
      <c r="G451" s="160" t="s">
        <v>373</v>
      </c>
      <c r="H451" s="161">
        <v>11</v>
      </c>
      <c r="I451" s="161">
        <v>0</v>
      </c>
      <c r="J451" s="127">
        <v>75204000</v>
      </c>
      <c r="K451" s="88" t="s">
        <v>398</v>
      </c>
      <c r="L451" s="159" t="s">
        <v>155</v>
      </c>
      <c r="M451" s="162" t="s">
        <v>422</v>
      </c>
      <c r="N451" s="23" t="s">
        <v>197</v>
      </c>
      <c r="O451" s="151" t="s">
        <v>945</v>
      </c>
      <c r="P451" s="159" t="s">
        <v>348</v>
      </c>
      <c r="Q451" s="53" t="s">
        <v>766</v>
      </c>
      <c r="R451" s="162" t="s">
        <v>207</v>
      </c>
      <c r="S451" s="162" t="str">
        <f>MID(PAA[[#This Row],[Meta Proyecto de Inversión]],1,4)</f>
        <v>8126</v>
      </c>
      <c r="T451" s="162" t="str">
        <f>MID(PAA[[#This Row],[Meta Proyecto de Inversión]],6,1)</f>
        <v>8</v>
      </c>
      <c r="U451" s="163" t="str">
        <f>IFERROR(VLOOKUP(N451,TD!$B$50:$F$54,2,0)," ")</f>
        <v>O230117</v>
      </c>
      <c r="V451" s="163" t="str">
        <f>IFERROR(VLOOKUP(N451,TD!$B$50:$F$54,3,0)," ")</f>
        <v>4599</v>
      </c>
      <c r="W451" s="163">
        <f>IFERROR(VLOOKUP(N451,TD!$B$50:$F$54,4,0)," ")</f>
        <v>20240207</v>
      </c>
      <c r="X451" s="162" t="s">
        <v>174</v>
      </c>
      <c r="Y451" s="163" t="str">
        <f>IFERROR(VLOOKUP(X451,TD!$J$51:$K$64,2,0)," ")</f>
        <v>Infraestructura física, mantenimiento y dotación (Sedes construidas, mantenidas reforzadas)</v>
      </c>
      <c r="Z451" s="164" t="str">
        <f>CONCATENATE(X451,"-",Y451)</f>
        <v>08-Infraestructura física, mantenimiento y dotación (Sedes construidas, mantenidas reforzadas)</v>
      </c>
      <c r="AA451" s="162" t="s">
        <v>227</v>
      </c>
      <c r="AB451" s="163" t="str">
        <f>IFERROR(VLOOKUP(AA451,TD!$N$51:$O$66,2,0)," ")</f>
        <v>Sedes mantenidas</v>
      </c>
      <c r="AC451" s="164" t="str">
        <f>CONCATENATE(AA451,"_",AB451)</f>
        <v>016_Sedes mantenidas</v>
      </c>
      <c r="AD451" s="164" t="str">
        <f>CONCATENATE(Z451," ",AC451)</f>
        <v>08-Infraestructura física, mantenimiento y dotación (Sedes construidas, mantenidas reforzadas) 016_Sedes mantenidas</v>
      </c>
      <c r="AE451" s="163" t="str">
        <f>CONCATENATE(U451,V451,W451,X451,AA451)</f>
        <v>O23011745992024020708016</v>
      </c>
      <c r="AF451" s="163" t="str">
        <f>IFERROR(VLOOKUP(AD451,TD!$J$66:$K$89,2,0)," ")</f>
        <v>PM/0131/0108/45990160207</v>
      </c>
      <c r="AG451" s="118" t="s">
        <v>385</v>
      </c>
      <c r="AH451" s="162" t="s">
        <v>193</v>
      </c>
      <c r="AI451" s="165" t="str">
        <f>CONCATENATE(PAA[[#This Row],[Id Interno]],"-",PAA[[#This Row],[tipo de Contrato (TH talento humano - B/S bienes y/o servicios)]],"-",S451,"-",T451,"-",PAA[[#This Row],[Objeto de la contratación]])</f>
        <v>20260436-TH-8126-8-Prestación de Servicios Profesionales en temas financieros, administrativas y misionales para apoyar los proyectos de infraestructura de la Subdirección de Gestión Corporativa.- SGC</v>
      </c>
    </row>
    <row r="452" spans="2:35" ht="70" x14ac:dyDescent="0.35">
      <c r="B452" s="23">
        <v>20260437</v>
      </c>
      <c r="C452" s="99" t="s">
        <v>696</v>
      </c>
      <c r="D452" s="23" t="s">
        <v>105</v>
      </c>
      <c r="E452" s="23" t="s">
        <v>363</v>
      </c>
      <c r="F452" s="159" t="s">
        <v>144</v>
      </c>
      <c r="G452" s="160" t="s">
        <v>373</v>
      </c>
      <c r="H452" s="161">
        <v>11</v>
      </c>
      <c r="I452" s="161">
        <v>0</v>
      </c>
      <c r="J452" s="127">
        <v>102034000</v>
      </c>
      <c r="K452" s="88" t="s">
        <v>398</v>
      </c>
      <c r="L452" s="159" t="s">
        <v>155</v>
      </c>
      <c r="M452" s="162" t="s">
        <v>422</v>
      </c>
      <c r="N452" s="23" t="s">
        <v>197</v>
      </c>
      <c r="O452" s="151" t="s">
        <v>945</v>
      </c>
      <c r="P452" s="159" t="s">
        <v>348</v>
      </c>
      <c r="Q452" s="53" t="s">
        <v>766</v>
      </c>
      <c r="R452" s="162" t="s">
        <v>207</v>
      </c>
      <c r="S452" s="162" t="str">
        <f>MID(PAA[[#This Row],[Meta Proyecto de Inversión]],1,4)</f>
        <v>8126</v>
      </c>
      <c r="T452" s="162" t="str">
        <f>MID(PAA[[#This Row],[Meta Proyecto de Inversión]],6,1)</f>
        <v>8</v>
      </c>
      <c r="U452" s="163" t="str">
        <f>IFERROR(VLOOKUP(N452,TD!$B$50:$F$54,2,0)," ")</f>
        <v>O230117</v>
      </c>
      <c r="V452" s="163" t="str">
        <f>IFERROR(VLOOKUP(N452,TD!$B$50:$F$54,3,0)," ")</f>
        <v>4599</v>
      </c>
      <c r="W452" s="163">
        <f>IFERROR(VLOOKUP(N452,TD!$B$50:$F$54,4,0)," ")</f>
        <v>20240207</v>
      </c>
      <c r="X452" s="162" t="s">
        <v>174</v>
      </c>
      <c r="Y452" s="163" t="str">
        <f>IFERROR(VLOOKUP(X452,TD!$J$51:$K$64,2,0)," ")</f>
        <v>Infraestructura física, mantenimiento y dotación (Sedes construidas, mantenidas reforzadas)</v>
      </c>
      <c r="Z452" s="164" t="str">
        <f>CONCATENATE(X452,"-",Y452)</f>
        <v>08-Infraestructura física, mantenimiento y dotación (Sedes construidas, mantenidas reforzadas)</v>
      </c>
      <c r="AA452" s="162" t="s">
        <v>227</v>
      </c>
      <c r="AB452" s="163" t="str">
        <f>IFERROR(VLOOKUP(AA452,TD!$N$51:$O$66,2,0)," ")</f>
        <v>Sedes mantenidas</v>
      </c>
      <c r="AC452" s="164" t="str">
        <f>CONCATENATE(AA452,"_",AB452)</f>
        <v>016_Sedes mantenidas</v>
      </c>
      <c r="AD452" s="164" t="str">
        <f>CONCATENATE(Z452," ",AC452)</f>
        <v>08-Infraestructura física, mantenimiento y dotación (Sedes construidas, mantenidas reforzadas) 016_Sedes mantenidas</v>
      </c>
      <c r="AE452" s="163" t="str">
        <f>CONCATENATE(U452,V452,W452,X452,AA452)</f>
        <v>O23011745992024020708016</v>
      </c>
      <c r="AF452" s="163" t="str">
        <f>IFERROR(VLOOKUP(AD452,TD!$J$66:$K$89,2,0)," ")</f>
        <v>PM/0131/0108/45990160207</v>
      </c>
      <c r="AG452" s="118" t="s">
        <v>385</v>
      </c>
      <c r="AH452" s="162" t="s">
        <v>193</v>
      </c>
      <c r="AI452" s="165" t="str">
        <f>CONCATENATE(PAA[[#This Row],[Id Interno]],"-",PAA[[#This Row],[tipo de Contrato (TH talento humano - B/S bienes y/o servicios)]],"-",S452,"-",T452,"-",PAA[[#This Row],[Objeto de la contratación]])</f>
        <v>20260437-TH-8126-8-Prestar servicios profesionales especializados para acompañar jurídicamente los procesos y procedimientos del área de infraestructura de la Subdirección de Gestión Corporativa. SGC</v>
      </c>
    </row>
    <row r="453" spans="2:35" ht="70" x14ac:dyDescent="0.35">
      <c r="B453" s="23">
        <v>20260438</v>
      </c>
      <c r="C453" s="99" t="s">
        <v>697</v>
      </c>
      <c r="D453" s="23" t="s">
        <v>105</v>
      </c>
      <c r="E453" s="23" t="s">
        <v>363</v>
      </c>
      <c r="F453" s="159" t="s">
        <v>144</v>
      </c>
      <c r="G453" s="160" t="s">
        <v>373</v>
      </c>
      <c r="H453" s="161">
        <v>11</v>
      </c>
      <c r="I453" s="161">
        <v>0</v>
      </c>
      <c r="J453" s="127">
        <v>81103000</v>
      </c>
      <c r="K453" s="88" t="s">
        <v>398</v>
      </c>
      <c r="L453" s="159" t="s">
        <v>155</v>
      </c>
      <c r="M453" s="162" t="s">
        <v>422</v>
      </c>
      <c r="N453" s="23" t="s">
        <v>197</v>
      </c>
      <c r="O453" s="151" t="s">
        <v>945</v>
      </c>
      <c r="P453" s="159" t="s">
        <v>348</v>
      </c>
      <c r="Q453" s="53" t="s">
        <v>766</v>
      </c>
      <c r="R453" s="162" t="s">
        <v>207</v>
      </c>
      <c r="S453" s="162" t="str">
        <f>MID(PAA[[#This Row],[Meta Proyecto de Inversión]],1,4)</f>
        <v>8126</v>
      </c>
      <c r="T453" s="162" t="str">
        <f>MID(PAA[[#This Row],[Meta Proyecto de Inversión]],6,1)</f>
        <v>8</v>
      </c>
      <c r="U453" s="163" t="str">
        <f>IFERROR(VLOOKUP(N453,TD!$B$50:$F$54,2,0)," ")</f>
        <v>O230117</v>
      </c>
      <c r="V453" s="163" t="str">
        <f>IFERROR(VLOOKUP(N453,TD!$B$50:$F$54,3,0)," ")</f>
        <v>4599</v>
      </c>
      <c r="W453" s="163">
        <f>IFERROR(VLOOKUP(N453,TD!$B$50:$F$54,4,0)," ")</f>
        <v>20240207</v>
      </c>
      <c r="X453" s="162" t="s">
        <v>174</v>
      </c>
      <c r="Y453" s="163" t="str">
        <f>IFERROR(VLOOKUP(X453,TD!$J$51:$K$64,2,0)," ")</f>
        <v>Infraestructura física, mantenimiento y dotación (Sedes construidas, mantenidas reforzadas)</v>
      </c>
      <c r="Z453" s="164" t="str">
        <f>CONCATENATE(X453,"-",Y453)</f>
        <v>08-Infraestructura física, mantenimiento y dotación (Sedes construidas, mantenidas reforzadas)</v>
      </c>
      <c r="AA453" s="162" t="s">
        <v>227</v>
      </c>
      <c r="AB453" s="163" t="str">
        <f>IFERROR(VLOOKUP(AA453,TD!$N$51:$O$66,2,0)," ")</f>
        <v>Sedes mantenidas</v>
      </c>
      <c r="AC453" s="164" t="str">
        <f>CONCATENATE(AA453,"_",AB453)</f>
        <v>016_Sedes mantenidas</v>
      </c>
      <c r="AD453" s="164" t="str">
        <f>CONCATENATE(Z453," ",AC453)</f>
        <v>08-Infraestructura física, mantenimiento y dotación (Sedes construidas, mantenidas reforzadas) 016_Sedes mantenidas</v>
      </c>
      <c r="AE453" s="163" t="str">
        <f>CONCATENATE(U453,V453,W453,X453,AA453)</f>
        <v>O23011745992024020708016</v>
      </c>
      <c r="AF453" s="163" t="str">
        <f>IFERROR(VLOOKUP(AD453,TD!$J$66:$K$89,2,0)," ")</f>
        <v>PM/0131/0108/45990160207</v>
      </c>
      <c r="AG453" s="118" t="s">
        <v>385</v>
      </c>
      <c r="AH453" s="162" t="s">
        <v>193</v>
      </c>
      <c r="AI453" s="165" t="str">
        <f>CONCATENATE(PAA[[#This Row],[Id Interno]],"-",PAA[[#This Row],[tipo de Contrato (TH talento humano - B/S bienes y/o servicios)]],"-",S453,"-",T453,"-",PAA[[#This Row],[Objeto de la contratación]])</f>
        <v>20260438-TH-8126-8-Prestación de servicios profesionales para apoyar las actividades técnicas del Área de Infraestructura de la Subdirección de Gestión Corporativa-SGC</v>
      </c>
    </row>
    <row r="454" spans="2:35" ht="42" x14ac:dyDescent="0.35">
      <c r="B454" s="23">
        <v>20260439</v>
      </c>
      <c r="C454" s="99" t="s">
        <v>698</v>
      </c>
      <c r="D454" s="23" t="s">
        <v>105</v>
      </c>
      <c r="E454" s="23" t="s">
        <v>363</v>
      </c>
      <c r="F454" s="159" t="s">
        <v>144</v>
      </c>
      <c r="G454" s="160" t="s">
        <v>373</v>
      </c>
      <c r="H454" s="161">
        <v>10</v>
      </c>
      <c r="I454" s="161">
        <v>0</v>
      </c>
      <c r="J454" s="118">
        <v>51611000</v>
      </c>
      <c r="K454" s="88" t="s">
        <v>398</v>
      </c>
      <c r="L454" s="159" t="s">
        <v>155</v>
      </c>
      <c r="M454" s="162" t="s">
        <v>422</v>
      </c>
      <c r="N454" s="23" t="s">
        <v>197</v>
      </c>
      <c r="O454" s="151" t="s">
        <v>945</v>
      </c>
      <c r="P454" s="159" t="s">
        <v>348</v>
      </c>
      <c r="Q454" s="53" t="s">
        <v>766</v>
      </c>
      <c r="R454" s="162" t="s">
        <v>207</v>
      </c>
      <c r="S454" s="162" t="str">
        <f>MID(PAA[[#This Row],[Meta Proyecto de Inversión]],1,4)</f>
        <v>8126</v>
      </c>
      <c r="T454" s="162" t="str">
        <f>MID(PAA[[#This Row],[Meta Proyecto de Inversión]],6,1)</f>
        <v>8</v>
      </c>
      <c r="U454" s="163" t="str">
        <f>IFERROR(VLOOKUP(N454,TD!$B$50:$F$54,2,0)," ")</f>
        <v>O230117</v>
      </c>
      <c r="V454" s="163" t="str">
        <f>IFERROR(VLOOKUP(N454,TD!$B$50:$F$54,3,0)," ")</f>
        <v>4599</v>
      </c>
      <c r="W454" s="163">
        <f>IFERROR(VLOOKUP(N454,TD!$B$50:$F$54,4,0)," ")</f>
        <v>20240207</v>
      </c>
      <c r="X454" s="162" t="s">
        <v>174</v>
      </c>
      <c r="Y454" s="163" t="str">
        <f>IFERROR(VLOOKUP(X454,TD!$J$51:$K$64,2,0)," ")</f>
        <v>Infraestructura física, mantenimiento y dotación (Sedes construidas, mantenidas reforzadas)</v>
      </c>
      <c r="Z454" s="164" t="str">
        <f>CONCATENATE(X454,"-",Y454)</f>
        <v>08-Infraestructura física, mantenimiento y dotación (Sedes construidas, mantenidas reforzadas)</v>
      </c>
      <c r="AA454" s="162" t="s">
        <v>227</v>
      </c>
      <c r="AB454" s="163" t="str">
        <f>IFERROR(VLOOKUP(AA454,TD!$N$51:$O$66,2,0)," ")</f>
        <v>Sedes mantenidas</v>
      </c>
      <c r="AC454" s="164" t="str">
        <f>CONCATENATE(AA454,"_",AB454)</f>
        <v>016_Sedes mantenidas</v>
      </c>
      <c r="AD454" s="164" t="str">
        <f>CONCATENATE(Z454," ",AC454)</f>
        <v>08-Infraestructura física, mantenimiento y dotación (Sedes construidas, mantenidas reforzadas) 016_Sedes mantenidas</v>
      </c>
      <c r="AE454" s="163" t="str">
        <f>CONCATENATE(U454,V454,W454,X454,AA454)</f>
        <v>O23011745992024020708016</v>
      </c>
      <c r="AF454" s="163" t="str">
        <f>IFERROR(VLOOKUP(AD454,TD!$J$66:$K$89,2,0)," ")</f>
        <v>PM/0131/0108/45990160207</v>
      </c>
      <c r="AG454" s="118" t="s">
        <v>385</v>
      </c>
      <c r="AH454" s="162" t="s">
        <v>193</v>
      </c>
      <c r="AI454" s="165" t="str">
        <f>CONCATENATE(PAA[[#This Row],[Id Interno]],"-",PAA[[#This Row],[tipo de Contrato (TH talento humano - B/S bienes y/o servicios)]],"-",S454,"-",T454,"-",PAA[[#This Row],[Objeto de la contratación]])</f>
        <v>20260439-TH-8126-8-Prestar servicios profesionales con el fin de atender los trámites ambientales y los demás que requiera el área de Infraestructura de la Subdirección de Gestión Corporativa. SGC</v>
      </c>
    </row>
    <row r="455" spans="2:35" ht="56" x14ac:dyDescent="0.35">
      <c r="B455" s="23">
        <v>20260440</v>
      </c>
      <c r="C455" s="99" t="s">
        <v>699</v>
      </c>
      <c r="D455" s="23" t="s">
        <v>105</v>
      </c>
      <c r="E455" s="23" t="s">
        <v>363</v>
      </c>
      <c r="F455" s="159" t="s">
        <v>145</v>
      </c>
      <c r="G455" s="160" t="s">
        <v>373</v>
      </c>
      <c r="H455" s="161">
        <v>11</v>
      </c>
      <c r="I455" s="161">
        <v>0</v>
      </c>
      <c r="J455" s="127">
        <v>38060000</v>
      </c>
      <c r="K455" s="88" t="s">
        <v>398</v>
      </c>
      <c r="L455" s="159" t="s">
        <v>155</v>
      </c>
      <c r="M455" s="162" t="s">
        <v>422</v>
      </c>
      <c r="N455" s="23" t="s">
        <v>197</v>
      </c>
      <c r="O455" s="151" t="s">
        <v>945</v>
      </c>
      <c r="P455" s="159" t="s">
        <v>348</v>
      </c>
      <c r="Q455" s="53" t="s">
        <v>766</v>
      </c>
      <c r="R455" s="162" t="s">
        <v>207</v>
      </c>
      <c r="S455" s="162" t="str">
        <f>MID(PAA[[#This Row],[Meta Proyecto de Inversión]],1,4)</f>
        <v>8126</v>
      </c>
      <c r="T455" s="162" t="str">
        <f>MID(PAA[[#This Row],[Meta Proyecto de Inversión]],6,1)</f>
        <v>8</v>
      </c>
      <c r="U455" s="163" t="str">
        <f>IFERROR(VLOOKUP(N455,TD!$B$50:$F$54,2,0)," ")</f>
        <v>O230117</v>
      </c>
      <c r="V455" s="163" t="str">
        <f>IFERROR(VLOOKUP(N455,TD!$B$50:$F$54,3,0)," ")</f>
        <v>4599</v>
      </c>
      <c r="W455" s="163">
        <f>IFERROR(VLOOKUP(N455,TD!$B$50:$F$54,4,0)," ")</f>
        <v>20240207</v>
      </c>
      <c r="X455" s="162" t="s">
        <v>174</v>
      </c>
      <c r="Y455" s="163" t="str">
        <f>IFERROR(VLOOKUP(X455,TD!$J$51:$K$64,2,0)," ")</f>
        <v>Infraestructura física, mantenimiento y dotación (Sedes construidas, mantenidas reforzadas)</v>
      </c>
      <c r="Z455" s="164" t="str">
        <f>CONCATENATE(X455,"-",Y455)</f>
        <v>08-Infraestructura física, mantenimiento y dotación (Sedes construidas, mantenidas reforzadas)</v>
      </c>
      <c r="AA455" s="162" t="s">
        <v>227</v>
      </c>
      <c r="AB455" s="163" t="str">
        <f>IFERROR(VLOOKUP(AA455,TD!$N$51:$O$66,2,0)," ")</f>
        <v>Sedes mantenidas</v>
      </c>
      <c r="AC455" s="164" t="str">
        <f>CONCATENATE(AA455,"_",AB455)</f>
        <v>016_Sedes mantenidas</v>
      </c>
      <c r="AD455" s="164" t="str">
        <f>CONCATENATE(Z455," ",AC455)</f>
        <v>08-Infraestructura física, mantenimiento y dotación (Sedes construidas, mantenidas reforzadas) 016_Sedes mantenidas</v>
      </c>
      <c r="AE455" s="163" t="str">
        <f>CONCATENATE(U455,V455,W455,X455,AA455)</f>
        <v>O23011745992024020708016</v>
      </c>
      <c r="AF455" s="163" t="str">
        <f>IFERROR(VLOOKUP(AD455,TD!$J$66:$K$89,2,0)," ")</f>
        <v>PM/0131/0108/45990160207</v>
      </c>
      <c r="AG455" s="118" t="s">
        <v>385</v>
      </c>
      <c r="AH455" s="162" t="s">
        <v>193</v>
      </c>
      <c r="AI455" s="165" t="str">
        <f>CONCATENATE(PAA[[#This Row],[Id Interno]],"-",PAA[[#This Row],[tipo de Contrato (TH talento humano - B/S bienes y/o servicios)]],"-",S455,"-",T455,"-",PAA[[#This Row],[Objeto de la contratación]])</f>
        <v>20260440-TH-8126-8-Prestar los servicios como conductor del  Area de Infraestructura a fin de atender las actividades propias asociadas al mantenimiento de las sedes de UAECOB de la Subdirección de Gestión Corporativa -SGC</v>
      </c>
    </row>
    <row r="456" spans="2:35" ht="56" x14ac:dyDescent="0.35">
      <c r="B456" s="23">
        <v>20260441</v>
      </c>
      <c r="C456" s="99" t="s">
        <v>700</v>
      </c>
      <c r="D456" s="23" t="s">
        <v>105</v>
      </c>
      <c r="E456" s="23" t="s">
        <v>363</v>
      </c>
      <c r="F456" s="159" t="s">
        <v>145</v>
      </c>
      <c r="G456" s="160" t="s">
        <v>373</v>
      </c>
      <c r="H456" s="161">
        <v>10</v>
      </c>
      <c r="I456" s="161">
        <v>0</v>
      </c>
      <c r="J456" s="127">
        <v>32843000</v>
      </c>
      <c r="K456" s="88" t="s">
        <v>398</v>
      </c>
      <c r="L456" s="159" t="s">
        <v>155</v>
      </c>
      <c r="M456" s="162" t="s">
        <v>422</v>
      </c>
      <c r="N456" s="23" t="s">
        <v>197</v>
      </c>
      <c r="O456" s="151" t="s">
        <v>945</v>
      </c>
      <c r="P456" s="159" t="s">
        <v>348</v>
      </c>
      <c r="Q456" s="53" t="s">
        <v>766</v>
      </c>
      <c r="R456" s="162" t="s">
        <v>207</v>
      </c>
      <c r="S456" s="162" t="str">
        <f>MID(PAA[[#This Row],[Meta Proyecto de Inversión]],1,4)</f>
        <v>8126</v>
      </c>
      <c r="T456" s="162" t="str">
        <f>MID(PAA[[#This Row],[Meta Proyecto de Inversión]],6,1)</f>
        <v>8</v>
      </c>
      <c r="U456" s="163" t="str">
        <f>IFERROR(VLOOKUP(N456,TD!$B$50:$F$54,2,0)," ")</f>
        <v>O230117</v>
      </c>
      <c r="V456" s="163" t="str">
        <f>IFERROR(VLOOKUP(N456,TD!$B$50:$F$54,3,0)," ")</f>
        <v>4599</v>
      </c>
      <c r="W456" s="163">
        <f>IFERROR(VLOOKUP(N456,TD!$B$50:$F$54,4,0)," ")</f>
        <v>20240207</v>
      </c>
      <c r="X456" s="162" t="s">
        <v>174</v>
      </c>
      <c r="Y456" s="163" t="str">
        <f>IFERROR(VLOOKUP(X456,TD!$J$51:$K$64,2,0)," ")</f>
        <v>Infraestructura física, mantenimiento y dotación (Sedes construidas, mantenidas reforzadas)</v>
      </c>
      <c r="Z456" s="164" t="str">
        <f>CONCATENATE(X456,"-",Y456)</f>
        <v>08-Infraestructura física, mantenimiento y dotación (Sedes construidas, mantenidas reforzadas)</v>
      </c>
      <c r="AA456" s="162" t="s">
        <v>227</v>
      </c>
      <c r="AB456" s="163" t="str">
        <f>IFERROR(VLOOKUP(AA456,TD!$N$51:$O$66,2,0)," ")</f>
        <v>Sedes mantenidas</v>
      </c>
      <c r="AC456" s="164" t="str">
        <f>CONCATENATE(AA456,"_",AB456)</f>
        <v>016_Sedes mantenidas</v>
      </c>
      <c r="AD456" s="164" t="str">
        <f>CONCATENATE(Z456," ",AC456)</f>
        <v>08-Infraestructura física, mantenimiento y dotación (Sedes construidas, mantenidas reforzadas) 016_Sedes mantenidas</v>
      </c>
      <c r="AE456" s="163" t="str">
        <f>CONCATENATE(U456,V456,W456,X456,AA456)</f>
        <v>O23011745992024020708016</v>
      </c>
      <c r="AF456" s="163" t="str">
        <f>IFERROR(VLOOKUP(AD456,TD!$J$66:$K$89,2,0)," ")</f>
        <v>PM/0131/0108/45990160207</v>
      </c>
      <c r="AG456" s="118" t="s">
        <v>385</v>
      </c>
      <c r="AH456" s="162" t="s">
        <v>193</v>
      </c>
      <c r="AI456" s="165" t="str">
        <f>CONCATENATE(PAA[[#This Row],[Id Interno]],"-",PAA[[#This Row],[tipo de Contrato (TH talento humano - B/S bienes y/o servicios)]],"-",S456,"-",T456,"-",PAA[[#This Row],[Objeto de la contratación]])</f>
        <v>20260441-TH-8126-8-Prestación de servicios de apoyo a la gestión, en la Subdirección de Gestión Corporativa en temas de infraestructura para el sostenimiento y mejoramiento de los equipamientos de la Unidad Administrativa Especial Cuerpo Oficial de Bomberos de Bogotá-SGC</v>
      </c>
    </row>
    <row r="457" spans="2:35" ht="56" x14ac:dyDescent="0.35">
      <c r="B457" s="23">
        <v>20260442</v>
      </c>
      <c r="C457" s="99" t="s">
        <v>700</v>
      </c>
      <c r="D457" s="23" t="s">
        <v>105</v>
      </c>
      <c r="E457" s="23" t="s">
        <v>363</v>
      </c>
      <c r="F457" s="159" t="s">
        <v>145</v>
      </c>
      <c r="G457" s="160" t="s">
        <v>373</v>
      </c>
      <c r="H457" s="161">
        <v>10</v>
      </c>
      <c r="I457" s="161">
        <v>0</v>
      </c>
      <c r="J457" s="127">
        <v>32843000</v>
      </c>
      <c r="K457" s="88" t="s">
        <v>398</v>
      </c>
      <c r="L457" s="159" t="s">
        <v>155</v>
      </c>
      <c r="M457" s="162" t="s">
        <v>422</v>
      </c>
      <c r="N457" s="23" t="s">
        <v>197</v>
      </c>
      <c r="O457" s="151" t="s">
        <v>945</v>
      </c>
      <c r="P457" s="159" t="s">
        <v>348</v>
      </c>
      <c r="Q457" s="53" t="s">
        <v>766</v>
      </c>
      <c r="R457" s="162" t="s">
        <v>207</v>
      </c>
      <c r="S457" s="162" t="str">
        <f>MID(PAA[[#This Row],[Meta Proyecto de Inversión]],1,4)</f>
        <v>8126</v>
      </c>
      <c r="T457" s="162" t="str">
        <f>MID(PAA[[#This Row],[Meta Proyecto de Inversión]],6,1)</f>
        <v>8</v>
      </c>
      <c r="U457" s="163" t="str">
        <f>IFERROR(VLOOKUP(N457,TD!$B$50:$F$54,2,0)," ")</f>
        <v>O230117</v>
      </c>
      <c r="V457" s="163" t="str">
        <f>IFERROR(VLOOKUP(N457,TD!$B$50:$F$54,3,0)," ")</f>
        <v>4599</v>
      </c>
      <c r="W457" s="163">
        <f>IFERROR(VLOOKUP(N457,TD!$B$50:$F$54,4,0)," ")</f>
        <v>20240207</v>
      </c>
      <c r="X457" s="162" t="s">
        <v>174</v>
      </c>
      <c r="Y457" s="163" t="str">
        <f>IFERROR(VLOOKUP(X457,TD!$J$51:$K$64,2,0)," ")</f>
        <v>Infraestructura física, mantenimiento y dotación (Sedes construidas, mantenidas reforzadas)</v>
      </c>
      <c r="Z457" s="164" t="str">
        <f>CONCATENATE(X457,"-",Y457)</f>
        <v>08-Infraestructura física, mantenimiento y dotación (Sedes construidas, mantenidas reforzadas)</v>
      </c>
      <c r="AA457" s="162" t="s">
        <v>227</v>
      </c>
      <c r="AB457" s="163" t="str">
        <f>IFERROR(VLOOKUP(AA457,TD!$N$51:$O$66,2,0)," ")</f>
        <v>Sedes mantenidas</v>
      </c>
      <c r="AC457" s="164" t="str">
        <f>CONCATENATE(AA457,"_",AB457)</f>
        <v>016_Sedes mantenidas</v>
      </c>
      <c r="AD457" s="164" t="str">
        <f>CONCATENATE(Z457," ",AC457)</f>
        <v>08-Infraestructura física, mantenimiento y dotación (Sedes construidas, mantenidas reforzadas) 016_Sedes mantenidas</v>
      </c>
      <c r="AE457" s="163" t="str">
        <f>CONCATENATE(U457,V457,W457,X457,AA457)</f>
        <v>O23011745992024020708016</v>
      </c>
      <c r="AF457" s="163" t="str">
        <f>IFERROR(VLOOKUP(AD457,TD!$J$66:$K$89,2,0)," ")</f>
        <v>PM/0131/0108/45990160207</v>
      </c>
      <c r="AG457" s="118" t="s">
        <v>385</v>
      </c>
      <c r="AH457" s="162" t="s">
        <v>193</v>
      </c>
      <c r="AI457" s="165" t="str">
        <f>CONCATENATE(PAA[[#This Row],[Id Interno]],"-",PAA[[#This Row],[tipo de Contrato (TH talento humano - B/S bienes y/o servicios)]],"-",S457,"-",T457,"-",PAA[[#This Row],[Objeto de la contratación]])</f>
        <v>20260442-TH-8126-8-Prestación de servicios de apoyo a la gestión, en la Subdirección de Gestión Corporativa en temas de infraestructura para el sostenimiento y mejoramiento de los equipamientos de la Unidad Administrativa Especial Cuerpo Oficial de Bomberos de Bogotá-SGC</v>
      </c>
    </row>
    <row r="458" spans="2:35" ht="70" x14ac:dyDescent="0.35">
      <c r="B458" s="23">
        <v>20260443</v>
      </c>
      <c r="C458" s="99" t="s">
        <v>700</v>
      </c>
      <c r="D458" s="23" t="s">
        <v>105</v>
      </c>
      <c r="E458" s="23" t="s">
        <v>363</v>
      </c>
      <c r="F458" s="159" t="s">
        <v>145</v>
      </c>
      <c r="G458" s="160" t="s">
        <v>373</v>
      </c>
      <c r="H458" s="161">
        <v>10</v>
      </c>
      <c r="I458" s="161">
        <v>0</v>
      </c>
      <c r="J458" s="127">
        <v>32843000</v>
      </c>
      <c r="K458" s="88" t="s">
        <v>398</v>
      </c>
      <c r="L458" s="159" t="s">
        <v>155</v>
      </c>
      <c r="M458" s="162" t="s">
        <v>422</v>
      </c>
      <c r="N458" s="23" t="s">
        <v>197</v>
      </c>
      <c r="O458" s="151" t="s">
        <v>945</v>
      </c>
      <c r="P458" s="159" t="s">
        <v>348</v>
      </c>
      <c r="Q458" s="53" t="s">
        <v>766</v>
      </c>
      <c r="R458" s="162" t="s">
        <v>207</v>
      </c>
      <c r="S458" s="162" t="str">
        <f>MID(PAA[[#This Row],[Meta Proyecto de Inversión]],1,4)</f>
        <v>8126</v>
      </c>
      <c r="T458" s="162" t="str">
        <f>MID(PAA[[#This Row],[Meta Proyecto de Inversión]],6,1)</f>
        <v>8</v>
      </c>
      <c r="U458" s="163" t="str">
        <f>IFERROR(VLOOKUP(N458,TD!$B$50:$F$54,2,0)," ")</f>
        <v>O230117</v>
      </c>
      <c r="V458" s="163" t="str">
        <f>IFERROR(VLOOKUP(N458,TD!$B$50:$F$54,3,0)," ")</f>
        <v>4599</v>
      </c>
      <c r="W458" s="163">
        <f>IFERROR(VLOOKUP(N458,TD!$B$50:$F$54,4,0)," ")</f>
        <v>20240207</v>
      </c>
      <c r="X458" s="162" t="s">
        <v>174</v>
      </c>
      <c r="Y458" s="163" t="str">
        <f>IFERROR(VLOOKUP(X458,TD!$J$51:$K$64,2,0)," ")</f>
        <v>Infraestructura física, mantenimiento y dotación (Sedes construidas, mantenidas reforzadas)</v>
      </c>
      <c r="Z458" s="164" t="str">
        <f>CONCATENATE(X458,"-",Y458)</f>
        <v>08-Infraestructura física, mantenimiento y dotación (Sedes construidas, mantenidas reforzadas)</v>
      </c>
      <c r="AA458" s="162" t="s">
        <v>227</v>
      </c>
      <c r="AB458" s="163" t="str">
        <f>IFERROR(VLOOKUP(AA458,TD!$N$51:$O$66,2,0)," ")</f>
        <v>Sedes mantenidas</v>
      </c>
      <c r="AC458" s="164" t="str">
        <f>CONCATENATE(AA458,"_",AB458)</f>
        <v>016_Sedes mantenidas</v>
      </c>
      <c r="AD458" s="164" t="str">
        <f>CONCATENATE(Z458," ",AC458)</f>
        <v>08-Infraestructura física, mantenimiento y dotación (Sedes construidas, mantenidas reforzadas) 016_Sedes mantenidas</v>
      </c>
      <c r="AE458" s="163" t="str">
        <f>CONCATENATE(U458,V458,W458,X458,AA458)</f>
        <v>O23011745992024020708016</v>
      </c>
      <c r="AF458" s="163" t="str">
        <f>IFERROR(VLOOKUP(AD458,TD!$J$66:$K$89,2,0)," ")</f>
        <v>PM/0131/0108/45990160207</v>
      </c>
      <c r="AG458" s="118" t="s">
        <v>385</v>
      </c>
      <c r="AH458" s="162" t="s">
        <v>193</v>
      </c>
      <c r="AI458" s="165" t="str">
        <f>CONCATENATE(PAA[[#This Row],[Id Interno]],"-",PAA[[#This Row],[tipo de Contrato (TH talento humano - B/S bienes y/o servicios)]],"-",S458,"-",T458,"-",PAA[[#This Row],[Objeto de la contratación]])</f>
        <v>20260443-TH-8126-8-Prestación de servicios de apoyo a la gestión, en la Subdirección de Gestión Corporativa en temas de infraestructura para el sostenimiento y mejoramiento de los equipamientos de la Unidad Administrativa Especial Cuerpo Oficial de Bomberos de Bogotá-SGC</v>
      </c>
    </row>
    <row r="459" spans="2:35" ht="70" x14ac:dyDescent="0.35">
      <c r="B459" s="23">
        <v>20260444</v>
      </c>
      <c r="C459" s="99" t="s">
        <v>700</v>
      </c>
      <c r="D459" s="23" t="s">
        <v>105</v>
      </c>
      <c r="E459" s="23" t="s">
        <v>363</v>
      </c>
      <c r="F459" s="159" t="s">
        <v>145</v>
      </c>
      <c r="G459" s="160" t="s">
        <v>373</v>
      </c>
      <c r="H459" s="161">
        <v>11</v>
      </c>
      <c r="I459" s="161">
        <v>0</v>
      </c>
      <c r="J459" s="127">
        <v>36128000</v>
      </c>
      <c r="K459" s="88" t="s">
        <v>398</v>
      </c>
      <c r="L459" s="159" t="s">
        <v>155</v>
      </c>
      <c r="M459" s="162" t="s">
        <v>422</v>
      </c>
      <c r="N459" s="23" t="s">
        <v>197</v>
      </c>
      <c r="O459" s="151" t="s">
        <v>945</v>
      </c>
      <c r="P459" s="159" t="s">
        <v>348</v>
      </c>
      <c r="Q459" s="53" t="s">
        <v>766</v>
      </c>
      <c r="R459" s="162" t="s">
        <v>207</v>
      </c>
      <c r="S459" s="162" t="str">
        <f>MID(PAA[[#This Row],[Meta Proyecto de Inversión]],1,4)</f>
        <v>8126</v>
      </c>
      <c r="T459" s="162" t="str">
        <f>MID(PAA[[#This Row],[Meta Proyecto de Inversión]],6,1)</f>
        <v>8</v>
      </c>
      <c r="U459" s="163" t="str">
        <f>IFERROR(VLOOKUP(N459,TD!$B$50:$F$54,2,0)," ")</f>
        <v>O230117</v>
      </c>
      <c r="V459" s="163" t="str">
        <f>IFERROR(VLOOKUP(N459,TD!$B$50:$F$54,3,0)," ")</f>
        <v>4599</v>
      </c>
      <c r="W459" s="163">
        <f>IFERROR(VLOOKUP(N459,TD!$B$50:$F$54,4,0)," ")</f>
        <v>20240207</v>
      </c>
      <c r="X459" s="162" t="s">
        <v>174</v>
      </c>
      <c r="Y459" s="163" t="str">
        <f>IFERROR(VLOOKUP(X459,TD!$J$51:$K$64,2,0)," ")</f>
        <v>Infraestructura física, mantenimiento y dotación (Sedes construidas, mantenidas reforzadas)</v>
      </c>
      <c r="Z459" s="164" t="str">
        <f>CONCATENATE(X459,"-",Y459)</f>
        <v>08-Infraestructura física, mantenimiento y dotación (Sedes construidas, mantenidas reforzadas)</v>
      </c>
      <c r="AA459" s="162" t="s">
        <v>227</v>
      </c>
      <c r="AB459" s="163" t="str">
        <f>IFERROR(VLOOKUP(AA459,TD!$N$51:$O$66,2,0)," ")</f>
        <v>Sedes mantenidas</v>
      </c>
      <c r="AC459" s="164" t="str">
        <f>CONCATENATE(AA459,"_",AB459)</f>
        <v>016_Sedes mantenidas</v>
      </c>
      <c r="AD459" s="164" t="str">
        <f>CONCATENATE(Z459," ",AC459)</f>
        <v>08-Infraestructura física, mantenimiento y dotación (Sedes construidas, mantenidas reforzadas) 016_Sedes mantenidas</v>
      </c>
      <c r="AE459" s="163" t="str">
        <f>CONCATENATE(U459,V459,W459,X459,AA459)</f>
        <v>O23011745992024020708016</v>
      </c>
      <c r="AF459" s="163" t="str">
        <f>IFERROR(VLOOKUP(AD459,TD!$J$66:$K$89,2,0)," ")</f>
        <v>PM/0131/0108/45990160207</v>
      </c>
      <c r="AG459" s="118" t="s">
        <v>385</v>
      </c>
      <c r="AH459" s="162" t="s">
        <v>193</v>
      </c>
      <c r="AI459" s="165" t="str">
        <f>CONCATENATE(PAA[[#This Row],[Id Interno]],"-",PAA[[#This Row],[tipo de Contrato (TH talento humano - B/S bienes y/o servicios)]],"-",S459,"-",T459,"-",PAA[[#This Row],[Objeto de la contratación]])</f>
        <v>20260444-TH-8126-8-Prestación de servicios de apoyo a la gestión, en la Subdirección de Gestión Corporativa en temas de infraestructura para el sostenimiento y mejoramiento de los equipamientos de la Unidad Administrativa Especial Cuerpo Oficial de Bomberos de Bogotá-SGC</v>
      </c>
    </row>
    <row r="460" spans="2:35" ht="56" x14ac:dyDescent="0.35">
      <c r="B460" s="23">
        <v>20260445</v>
      </c>
      <c r="C460" s="99" t="s">
        <v>701</v>
      </c>
      <c r="D460" s="23" t="s">
        <v>105</v>
      </c>
      <c r="E460" s="23" t="s">
        <v>363</v>
      </c>
      <c r="F460" s="159" t="s">
        <v>144</v>
      </c>
      <c r="G460" s="160" t="s">
        <v>373</v>
      </c>
      <c r="H460" s="161">
        <v>11</v>
      </c>
      <c r="I460" s="161">
        <v>0</v>
      </c>
      <c r="J460" s="127">
        <v>66357000</v>
      </c>
      <c r="K460" s="88" t="s">
        <v>398</v>
      </c>
      <c r="L460" s="159" t="s">
        <v>155</v>
      </c>
      <c r="M460" s="162" t="s">
        <v>422</v>
      </c>
      <c r="N460" s="23" t="s">
        <v>197</v>
      </c>
      <c r="O460" s="151" t="s">
        <v>945</v>
      </c>
      <c r="P460" s="159" t="s">
        <v>348</v>
      </c>
      <c r="Q460" s="53" t="s">
        <v>766</v>
      </c>
      <c r="R460" s="162" t="s">
        <v>208</v>
      </c>
      <c r="S460" s="162" t="str">
        <f>MID(PAA[[#This Row],[Meta Proyecto de Inversión]],1,4)</f>
        <v>8126</v>
      </c>
      <c r="T460" s="162" t="str">
        <f>MID(PAA[[#This Row],[Meta Proyecto de Inversión]],6,1)</f>
        <v>9</v>
      </c>
      <c r="U460" s="163" t="str">
        <f>IFERROR(VLOOKUP(N460,TD!$B$50:$F$54,2,0)," ")</f>
        <v>O230117</v>
      </c>
      <c r="V460" s="163" t="str">
        <f>IFERROR(VLOOKUP(N460,TD!$B$50:$F$54,3,0)," ")</f>
        <v>4599</v>
      </c>
      <c r="W460" s="163">
        <f>IFERROR(VLOOKUP(N460,TD!$B$50:$F$54,4,0)," ")</f>
        <v>20240207</v>
      </c>
      <c r="X460" s="162" t="s">
        <v>174</v>
      </c>
      <c r="Y460" s="163" t="str">
        <f>IFERROR(VLOOKUP(X460,TD!$J$51:$K$64,2,0)," ")</f>
        <v>Infraestructura física, mantenimiento y dotación (Sedes construidas, mantenidas reforzadas)</v>
      </c>
      <c r="Z460" s="164" t="str">
        <f>CONCATENATE(X460,"-",Y460)</f>
        <v>08-Infraestructura física, mantenimiento y dotación (Sedes construidas, mantenidas reforzadas)</v>
      </c>
      <c r="AA460" s="162" t="s">
        <v>227</v>
      </c>
      <c r="AB460" s="163" t="str">
        <f>IFERROR(VLOOKUP(AA460,TD!$N$51:$O$66,2,0)," ")</f>
        <v>Sedes mantenidas</v>
      </c>
      <c r="AC460" s="164" t="str">
        <f>CONCATENATE(AA460,"_",AB460)</f>
        <v>016_Sedes mantenidas</v>
      </c>
      <c r="AD460" s="164" t="str">
        <f>CONCATENATE(Z460," ",AC460)</f>
        <v>08-Infraestructura física, mantenimiento y dotación (Sedes construidas, mantenidas reforzadas) 016_Sedes mantenidas</v>
      </c>
      <c r="AE460" s="163" t="str">
        <f>CONCATENATE(U460,V460,W460,X460,AA460)</f>
        <v>O23011745992024020708016</v>
      </c>
      <c r="AF460" s="163" t="str">
        <f>IFERROR(VLOOKUP(AD460,TD!$J$66:$K$89,2,0)," ")</f>
        <v>PM/0131/0108/45990160207</v>
      </c>
      <c r="AG460" s="118" t="s">
        <v>385</v>
      </c>
      <c r="AH460" s="162" t="s">
        <v>193</v>
      </c>
      <c r="AI460" s="165" t="str">
        <f>CONCATENATE(PAA[[#This Row],[Id Interno]],"-",PAA[[#This Row],[tipo de Contrato (TH talento humano - B/S bienes y/o servicios)]],"-",S460,"-",T460,"-",PAA[[#This Row],[Objeto de la contratación]])</f>
        <v>20260445-TH-8126-9-Prestación de servicios profesionales al área Financiera de la Subdirección de Gestión Corporativa--SGC</v>
      </c>
    </row>
    <row r="461" spans="2:35" ht="70" x14ac:dyDescent="0.35">
      <c r="B461" s="23">
        <v>20260446</v>
      </c>
      <c r="C461" s="99" t="s">
        <v>701</v>
      </c>
      <c r="D461" s="23" t="s">
        <v>105</v>
      </c>
      <c r="E461" s="23" t="s">
        <v>363</v>
      </c>
      <c r="F461" s="159" t="s">
        <v>144</v>
      </c>
      <c r="G461" s="160" t="s">
        <v>373</v>
      </c>
      <c r="H461" s="161">
        <v>11</v>
      </c>
      <c r="I461" s="161">
        <v>0</v>
      </c>
      <c r="J461" s="127">
        <v>66357000</v>
      </c>
      <c r="K461" s="88" t="s">
        <v>398</v>
      </c>
      <c r="L461" s="159" t="s">
        <v>155</v>
      </c>
      <c r="M461" s="162" t="s">
        <v>422</v>
      </c>
      <c r="N461" s="23" t="s">
        <v>197</v>
      </c>
      <c r="O461" s="151" t="s">
        <v>945</v>
      </c>
      <c r="P461" s="159" t="s">
        <v>348</v>
      </c>
      <c r="Q461" s="53" t="s">
        <v>766</v>
      </c>
      <c r="R461" s="162" t="s">
        <v>208</v>
      </c>
      <c r="S461" s="162" t="str">
        <f>MID(PAA[[#This Row],[Meta Proyecto de Inversión]],1,4)</f>
        <v>8126</v>
      </c>
      <c r="T461" s="162" t="str">
        <f>MID(PAA[[#This Row],[Meta Proyecto de Inversión]],6,1)</f>
        <v>9</v>
      </c>
      <c r="U461" s="163" t="str">
        <f>IFERROR(VLOOKUP(N461,TD!$B$50:$F$54,2,0)," ")</f>
        <v>O230117</v>
      </c>
      <c r="V461" s="163" t="str">
        <f>IFERROR(VLOOKUP(N461,TD!$B$50:$F$54,3,0)," ")</f>
        <v>4599</v>
      </c>
      <c r="W461" s="163">
        <f>IFERROR(VLOOKUP(N461,TD!$B$50:$F$54,4,0)," ")</f>
        <v>20240207</v>
      </c>
      <c r="X461" s="162" t="s">
        <v>174</v>
      </c>
      <c r="Y461" s="163" t="str">
        <f>IFERROR(VLOOKUP(X461,TD!$J$51:$K$64,2,0)," ")</f>
        <v>Infraestructura física, mantenimiento y dotación (Sedes construidas, mantenidas reforzadas)</v>
      </c>
      <c r="Z461" s="164" t="str">
        <f>CONCATENATE(X461,"-",Y461)</f>
        <v>08-Infraestructura física, mantenimiento y dotación (Sedes construidas, mantenidas reforzadas)</v>
      </c>
      <c r="AA461" s="162" t="s">
        <v>227</v>
      </c>
      <c r="AB461" s="163" t="str">
        <f>IFERROR(VLOOKUP(AA461,TD!$N$51:$O$66,2,0)," ")</f>
        <v>Sedes mantenidas</v>
      </c>
      <c r="AC461" s="164" t="str">
        <f>CONCATENATE(AA461,"_",AB461)</f>
        <v>016_Sedes mantenidas</v>
      </c>
      <c r="AD461" s="164" t="str">
        <f>CONCATENATE(Z461," ",AC461)</f>
        <v>08-Infraestructura física, mantenimiento y dotación (Sedes construidas, mantenidas reforzadas) 016_Sedes mantenidas</v>
      </c>
      <c r="AE461" s="163" t="str">
        <f>CONCATENATE(U461,V461,W461,X461,AA461)</f>
        <v>O23011745992024020708016</v>
      </c>
      <c r="AF461" s="163" t="str">
        <f>IFERROR(VLOOKUP(AD461,TD!$J$66:$K$89,2,0)," ")</f>
        <v>PM/0131/0108/45990160207</v>
      </c>
      <c r="AG461" s="118" t="s">
        <v>385</v>
      </c>
      <c r="AH461" s="162" t="s">
        <v>193</v>
      </c>
      <c r="AI461" s="165" t="str">
        <f>CONCATENATE(PAA[[#This Row],[Id Interno]],"-",PAA[[#This Row],[tipo de Contrato (TH talento humano - B/S bienes y/o servicios)]],"-",S461,"-",T461,"-",PAA[[#This Row],[Objeto de la contratación]])</f>
        <v>20260446-TH-8126-9-Prestación de servicios profesionales al área Financiera de la Subdirección de Gestión Corporativa--SGC</v>
      </c>
    </row>
    <row r="462" spans="2:35" ht="70" x14ac:dyDescent="0.35">
      <c r="B462" s="23">
        <v>20260447</v>
      </c>
      <c r="C462" s="99" t="s">
        <v>702</v>
      </c>
      <c r="D462" s="23" t="s">
        <v>105</v>
      </c>
      <c r="E462" s="23" t="s">
        <v>363</v>
      </c>
      <c r="F462" s="159" t="s">
        <v>145</v>
      </c>
      <c r="G462" s="160" t="s">
        <v>373</v>
      </c>
      <c r="H462" s="161">
        <v>11</v>
      </c>
      <c r="I462" s="161">
        <v>0</v>
      </c>
      <c r="J462" s="127">
        <v>49399000</v>
      </c>
      <c r="K462" s="88" t="s">
        <v>398</v>
      </c>
      <c r="L462" s="159" t="s">
        <v>155</v>
      </c>
      <c r="M462" s="162" t="s">
        <v>422</v>
      </c>
      <c r="N462" s="23" t="s">
        <v>197</v>
      </c>
      <c r="O462" s="151" t="s">
        <v>945</v>
      </c>
      <c r="P462" s="159" t="s">
        <v>348</v>
      </c>
      <c r="Q462" s="53" t="s">
        <v>766</v>
      </c>
      <c r="R462" s="162" t="s">
        <v>208</v>
      </c>
      <c r="S462" s="162" t="str">
        <f>MID(PAA[[#This Row],[Meta Proyecto de Inversión]],1,4)</f>
        <v>8126</v>
      </c>
      <c r="T462" s="162" t="str">
        <f>MID(PAA[[#This Row],[Meta Proyecto de Inversión]],6,1)</f>
        <v>9</v>
      </c>
      <c r="U462" s="163" t="str">
        <f>IFERROR(VLOOKUP(N462,TD!$B$50:$F$54,2,0)," ")</f>
        <v>O230117</v>
      </c>
      <c r="V462" s="163" t="str">
        <f>IFERROR(VLOOKUP(N462,TD!$B$50:$F$54,3,0)," ")</f>
        <v>4599</v>
      </c>
      <c r="W462" s="163">
        <f>IFERROR(VLOOKUP(N462,TD!$B$50:$F$54,4,0)," ")</f>
        <v>20240207</v>
      </c>
      <c r="X462" s="162" t="s">
        <v>174</v>
      </c>
      <c r="Y462" s="163" t="str">
        <f>IFERROR(VLOOKUP(X462,TD!$J$51:$K$64,2,0)," ")</f>
        <v>Infraestructura física, mantenimiento y dotación (Sedes construidas, mantenidas reforzadas)</v>
      </c>
      <c r="Z462" s="164" t="str">
        <f>CONCATENATE(X462,"-",Y462)</f>
        <v>08-Infraestructura física, mantenimiento y dotación (Sedes construidas, mantenidas reforzadas)</v>
      </c>
      <c r="AA462" s="162" t="s">
        <v>227</v>
      </c>
      <c r="AB462" s="163" t="str">
        <f>IFERROR(VLOOKUP(AA462,TD!$N$51:$O$66,2,0)," ")</f>
        <v>Sedes mantenidas</v>
      </c>
      <c r="AC462" s="164" t="str">
        <f>CONCATENATE(AA462,"_",AB462)</f>
        <v>016_Sedes mantenidas</v>
      </c>
      <c r="AD462" s="164" t="str">
        <f>CONCATENATE(Z462," ",AC462)</f>
        <v>08-Infraestructura física, mantenimiento y dotación (Sedes construidas, mantenidas reforzadas) 016_Sedes mantenidas</v>
      </c>
      <c r="AE462" s="163" t="str">
        <f>CONCATENATE(U462,V462,W462,X462,AA462)</f>
        <v>O23011745992024020708016</v>
      </c>
      <c r="AF462" s="163" t="str">
        <f>IFERROR(VLOOKUP(AD462,TD!$J$66:$K$89,2,0)," ")</f>
        <v>PM/0131/0108/45990160207</v>
      </c>
      <c r="AG462" s="118" t="s">
        <v>385</v>
      </c>
      <c r="AH462" s="162" t="s">
        <v>193</v>
      </c>
      <c r="AI462" s="165" t="str">
        <f>CONCATENATE(PAA[[#This Row],[Id Interno]],"-",PAA[[#This Row],[tipo de Contrato (TH talento humano - B/S bienes y/o servicios)]],"-",S462,"-",T462,"-",PAA[[#This Row],[Objeto de la contratación]])</f>
        <v>20260447-TH-8126-9-Prestación de servicios de apoyo a la gestión del área Financiera de la Subdirección de Gestión Corporativa.-SGC</v>
      </c>
    </row>
    <row r="463" spans="2:35" ht="84" x14ac:dyDescent="0.35">
      <c r="B463" s="23">
        <v>20260448</v>
      </c>
      <c r="C463" s="99" t="s">
        <v>703</v>
      </c>
      <c r="D463" s="23" t="s">
        <v>105</v>
      </c>
      <c r="E463" s="23" t="s">
        <v>363</v>
      </c>
      <c r="F463" s="159" t="s">
        <v>144</v>
      </c>
      <c r="G463" s="160" t="s">
        <v>373</v>
      </c>
      <c r="H463" s="161">
        <v>11</v>
      </c>
      <c r="I463" s="161">
        <v>0</v>
      </c>
      <c r="J463" s="127">
        <v>66357000</v>
      </c>
      <c r="K463" s="88" t="s">
        <v>398</v>
      </c>
      <c r="L463" s="159" t="s">
        <v>155</v>
      </c>
      <c r="M463" s="162" t="s">
        <v>422</v>
      </c>
      <c r="N463" s="23" t="s">
        <v>197</v>
      </c>
      <c r="O463" s="151" t="s">
        <v>945</v>
      </c>
      <c r="P463" s="159" t="s">
        <v>348</v>
      </c>
      <c r="Q463" s="53" t="s">
        <v>766</v>
      </c>
      <c r="R463" s="162" t="s">
        <v>208</v>
      </c>
      <c r="S463" s="162" t="str">
        <f>MID(PAA[[#This Row],[Meta Proyecto de Inversión]],1,4)</f>
        <v>8126</v>
      </c>
      <c r="T463" s="162" t="str">
        <f>MID(PAA[[#This Row],[Meta Proyecto de Inversión]],6,1)</f>
        <v>9</v>
      </c>
      <c r="U463" s="163" t="str">
        <f>IFERROR(VLOOKUP(N463,TD!$B$50:$F$54,2,0)," ")</f>
        <v>O230117</v>
      </c>
      <c r="V463" s="163" t="str">
        <f>IFERROR(VLOOKUP(N463,TD!$B$50:$F$54,3,0)," ")</f>
        <v>4599</v>
      </c>
      <c r="W463" s="163">
        <f>IFERROR(VLOOKUP(N463,TD!$B$50:$F$54,4,0)," ")</f>
        <v>20240207</v>
      </c>
      <c r="X463" s="162" t="s">
        <v>174</v>
      </c>
      <c r="Y463" s="163" t="str">
        <f>IFERROR(VLOOKUP(X463,TD!$J$51:$K$64,2,0)," ")</f>
        <v>Infraestructura física, mantenimiento y dotación (Sedes construidas, mantenidas reforzadas)</v>
      </c>
      <c r="Z463" s="164" t="str">
        <f>CONCATENATE(X463,"-",Y463)</f>
        <v>08-Infraestructura física, mantenimiento y dotación (Sedes construidas, mantenidas reforzadas)</v>
      </c>
      <c r="AA463" s="162" t="s">
        <v>227</v>
      </c>
      <c r="AB463" s="163" t="str">
        <f>IFERROR(VLOOKUP(AA463,TD!$N$51:$O$66,2,0)," ")</f>
        <v>Sedes mantenidas</v>
      </c>
      <c r="AC463" s="164" t="str">
        <f>CONCATENATE(AA463,"_",AB463)</f>
        <v>016_Sedes mantenidas</v>
      </c>
      <c r="AD463" s="164" t="str">
        <f>CONCATENATE(Z463," ",AC463)</f>
        <v>08-Infraestructura física, mantenimiento y dotación (Sedes construidas, mantenidas reforzadas) 016_Sedes mantenidas</v>
      </c>
      <c r="AE463" s="163" t="str">
        <f>CONCATENATE(U463,V463,W463,X463,AA463)</f>
        <v>O23011745992024020708016</v>
      </c>
      <c r="AF463" s="163" t="str">
        <f>IFERROR(VLOOKUP(AD463,TD!$J$66:$K$89,2,0)," ")</f>
        <v>PM/0131/0108/45990160207</v>
      </c>
      <c r="AG463" s="118" t="s">
        <v>385</v>
      </c>
      <c r="AH463" s="162" t="s">
        <v>193</v>
      </c>
      <c r="AI463" s="165" t="str">
        <f>CONCATENATE(PAA[[#This Row],[Id Interno]],"-",PAA[[#This Row],[tipo de Contrato (TH talento humano - B/S bienes y/o servicios)]],"-",S463,"-",T463,"-",PAA[[#This Row],[Objeto de la contratación]])</f>
        <v>20260448-TH-8126-9-Prestación de servicios profesionales para el seguimiento, ejecución de los procesos de gestión de pagos que se desarrollan en el área Financiera de la UAE Cuerpo Oficial de Bomberos asignados. -SGC</v>
      </c>
    </row>
    <row r="464" spans="2:35" ht="56" x14ac:dyDescent="0.35">
      <c r="B464" s="23">
        <v>20260449</v>
      </c>
      <c r="C464" s="99" t="s">
        <v>704</v>
      </c>
      <c r="D464" s="23" t="s">
        <v>105</v>
      </c>
      <c r="E464" s="23" t="s">
        <v>363</v>
      </c>
      <c r="F464" s="159" t="s">
        <v>144</v>
      </c>
      <c r="G464" s="160" t="s">
        <v>373</v>
      </c>
      <c r="H464" s="161">
        <v>11</v>
      </c>
      <c r="I464" s="161">
        <v>0</v>
      </c>
      <c r="J464" s="127">
        <v>102034000</v>
      </c>
      <c r="K464" s="88" t="s">
        <v>398</v>
      </c>
      <c r="L464" s="159" t="s">
        <v>155</v>
      </c>
      <c r="M464" s="162" t="s">
        <v>422</v>
      </c>
      <c r="N464" s="23" t="s">
        <v>197</v>
      </c>
      <c r="O464" s="151" t="s">
        <v>945</v>
      </c>
      <c r="P464" s="159" t="s">
        <v>348</v>
      </c>
      <c r="Q464" s="53" t="s">
        <v>766</v>
      </c>
      <c r="R464" s="162" t="s">
        <v>207</v>
      </c>
      <c r="S464" s="162" t="str">
        <f>MID(PAA[[#This Row],[Meta Proyecto de Inversión]],1,4)</f>
        <v>8126</v>
      </c>
      <c r="T464" s="162" t="str">
        <f>MID(PAA[[#This Row],[Meta Proyecto de Inversión]],6,1)</f>
        <v>8</v>
      </c>
      <c r="U464" s="163" t="str">
        <f>IFERROR(VLOOKUP(N464,TD!$B$50:$F$54,2,0)," ")</f>
        <v>O230117</v>
      </c>
      <c r="V464" s="163" t="str">
        <f>IFERROR(VLOOKUP(N464,TD!$B$50:$F$54,3,0)," ")</f>
        <v>4599</v>
      </c>
      <c r="W464" s="163">
        <f>IFERROR(VLOOKUP(N464,TD!$B$50:$F$54,4,0)," ")</f>
        <v>20240207</v>
      </c>
      <c r="X464" s="162" t="s">
        <v>174</v>
      </c>
      <c r="Y464" s="163" t="str">
        <f>IFERROR(VLOOKUP(X464,TD!$J$51:$K$64,2,0)," ")</f>
        <v>Infraestructura física, mantenimiento y dotación (Sedes construidas, mantenidas reforzadas)</v>
      </c>
      <c r="Z464" s="164" t="str">
        <f>CONCATENATE(X464,"-",Y464)</f>
        <v>08-Infraestructura física, mantenimiento y dotación (Sedes construidas, mantenidas reforzadas)</v>
      </c>
      <c r="AA464" s="162" t="s">
        <v>227</v>
      </c>
      <c r="AB464" s="163" t="str">
        <f>IFERROR(VLOOKUP(AA464,TD!$N$51:$O$66,2,0)," ")</f>
        <v>Sedes mantenidas</v>
      </c>
      <c r="AC464" s="164" t="str">
        <f>CONCATENATE(AA464,"_",AB464)</f>
        <v>016_Sedes mantenidas</v>
      </c>
      <c r="AD464" s="164" t="str">
        <f>CONCATENATE(Z464," ",AC464)</f>
        <v>08-Infraestructura física, mantenimiento y dotación (Sedes construidas, mantenidas reforzadas) 016_Sedes mantenidas</v>
      </c>
      <c r="AE464" s="163" t="str">
        <f>CONCATENATE(U464,V464,W464,X464,AA464)</f>
        <v>O23011745992024020708016</v>
      </c>
      <c r="AF464" s="163" t="str">
        <f>IFERROR(VLOOKUP(AD464,TD!$J$66:$K$89,2,0)," ")</f>
        <v>PM/0131/0108/45990160207</v>
      </c>
      <c r="AG464" s="118" t="s">
        <v>385</v>
      </c>
      <c r="AH464" s="162" t="s">
        <v>193</v>
      </c>
      <c r="AI464" s="165" t="str">
        <f>CONCATENATE(PAA[[#This Row],[Id Interno]],"-",PAA[[#This Row],[tipo de Contrato (TH talento humano - B/S bienes y/o servicios)]],"-",S464,"-",T464,"-",PAA[[#This Row],[Objeto de la contratación]])</f>
        <v>20260449-TH-8126-8-Prestación de servicios profesionales especializados para apoyar las actividades de seguimiento técnico del Área de Infraestructura de la Subdirección de Gestión Corporativa-SGC</v>
      </c>
    </row>
    <row r="465" spans="2:35" ht="56" x14ac:dyDescent="0.35">
      <c r="B465" s="23">
        <v>20260450</v>
      </c>
      <c r="C465" s="99" t="s">
        <v>700</v>
      </c>
      <c r="D465" s="23" t="s">
        <v>105</v>
      </c>
      <c r="E465" s="23" t="s">
        <v>363</v>
      </c>
      <c r="F465" s="159" t="s">
        <v>145</v>
      </c>
      <c r="G465" s="160" t="s">
        <v>373</v>
      </c>
      <c r="H465" s="161">
        <v>11</v>
      </c>
      <c r="I465" s="161">
        <v>0</v>
      </c>
      <c r="J465" s="127">
        <v>36128000</v>
      </c>
      <c r="K465" s="88" t="s">
        <v>398</v>
      </c>
      <c r="L465" s="159" t="s">
        <v>155</v>
      </c>
      <c r="M465" s="162" t="s">
        <v>422</v>
      </c>
      <c r="N465" s="23" t="s">
        <v>197</v>
      </c>
      <c r="O465" s="151" t="s">
        <v>945</v>
      </c>
      <c r="P465" s="159" t="s">
        <v>348</v>
      </c>
      <c r="Q465" s="53" t="s">
        <v>766</v>
      </c>
      <c r="R465" s="162" t="s">
        <v>207</v>
      </c>
      <c r="S465" s="162" t="str">
        <f>MID(PAA[[#This Row],[Meta Proyecto de Inversión]],1,4)</f>
        <v>8126</v>
      </c>
      <c r="T465" s="162" t="str">
        <f>MID(PAA[[#This Row],[Meta Proyecto de Inversión]],6,1)</f>
        <v>8</v>
      </c>
      <c r="U465" s="163" t="str">
        <f>IFERROR(VLOOKUP(N465,TD!$B$50:$F$54,2,0)," ")</f>
        <v>O230117</v>
      </c>
      <c r="V465" s="163" t="str">
        <f>IFERROR(VLOOKUP(N465,TD!$B$50:$F$54,3,0)," ")</f>
        <v>4599</v>
      </c>
      <c r="W465" s="163">
        <f>IFERROR(VLOOKUP(N465,TD!$B$50:$F$54,4,0)," ")</f>
        <v>20240207</v>
      </c>
      <c r="X465" s="162" t="s">
        <v>174</v>
      </c>
      <c r="Y465" s="163" t="str">
        <f>IFERROR(VLOOKUP(X465,TD!$J$51:$K$64,2,0)," ")</f>
        <v>Infraestructura física, mantenimiento y dotación (Sedes construidas, mantenidas reforzadas)</v>
      </c>
      <c r="Z465" s="164" t="str">
        <f>CONCATENATE(X465,"-",Y465)</f>
        <v>08-Infraestructura física, mantenimiento y dotación (Sedes construidas, mantenidas reforzadas)</v>
      </c>
      <c r="AA465" s="162" t="s">
        <v>227</v>
      </c>
      <c r="AB465" s="163" t="str">
        <f>IFERROR(VLOOKUP(AA465,TD!$N$51:$O$66,2,0)," ")</f>
        <v>Sedes mantenidas</v>
      </c>
      <c r="AC465" s="164" t="str">
        <f>CONCATENATE(AA465,"_",AB465)</f>
        <v>016_Sedes mantenidas</v>
      </c>
      <c r="AD465" s="164" t="str">
        <f>CONCATENATE(Z465," ",AC465)</f>
        <v>08-Infraestructura física, mantenimiento y dotación (Sedes construidas, mantenidas reforzadas) 016_Sedes mantenidas</v>
      </c>
      <c r="AE465" s="163" t="str">
        <f>CONCATENATE(U465,V465,W465,X465,AA465)</f>
        <v>O23011745992024020708016</v>
      </c>
      <c r="AF465" s="163" t="str">
        <f>IFERROR(VLOOKUP(AD465,TD!$J$66:$K$89,2,0)," ")</f>
        <v>PM/0131/0108/45990160207</v>
      </c>
      <c r="AG465" s="118" t="s">
        <v>385</v>
      </c>
      <c r="AH465" s="162" t="s">
        <v>193</v>
      </c>
      <c r="AI465" s="165" t="str">
        <f>CONCATENATE(PAA[[#This Row],[Id Interno]],"-",PAA[[#This Row],[tipo de Contrato (TH talento humano - B/S bienes y/o servicios)]],"-",S465,"-",T465,"-",PAA[[#This Row],[Objeto de la contratación]])</f>
        <v>20260450-TH-8126-8-Prestación de servicios de apoyo a la gestión, en la Subdirección de Gestión Corporativa en temas de infraestructura para el sostenimiento y mejoramiento de los equipamientos de la Unidad Administrativa Especial Cuerpo Oficial de Bomberos de Bogotá-SGC</v>
      </c>
    </row>
    <row r="466" spans="2:35" ht="56" x14ac:dyDescent="0.35">
      <c r="B466" s="23">
        <v>20260451</v>
      </c>
      <c r="C466" s="99" t="s">
        <v>700</v>
      </c>
      <c r="D466" s="23" t="s">
        <v>105</v>
      </c>
      <c r="E466" s="23" t="s">
        <v>363</v>
      </c>
      <c r="F466" s="159" t="s">
        <v>145</v>
      </c>
      <c r="G466" s="160" t="s">
        <v>373</v>
      </c>
      <c r="H466" s="161">
        <v>11</v>
      </c>
      <c r="I466" s="161">
        <v>0</v>
      </c>
      <c r="J466" s="127">
        <v>36128000</v>
      </c>
      <c r="K466" s="88" t="s">
        <v>398</v>
      </c>
      <c r="L466" s="159" t="s">
        <v>155</v>
      </c>
      <c r="M466" s="162" t="s">
        <v>422</v>
      </c>
      <c r="N466" s="23" t="s">
        <v>197</v>
      </c>
      <c r="O466" s="151" t="s">
        <v>945</v>
      </c>
      <c r="P466" s="159" t="s">
        <v>348</v>
      </c>
      <c r="Q466" s="53" t="s">
        <v>766</v>
      </c>
      <c r="R466" s="162" t="s">
        <v>207</v>
      </c>
      <c r="S466" s="162" t="str">
        <f>MID(PAA[[#This Row],[Meta Proyecto de Inversión]],1,4)</f>
        <v>8126</v>
      </c>
      <c r="T466" s="162" t="str">
        <f>MID(PAA[[#This Row],[Meta Proyecto de Inversión]],6,1)</f>
        <v>8</v>
      </c>
      <c r="U466" s="163" t="str">
        <f>IFERROR(VLOOKUP(N466,TD!$B$50:$F$54,2,0)," ")</f>
        <v>O230117</v>
      </c>
      <c r="V466" s="163" t="str">
        <f>IFERROR(VLOOKUP(N466,TD!$B$50:$F$54,3,0)," ")</f>
        <v>4599</v>
      </c>
      <c r="W466" s="163">
        <f>IFERROR(VLOOKUP(N466,TD!$B$50:$F$54,4,0)," ")</f>
        <v>20240207</v>
      </c>
      <c r="X466" s="162" t="s">
        <v>174</v>
      </c>
      <c r="Y466" s="163" t="str">
        <f>IFERROR(VLOOKUP(X466,TD!$J$51:$K$64,2,0)," ")</f>
        <v>Infraestructura física, mantenimiento y dotación (Sedes construidas, mantenidas reforzadas)</v>
      </c>
      <c r="Z466" s="164" t="str">
        <f>CONCATENATE(X466,"-",Y466)</f>
        <v>08-Infraestructura física, mantenimiento y dotación (Sedes construidas, mantenidas reforzadas)</v>
      </c>
      <c r="AA466" s="162" t="s">
        <v>227</v>
      </c>
      <c r="AB466" s="163" t="str">
        <f>IFERROR(VLOOKUP(AA466,TD!$N$51:$O$66,2,0)," ")</f>
        <v>Sedes mantenidas</v>
      </c>
      <c r="AC466" s="164" t="str">
        <f>CONCATENATE(AA466,"_",AB466)</f>
        <v>016_Sedes mantenidas</v>
      </c>
      <c r="AD466" s="164" t="str">
        <f>CONCATENATE(Z466," ",AC466)</f>
        <v>08-Infraestructura física, mantenimiento y dotación (Sedes construidas, mantenidas reforzadas) 016_Sedes mantenidas</v>
      </c>
      <c r="AE466" s="163" t="str">
        <f>CONCATENATE(U466,V466,W466,X466,AA466)</f>
        <v>O23011745992024020708016</v>
      </c>
      <c r="AF466" s="163" t="str">
        <f>IFERROR(VLOOKUP(AD466,TD!$J$66:$K$89,2,0)," ")</f>
        <v>PM/0131/0108/45990160207</v>
      </c>
      <c r="AG466" s="118" t="s">
        <v>385</v>
      </c>
      <c r="AH466" s="162" t="s">
        <v>193</v>
      </c>
      <c r="AI466" s="165" t="str">
        <f>CONCATENATE(PAA[[#This Row],[Id Interno]],"-",PAA[[#This Row],[tipo de Contrato (TH talento humano - B/S bienes y/o servicios)]],"-",S466,"-",T466,"-",PAA[[#This Row],[Objeto de la contratación]])</f>
        <v>20260451-TH-8126-8-Prestación de servicios de apoyo a la gestión, en la Subdirección de Gestión Corporativa en temas de infraestructura para el sostenimiento y mejoramiento de los equipamientos de la Unidad Administrativa Especial Cuerpo Oficial de Bomberos de Bogotá-SGC</v>
      </c>
    </row>
    <row r="467" spans="2:35" ht="56" x14ac:dyDescent="0.35">
      <c r="B467" s="23">
        <v>20260452</v>
      </c>
      <c r="C467" s="99" t="s">
        <v>705</v>
      </c>
      <c r="D467" s="23" t="s">
        <v>105</v>
      </c>
      <c r="E467" s="23" t="s">
        <v>363</v>
      </c>
      <c r="F467" s="159" t="s">
        <v>144</v>
      </c>
      <c r="G467" s="160" t="s">
        <v>373</v>
      </c>
      <c r="H467" s="161">
        <v>11</v>
      </c>
      <c r="I467" s="161">
        <v>0</v>
      </c>
      <c r="J467" s="127">
        <v>57200000</v>
      </c>
      <c r="K467" s="88" t="s">
        <v>398</v>
      </c>
      <c r="L467" s="159" t="s">
        <v>155</v>
      </c>
      <c r="M467" s="162" t="s">
        <v>422</v>
      </c>
      <c r="N467" s="23" t="s">
        <v>198</v>
      </c>
      <c r="O467" s="151" t="s">
        <v>946</v>
      </c>
      <c r="P467" s="159" t="s">
        <v>348</v>
      </c>
      <c r="Q467" s="53" t="s">
        <v>766</v>
      </c>
      <c r="R467" s="162" t="s">
        <v>216</v>
      </c>
      <c r="S467" s="162" t="str">
        <f>MID(PAA[[#This Row],[Meta Proyecto de Inversión]],1,4)</f>
        <v>8173</v>
      </c>
      <c r="T467" s="162" t="str">
        <f>MID(PAA[[#This Row],[Meta Proyecto de Inversión]],6,1)</f>
        <v>7</v>
      </c>
      <c r="U467" s="163" t="str">
        <f>IFERROR(VLOOKUP(N467,TD!$B$50:$F$54,2,0)," ")</f>
        <v>O230117</v>
      </c>
      <c r="V467" s="163" t="str">
        <f>IFERROR(VLOOKUP(N467,TD!$B$50:$F$54,3,0)," ")</f>
        <v>4503</v>
      </c>
      <c r="W467" s="163">
        <f>IFERROR(VLOOKUP(N467,TD!$B$50:$F$54,4,0)," ")</f>
        <v>20240255</v>
      </c>
      <c r="X467" s="162">
        <v>14</v>
      </c>
      <c r="Y467" s="163" t="str">
        <f>IFERROR(VLOOKUP(X467,TD!$J$51:$K$64,2,0)," ")</f>
        <v xml:space="preserve">Infraestructura física misional construida mantenida y dotada </v>
      </c>
      <c r="Z467" s="164" t="str">
        <f>CONCATENATE(X467,"-",Y467)</f>
        <v xml:space="preserve">14-Infraestructura física misional construida mantenida y dotada </v>
      </c>
      <c r="AA467" s="162" t="s">
        <v>225</v>
      </c>
      <c r="AB467" s="163" t="str">
        <f>IFERROR(VLOOKUP(AA467,TD!$N$51:$O$66,2,0)," ")</f>
        <v>Estaciones de bomberos adecuadas</v>
      </c>
      <c r="AC467" s="164" t="str">
        <f>CONCATENATE(AA467,"_",AB467)</f>
        <v>014_Estaciones de bomberos adecuadas</v>
      </c>
      <c r="AD467" s="164" t="str">
        <f>CONCATENATE(Z467," ",AC467)</f>
        <v>14-Infraestructura física misional construida mantenida y dotada  014_Estaciones de bomberos adecuadas</v>
      </c>
      <c r="AE467" s="163" t="str">
        <f>CONCATENATE(U467,V467,W467,X467,AA467)</f>
        <v>O23011745032024025514014</v>
      </c>
      <c r="AF467" s="163" t="str">
        <f>IFERROR(VLOOKUP(AD467,TD!$J$66:$K$89,2,0)," ")</f>
        <v>PM/0131/0114/45030140255</v>
      </c>
      <c r="AG467" s="118" t="s">
        <v>385</v>
      </c>
      <c r="AH467" s="162" t="s">
        <v>193</v>
      </c>
      <c r="AI467" s="165" t="str">
        <f>CONCATENATE(PAA[[#This Row],[Id Interno]],"-",PAA[[#This Row],[tipo de Contrato (TH talento humano - B/S bienes y/o servicios)]],"-",S467,"-",T467,"-",PAA[[#This Row],[Objeto de la contratación]])</f>
        <v>20260452-TH-8173-7-Prestación de servicios profesionales en la proyección y el seguimiento financiero a los proyectos del área de infraestructura de la Subdirección de Gestión Corporativa -SGC</v>
      </c>
    </row>
    <row r="468" spans="2:35" ht="56" x14ac:dyDescent="0.35">
      <c r="B468" s="23">
        <v>20260453</v>
      </c>
      <c r="C468" s="99" t="s">
        <v>706</v>
      </c>
      <c r="D468" s="23" t="s">
        <v>105</v>
      </c>
      <c r="E468" s="23" t="s">
        <v>363</v>
      </c>
      <c r="F468" s="159" t="s">
        <v>144</v>
      </c>
      <c r="G468" s="160" t="s">
        <v>373</v>
      </c>
      <c r="H468" s="161">
        <v>10</v>
      </c>
      <c r="I468" s="161">
        <v>0</v>
      </c>
      <c r="J468" s="127">
        <v>60324000</v>
      </c>
      <c r="K468" s="88" t="s">
        <v>398</v>
      </c>
      <c r="L468" s="159" t="s">
        <v>155</v>
      </c>
      <c r="M468" s="162" t="s">
        <v>422</v>
      </c>
      <c r="N468" s="23" t="s">
        <v>198</v>
      </c>
      <c r="O468" s="151" t="s">
        <v>946</v>
      </c>
      <c r="P468" s="159" t="s">
        <v>348</v>
      </c>
      <c r="Q468" s="53" t="s">
        <v>766</v>
      </c>
      <c r="R468" s="162" t="s">
        <v>216</v>
      </c>
      <c r="S468" s="162" t="str">
        <f>MID(PAA[[#This Row],[Meta Proyecto de Inversión]],1,4)</f>
        <v>8173</v>
      </c>
      <c r="T468" s="162" t="str">
        <f>MID(PAA[[#This Row],[Meta Proyecto de Inversión]],6,1)</f>
        <v>7</v>
      </c>
      <c r="U468" s="163" t="str">
        <f>IFERROR(VLOOKUP(N468,TD!$B$50:$F$54,2,0)," ")</f>
        <v>O230117</v>
      </c>
      <c r="V468" s="163" t="str">
        <f>IFERROR(VLOOKUP(N468,TD!$B$50:$F$54,3,0)," ")</f>
        <v>4503</v>
      </c>
      <c r="W468" s="163">
        <f>IFERROR(VLOOKUP(N468,TD!$B$50:$F$54,4,0)," ")</f>
        <v>20240255</v>
      </c>
      <c r="X468" s="162">
        <v>14</v>
      </c>
      <c r="Y468" s="163" t="str">
        <f>IFERROR(VLOOKUP(X468,TD!$J$51:$K$64,2,0)," ")</f>
        <v xml:space="preserve">Infraestructura física misional construida mantenida y dotada </v>
      </c>
      <c r="Z468" s="164" t="str">
        <f>CONCATENATE(X468,"-",Y468)</f>
        <v xml:space="preserve">14-Infraestructura física misional construida mantenida y dotada </v>
      </c>
      <c r="AA468" s="162" t="s">
        <v>225</v>
      </c>
      <c r="AB468" s="163" t="str">
        <f>IFERROR(VLOOKUP(AA468,TD!$N$51:$O$66,2,0)," ")</f>
        <v>Estaciones de bomberos adecuadas</v>
      </c>
      <c r="AC468" s="164" t="str">
        <f>CONCATENATE(AA468,"_",AB468)</f>
        <v>014_Estaciones de bomberos adecuadas</v>
      </c>
      <c r="AD468" s="164" t="str">
        <f>CONCATENATE(Z468," ",AC468)</f>
        <v>14-Infraestructura física misional construida mantenida y dotada  014_Estaciones de bomberos adecuadas</v>
      </c>
      <c r="AE468" s="163" t="str">
        <f>CONCATENATE(U468,V468,W468,X468,AA468)</f>
        <v>O23011745032024025514014</v>
      </c>
      <c r="AF468" s="163" t="str">
        <f>IFERROR(VLOOKUP(AD468,TD!$J$66:$K$89,2,0)," ")</f>
        <v>PM/0131/0114/45030140255</v>
      </c>
      <c r="AG468" s="118" t="s">
        <v>385</v>
      </c>
      <c r="AH468" s="162" t="s">
        <v>193</v>
      </c>
      <c r="AI468" s="165" t="str">
        <f>CONCATENATE(PAA[[#This Row],[Id Interno]],"-",PAA[[#This Row],[tipo de Contrato (TH talento humano - B/S bienes y/o servicios)]],"-",S468,"-",T468,"-",PAA[[#This Row],[Objeto de la contratación]])</f>
        <v>20260453-TH-8173-7-Prestación de servicios profesionales con el fin de gestionar trámites de carácter técnico, administrativo y operativamente en el desarrollo de los proyectos de inversión  de la entidad-SGC</v>
      </c>
    </row>
    <row r="469" spans="2:35" ht="56" x14ac:dyDescent="0.35">
      <c r="B469" s="23">
        <v>20260454</v>
      </c>
      <c r="C469" s="99" t="s">
        <v>680</v>
      </c>
      <c r="D469" s="23" t="s">
        <v>105</v>
      </c>
      <c r="E469" s="23" t="s">
        <v>363</v>
      </c>
      <c r="F469" s="159" t="s">
        <v>144</v>
      </c>
      <c r="G469" s="160" t="s">
        <v>373</v>
      </c>
      <c r="H469" s="161">
        <v>11</v>
      </c>
      <c r="I469" s="161">
        <v>0</v>
      </c>
      <c r="J469" s="127">
        <v>81103000</v>
      </c>
      <c r="K469" s="88" t="s">
        <v>398</v>
      </c>
      <c r="L469" s="159" t="s">
        <v>155</v>
      </c>
      <c r="M469" s="162" t="s">
        <v>422</v>
      </c>
      <c r="N469" s="23" t="s">
        <v>197</v>
      </c>
      <c r="O469" s="151" t="s">
        <v>945</v>
      </c>
      <c r="P469" s="159" t="s">
        <v>348</v>
      </c>
      <c r="Q469" s="53" t="s">
        <v>766</v>
      </c>
      <c r="R469" s="162" t="s">
        <v>208</v>
      </c>
      <c r="S469" s="162" t="str">
        <f>MID(PAA[[#This Row],[Meta Proyecto de Inversión]],1,4)</f>
        <v>8126</v>
      </c>
      <c r="T469" s="162" t="str">
        <f>MID(PAA[[#This Row],[Meta Proyecto de Inversión]],6,1)</f>
        <v>9</v>
      </c>
      <c r="U469" s="163" t="str">
        <f>IFERROR(VLOOKUP(N469,TD!$B$50:$F$54,2,0)," ")</f>
        <v>O230117</v>
      </c>
      <c r="V469" s="163" t="str">
        <f>IFERROR(VLOOKUP(N469,TD!$B$50:$F$54,3,0)," ")</f>
        <v>4599</v>
      </c>
      <c r="W469" s="163">
        <f>IFERROR(VLOOKUP(N469,TD!$B$50:$F$54,4,0)," ")</f>
        <v>20240207</v>
      </c>
      <c r="X469" s="162" t="s">
        <v>174</v>
      </c>
      <c r="Y469" s="163" t="str">
        <f>IFERROR(VLOOKUP(X469,TD!$J$51:$K$64,2,0)," ")</f>
        <v>Infraestructura física, mantenimiento y dotación (Sedes construidas, mantenidas reforzadas)</v>
      </c>
      <c r="Z469" s="164" t="str">
        <f>CONCATENATE(X469,"-",Y469)</f>
        <v>08-Infraestructura física, mantenimiento y dotación (Sedes construidas, mantenidas reforzadas)</v>
      </c>
      <c r="AA469" s="162" t="s">
        <v>227</v>
      </c>
      <c r="AB469" s="163" t="str">
        <f>IFERROR(VLOOKUP(AA469,TD!$N$51:$O$66,2,0)," ")</f>
        <v>Sedes mantenidas</v>
      </c>
      <c r="AC469" s="164" t="str">
        <f>CONCATENATE(AA469,"_",AB469)</f>
        <v>016_Sedes mantenidas</v>
      </c>
      <c r="AD469" s="164" t="str">
        <f>CONCATENATE(Z469," ",AC469)</f>
        <v>08-Infraestructura física, mantenimiento y dotación (Sedes construidas, mantenidas reforzadas) 016_Sedes mantenidas</v>
      </c>
      <c r="AE469" s="163" t="str">
        <f>CONCATENATE(U469,V469,W469,X469,AA469)</f>
        <v>O23011745992024020708016</v>
      </c>
      <c r="AF469" s="163" t="str">
        <f>IFERROR(VLOOKUP(AD469,TD!$J$66:$K$89,2,0)," ")</f>
        <v>PM/0131/0108/45990160207</v>
      </c>
      <c r="AG469" s="118" t="s">
        <v>385</v>
      </c>
      <c r="AH469" s="162" t="s">
        <v>193</v>
      </c>
      <c r="AI469" s="165" t="str">
        <f>CONCATENATE(PAA[[#This Row],[Id Interno]],"-",PAA[[#This Row],[tipo de Contrato (TH talento humano - B/S bienes y/o servicios)]],"-",S469,"-",T469,"-",PAA[[#This Row],[Objeto de la contratación]])</f>
        <v>20260454-TH-8126-9-Prestar servicios profesionales para realizar acompañamiento juridico en la elaboración de los procesos contractuales adelantados por la Subdirección Gestión Corporativa -SGC</v>
      </c>
    </row>
    <row r="470" spans="2:35" ht="42" x14ac:dyDescent="0.35">
      <c r="B470" s="23">
        <v>20260455</v>
      </c>
      <c r="C470" s="99" t="s">
        <v>692</v>
      </c>
      <c r="D470" s="23" t="s">
        <v>105</v>
      </c>
      <c r="E470" s="23" t="s">
        <v>363</v>
      </c>
      <c r="F470" s="159" t="s">
        <v>144</v>
      </c>
      <c r="G470" s="160" t="s">
        <v>373</v>
      </c>
      <c r="H470" s="161">
        <v>11</v>
      </c>
      <c r="I470" s="161">
        <v>0</v>
      </c>
      <c r="J470" s="127">
        <v>99000000</v>
      </c>
      <c r="K470" s="88" t="s">
        <v>398</v>
      </c>
      <c r="L470" s="159" t="s">
        <v>155</v>
      </c>
      <c r="M470" s="162" t="s">
        <v>422</v>
      </c>
      <c r="N470" s="23" t="s">
        <v>198</v>
      </c>
      <c r="O470" s="151" t="s">
        <v>946</v>
      </c>
      <c r="P470" s="159" t="s">
        <v>348</v>
      </c>
      <c r="Q470" s="53" t="s">
        <v>766</v>
      </c>
      <c r="R470" s="162" t="s">
        <v>216</v>
      </c>
      <c r="S470" s="162" t="str">
        <f>MID(PAA[[#This Row],[Meta Proyecto de Inversión]],1,4)</f>
        <v>8173</v>
      </c>
      <c r="T470" s="162" t="str">
        <f>MID(PAA[[#This Row],[Meta Proyecto de Inversión]],6,1)</f>
        <v>7</v>
      </c>
      <c r="U470" s="163" t="str">
        <f>IFERROR(VLOOKUP(N470,TD!$B$50:$F$54,2,0)," ")</f>
        <v>O230117</v>
      </c>
      <c r="V470" s="163" t="str">
        <f>IFERROR(VLOOKUP(N470,TD!$B$50:$F$54,3,0)," ")</f>
        <v>4503</v>
      </c>
      <c r="W470" s="163">
        <f>IFERROR(VLOOKUP(N470,TD!$B$50:$F$54,4,0)," ")</f>
        <v>20240255</v>
      </c>
      <c r="X470" s="162">
        <v>14</v>
      </c>
      <c r="Y470" s="163" t="str">
        <f>IFERROR(VLOOKUP(X470,TD!$J$51:$K$64,2,0)," ")</f>
        <v xml:space="preserve">Infraestructura física misional construida mantenida y dotada </v>
      </c>
      <c r="Z470" s="164" t="str">
        <f>CONCATENATE(X470,"-",Y470)</f>
        <v xml:space="preserve">14-Infraestructura física misional construida mantenida y dotada </v>
      </c>
      <c r="AA470" s="162" t="s">
        <v>225</v>
      </c>
      <c r="AB470" s="163" t="str">
        <f>IFERROR(VLOOKUP(AA470,TD!$N$51:$O$66,2,0)," ")</f>
        <v>Estaciones de bomberos adecuadas</v>
      </c>
      <c r="AC470" s="164" t="str">
        <f>CONCATENATE(AA470,"_",AB470)</f>
        <v>014_Estaciones de bomberos adecuadas</v>
      </c>
      <c r="AD470" s="164" t="str">
        <f>CONCATENATE(Z470," ",AC470)</f>
        <v>14-Infraestructura física misional construida mantenida y dotada  014_Estaciones de bomberos adecuadas</v>
      </c>
      <c r="AE470" s="163" t="str">
        <f>CONCATENATE(U470,V470,W470,X470,AA470)</f>
        <v>O23011745032024025514014</v>
      </c>
      <c r="AF470" s="163" t="str">
        <f>IFERROR(VLOOKUP(AD470,TD!$J$66:$K$89,2,0)," ")</f>
        <v>PM/0131/0114/45030140255</v>
      </c>
      <c r="AG470" s="118" t="s">
        <v>385</v>
      </c>
      <c r="AH470" s="162" t="s">
        <v>193</v>
      </c>
      <c r="AI470" s="165" t="str">
        <f>CONCATENATE(PAA[[#This Row],[Id Interno]],"-",PAA[[#This Row],[tipo de Contrato (TH talento humano - B/S bienes y/o servicios)]],"-",S470,"-",T470,"-",PAA[[#This Row],[Objeto de la contratación]])</f>
        <v>20260455-TH-8173-7-Prestación de servicios profesionales especializados para articular y revisar los procesos y procedimientos del área de infraestructura, así como en el apoyo a la supervisión de los contratos que le sean asignados-SGC</v>
      </c>
    </row>
    <row r="471" spans="2:35" ht="56" x14ac:dyDescent="0.35">
      <c r="B471" s="23">
        <v>20260456</v>
      </c>
      <c r="C471" s="99" t="s">
        <v>700</v>
      </c>
      <c r="D471" s="23" t="s">
        <v>105</v>
      </c>
      <c r="E471" s="23" t="s">
        <v>363</v>
      </c>
      <c r="F471" s="159" t="s">
        <v>145</v>
      </c>
      <c r="G471" s="160" t="s">
        <v>373</v>
      </c>
      <c r="H471" s="161">
        <v>10</v>
      </c>
      <c r="I471" s="161">
        <v>0</v>
      </c>
      <c r="J471" s="127">
        <v>32843000</v>
      </c>
      <c r="K471" s="88" t="s">
        <v>398</v>
      </c>
      <c r="L471" s="159" t="s">
        <v>155</v>
      </c>
      <c r="M471" s="162" t="s">
        <v>422</v>
      </c>
      <c r="N471" s="23" t="s">
        <v>197</v>
      </c>
      <c r="O471" s="151" t="s">
        <v>945</v>
      </c>
      <c r="P471" s="159" t="s">
        <v>348</v>
      </c>
      <c r="Q471" s="53" t="s">
        <v>766</v>
      </c>
      <c r="R471" s="162" t="s">
        <v>207</v>
      </c>
      <c r="S471" s="162" t="str">
        <f>MID(PAA[[#This Row],[Meta Proyecto de Inversión]],1,4)</f>
        <v>8126</v>
      </c>
      <c r="T471" s="162" t="str">
        <f>MID(PAA[[#This Row],[Meta Proyecto de Inversión]],6,1)</f>
        <v>8</v>
      </c>
      <c r="U471" s="163" t="str">
        <f>IFERROR(VLOOKUP(N471,TD!$B$50:$F$54,2,0)," ")</f>
        <v>O230117</v>
      </c>
      <c r="V471" s="163" t="str">
        <f>IFERROR(VLOOKUP(N471,TD!$B$50:$F$54,3,0)," ")</f>
        <v>4599</v>
      </c>
      <c r="W471" s="163">
        <f>IFERROR(VLOOKUP(N471,TD!$B$50:$F$54,4,0)," ")</f>
        <v>20240207</v>
      </c>
      <c r="X471" s="162" t="s">
        <v>174</v>
      </c>
      <c r="Y471" s="163" t="str">
        <f>IFERROR(VLOOKUP(X471,TD!$J$51:$K$64,2,0)," ")</f>
        <v>Infraestructura física, mantenimiento y dotación (Sedes construidas, mantenidas reforzadas)</v>
      </c>
      <c r="Z471" s="164" t="str">
        <f>CONCATENATE(X471,"-",Y471)</f>
        <v>08-Infraestructura física, mantenimiento y dotación (Sedes construidas, mantenidas reforzadas)</v>
      </c>
      <c r="AA471" s="162" t="s">
        <v>227</v>
      </c>
      <c r="AB471" s="163" t="str">
        <f>IFERROR(VLOOKUP(AA471,TD!$N$51:$O$66,2,0)," ")</f>
        <v>Sedes mantenidas</v>
      </c>
      <c r="AC471" s="164" t="str">
        <f>CONCATENATE(AA471,"_",AB471)</f>
        <v>016_Sedes mantenidas</v>
      </c>
      <c r="AD471" s="164" t="str">
        <f>CONCATENATE(Z471," ",AC471)</f>
        <v>08-Infraestructura física, mantenimiento y dotación (Sedes construidas, mantenidas reforzadas) 016_Sedes mantenidas</v>
      </c>
      <c r="AE471" s="163" t="str">
        <f>CONCATENATE(U471,V471,W471,X471,AA471)</f>
        <v>O23011745992024020708016</v>
      </c>
      <c r="AF471" s="163" t="str">
        <f>IFERROR(VLOOKUP(AD471,TD!$J$66:$K$89,2,0)," ")</f>
        <v>PM/0131/0108/45990160207</v>
      </c>
      <c r="AG471" s="118" t="s">
        <v>385</v>
      </c>
      <c r="AH471" s="162" t="s">
        <v>193</v>
      </c>
      <c r="AI471" s="165" t="str">
        <f>CONCATENATE(PAA[[#This Row],[Id Interno]],"-",PAA[[#This Row],[tipo de Contrato (TH talento humano - B/S bienes y/o servicios)]],"-",S471,"-",T471,"-",PAA[[#This Row],[Objeto de la contratación]])</f>
        <v>20260456-TH-8126-8-Prestación de servicios de apoyo a la gestión, en la Subdirección de Gestión Corporativa en temas de infraestructura para el sostenimiento y mejoramiento de los equipamientos de la Unidad Administrativa Especial Cuerpo Oficial de Bomberos de Bogotá-SGC</v>
      </c>
    </row>
    <row r="472" spans="2:35" ht="56" x14ac:dyDescent="0.35">
      <c r="B472" s="23">
        <v>20260457</v>
      </c>
      <c r="C472" s="99" t="s">
        <v>700</v>
      </c>
      <c r="D472" s="23" t="s">
        <v>105</v>
      </c>
      <c r="E472" s="23" t="s">
        <v>363</v>
      </c>
      <c r="F472" s="159" t="s">
        <v>145</v>
      </c>
      <c r="G472" s="160" t="s">
        <v>373</v>
      </c>
      <c r="H472" s="161">
        <v>11</v>
      </c>
      <c r="I472" s="161">
        <v>0</v>
      </c>
      <c r="J472" s="127">
        <v>36128000</v>
      </c>
      <c r="K472" s="88" t="s">
        <v>398</v>
      </c>
      <c r="L472" s="159" t="s">
        <v>155</v>
      </c>
      <c r="M472" s="162" t="s">
        <v>422</v>
      </c>
      <c r="N472" s="23" t="s">
        <v>197</v>
      </c>
      <c r="O472" s="151" t="s">
        <v>945</v>
      </c>
      <c r="P472" s="159" t="s">
        <v>348</v>
      </c>
      <c r="Q472" s="53" t="s">
        <v>766</v>
      </c>
      <c r="R472" s="162" t="s">
        <v>207</v>
      </c>
      <c r="S472" s="162" t="str">
        <f>MID(PAA[[#This Row],[Meta Proyecto de Inversión]],1,4)</f>
        <v>8126</v>
      </c>
      <c r="T472" s="162" t="str">
        <f>MID(PAA[[#This Row],[Meta Proyecto de Inversión]],6,1)</f>
        <v>8</v>
      </c>
      <c r="U472" s="163" t="str">
        <f>IFERROR(VLOOKUP(N472,TD!$B$50:$F$54,2,0)," ")</f>
        <v>O230117</v>
      </c>
      <c r="V472" s="163" t="str">
        <f>IFERROR(VLOOKUP(N472,TD!$B$50:$F$54,3,0)," ")</f>
        <v>4599</v>
      </c>
      <c r="W472" s="163">
        <f>IFERROR(VLOOKUP(N472,TD!$B$50:$F$54,4,0)," ")</f>
        <v>20240207</v>
      </c>
      <c r="X472" s="162" t="s">
        <v>174</v>
      </c>
      <c r="Y472" s="163" t="str">
        <f>IFERROR(VLOOKUP(X472,TD!$J$51:$K$64,2,0)," ")</f>
        <v>Infraestructura física, mantenimiento y dotación (Sedes construidas, mantenidas reforzadas)</v>
      </c>
      <c r="Z472" s="164" t="str">
        <f>CONCATENATE(X472,"-",Y472)</f>
        <v>08-Infraestructura física, mantenimiento y dotación (Sedes construidas, mantenidas reforzadas)</v>
      </c>
      <c r="AA472" s="162" t="s">
        <v>227</v>
      </c>
      <c r="AB472" s="163" t="str">
        <f>IFERROR(VLOOKUP(AA472,TD!$N$51:$O$66,2,0)," ")</f>
        <v>Sedes mantenidas</v>
      </c>
      <c r="AC472" s="164" t="str">
        <f>CONCATENATE(AA472,"_",AB472)</f>
        <v>016_Sedes mantenidas</v>
      </c>
      <c r="AD472" s="164" t="str">
        <f>CONCATENATE(Z472," ",AC472)</f>
        <v>08-Infraestructura física, mantenimiento y dotación (Sedes construidas, mantenidas reforzadas) 016_Sedes mantenidas</v>
      </c>
      <c r="AE472" s="163" t="str">
        <f>CONCATENATE(U472,V472,W472,X472,AA472)</f>
        <v>O23011745992024020708016</v>
      </c>
      <c r="AF472" s="163" t="str">
        <f>IFERROR(VLOOKUP(AD472,TD!$J$66:$K$89,2,0)," ")</f>
        <v>PM/0131/0108/45990160207</v>
      </c>
      <c r="AG472" s="118" t="s">
        <v>385</v>
      </c>
      <c r="AH472" s="162" t="s">
        <v>193</v>
      </c>
      <c r="AI472" s="165" t="str">
        <f>CONCATENATE(PAA[[#This Row],[Id Interno]],"-",PAA[[#This Row],[tipo de Contrato (TH talento humano - B/S bienes y/o servicios)]],"-",S472,"-",T472,"-",PAA[[#This Row],[Objeto de la contratación]])</f>
        <v>20260457-TH-8126-8-Prestación de servicios de apoyo a la gestión, en la Subdirección de Gestión Corporativa en temas de infraestructura para el sostenimiento y mejoramiento de los equipamientos de la Unidad Administrativa Especial Cuerpo Oficial de Bomberos de Bogotá-SGC</v>
      </c>
    </row>
    <row r="473" spans="2:35" ht="84" x14ac:dyDescent="0.35">
      <c r="B473" s="23">
        <v>20260458</v>
      </c>
      <c r="C473" s="99" t="s">
        <v>707</v>
      </c>
      <c r="D473" s="23" t="s">
        <v>105</v>
      </c>
      <c r="E473" s="23" t="s">
        <v>363</v>
      </c>
      <c r="F473" s="159" t="s">
        <v>144</v>
      </c>
      <c r="G473" s="160" t="s">
        <v>373</v>
      </c>
      <c r="H473" s="161">
        <v>11</v>
      </c>
      <c r="I473" s="161">
        <v>0</v>
      </c>
      <c r="J473" s="127">
        <v>102034000</v>
      </c>
      <c r="K473" s="88" t="s">
        <v>398</v>
      </c>
      <c r="L473" s="159" t="s">
        <v>155</v>
      </c>
      <c r="M473" s="162" t="s">
        <v>422</v>
      </c>
      <c r="N473" s="23" t="s">
        <v>197</v>
      </c>
      <c r="O473" s="151" t="s">
        <v>945</v>
      </c>
      <c r="P473" s="159" t="s">
        <v>348</v>
      </c>
      <c r="Q473" s="53" t="s">
        <v>766</v>
      </c>
      <c r="R473" s="162" t="s">
        <v>208</v>
      </c>
      <c r="S473" s="162" t="str">
        <f>MID(PAA[[#This Row],[Meta Proyecto de Inversión]],1,4)</f>
        <v>8126</v>
      </c>
      <c r="T473" s="162" t="str">
        <f>MID(PAA[[#This Row],[Meta Proyecto de Inversión]],6,1)</f>
        <v>9</v>
      </c>
      <c r="U473" s="163" t="str">
        <f>IFERROR(VLOOKUP(N473,TD!$B$50:$F$54,2,0)," ")</f>
        <v>O230117</v>
      </c>
      <c r="V473" s="163" t="str">
        <f>IFERROR(VLOOKUP(N473,TD!$B$50:$F$54,3,0)," ")</f>
        <v>4599</v>
      </c>
      <c r="W473" s="163">
        <f>IFERROR(VLOOKUP(N473,TD!$B$50:$F$54,4,0)," ")</f>
        <v>20240207</v>
      </c>
      <c r="X473" s="162" t="s">
        <v>174</v>
      </c>
      <c r="Y473" s="163" t="str">
        <f>IFERROR(VLOOKUP(X473,TD!$J$51:$K$64,2,0)," ")</f>
        <v>Infraestructura física, mantenimiento y dotación (Sedes construidas, mantenidas reforzadas)</v>
      </c>
      <c r="Z473" s="164" t="str">
        <f>CONCATENATE(X473,"-",Y473)</f>
        <v>08-Infraestructura física, mantenimiento y dotación (Sedes construidas, mantenidas reforzadas)</v>
      </c>
      <c r="AA473" s="162" t="s">
        <v>227</v>
      </c>
      <c r="AB473" s="163" t="str">
        <f>IFERROR(VLOOKUP(AA473,TD!$N$51:$O$66,2,0)," ")</f>
        <v>Sedes mantenidas</v>
      </c>
      <c r="AC473" s="164" t="str">
        <f>CONCATENATE(AA473,"_",AB473)</f>
        <v>016_Sedes mantenidas</v>
      </c>
      <c r="AD473" s="164" t="str">
        <f>CONCATENATE(Z473," ",AC473)</f>
        <v>08-Infraestructura física, mantenimiento y dotación (Sedes construidas, mantenidas reforzadas) 016_Sedes mantenidas</v>
      </c>
      <c r="AE473" s="163" t="str">
        <f>CONCATENATE(U473,V473,W473,X473,AA473)</f>
        <v>O23011745992024020708016</v>
      </c>
      <c r="AF473" s="163" t="str">
        <f>IFERROR(VLOOKUP(AD473,TD!$J$66:$K$89,2,0)," ")</f>
        <v>PM/0131/0108/45990160207</v>
      </c>
      <c r="AG473" s="118" t="s">
        <v>385</v>
      </c>
      <c r="AH473" s="162" t="s">
        <v>193</v>
      </c>
      <c r="AI473" s="165" t="str">
        <f>CONCATENATE(PAA[[#This Row],[Id Interno]],"-",PAA[[#This Row],[tipo de Contrato (TH talento humano - B/S bienes y/o servicios)]],"-",S473,"-",T473,"-",PAA[[#This Row],[Objeto de la contratación]])</f>
        <v>20260458-TH-8126-9-Prestación de servicios profesionales especializados para articular y revisar los procesos y procedimientos de la gestión administrativa a cargo de la Subdirección de Gestión Corporativa.- SGC</v>
      </c>
    </row>
    <row r="474" spans="2:35" ht="56" x14ac:dyDescent="0.35">
      <c r="B474" s="23">
        <v>20260459</v>
      </c>
      <c r="C474" s="99" t="s">
        <v>708</v>
      </c>
      <c r="D474" s="23" t="s">
        <v>105</v>
      </c>
      <c r="E474" s="23" t="s">
        <v>363</v>
      </c>
      <c r="F474" s="159" t="s">
        <v>144</v>
      </c>
      <c r="G474" s="160" t="s">
        <v>373</v>
      </c>
      <c r="H474" s="161">
        <v>10</v>
      </c>
      <c r="I474" s="161">
        <v>0</v>
      </c>
      <c r="J474" s="127">
        <v>73730000</v>
      </c>
      <c r="K474" s="88" t="s">
        <v>398</v>
      </c>
      <c r="L474" s="159" t="s">
        <v>155</v>
      </c>
      <c r="M474" s="162" t="s">
        <v>422</v>
      </c>
      <c r="N474" s="23" t="s">
        <v>197</v>
      </c>
      <c r="O474" s="151" t="s">
        <v>945</v>
      </c>
      <c r="P474" s="159" t="s">
        <v>348</v>
      </c>
      <c r="Q474" s="53" t="s">
        <v>766</v>
      </c>
      <c r="R474" s="162" t="s">
        <v>208</v>
      </c>
      <c r="S474" s="162" t="str">
        <f>MID(PAA[[#This Row],[Meta Proyecto de Inversión]],1,4)</f>
        <v>8126</v>
      </c>
      <c r="T474" s="162" t="str">
        <f>MID(PAA[[#This Row],[Meta Proyecto de Inversión]],6,1)</f>
        <v>9</v>
      </c>
      <c r="U474" s="163" t="str">
        <f>IFERROR(VLOOKUP(N474,TD!$B$50:$F$54,2,0)," ")</f>
        <v>O230117</v>
      </c>
      <c r="V474" s="163" t="str">
        <f>IFERROR(VLOOKUP(N474,TD!$B$50:$F$54,3,0)," ")</f>
        <v>4599</v>
      </c>
      <c r="W474" s="163">
        <f>IFERROR(VLOOKUP(N474,TD!$B$50:$F$54,4,0)," ")</f>
        <v>20240207</v>
      </c>
      <c r="X474" s="162" t="s">
        <v>174</v>
      </c>
      <c r="Y474" s="163" t="str">
        <f>IFERROR(VLOOKUP(X474,TD!$J$51:$K$64,2,0)," ")</f>
        <v>Infraestructura física, mantenimiento y dotación (Sedes construidas, mantenidas reforzadas)</v>
      </c>
      <c r="Z474" s="164" t="str">
        <f>CONCATENATE(X474,"-",Y474)</f>
        <v>08-Infraestructura física, mantenimiento y dotación (Sedes construidas, mantenidas reforzadas)</v>
      </c>
      <c r="AA474" s="162" t="s">
        <v>227</v>
      </c>
      <c r="AB474" s="163" t="str">
        <f>IFERROR(VLOOKUP(AA474,TD!$N$51:$O$66,2,0)," ")</f>
        <v>Sedes mantenidas</v>
      </c>
      <c r="AC474" s="164" t="str">
        <f>CONCATENATE(AA474,"_",AB474)</f>
        <v>016_Sedes mantenidas</v>
      </c>
      <c r="AD474" s="164" t="str">
        <f>CONCATENATE(Z474," ",AC474)</f>
        <v>08-Infraestructura física, mantenimiento y dotación (Sedes construidas, mantenidas reforzadas) 016_Sedes mantenidas</v>
      </c>
      <c r="AE474" s="163" t="str">
        <f>CONCATENATE(U474,V474,W474,X474,AA474)</f>
        <v>O23011745992024020708016</v>
      </c>
      <c r="AF474" s="163" t="str">
        <f>IFERROR(VLOOKUP(AD474,TD!$J$66:$K$89,2,0)," ")</f>
        <v>PM/0131/0108/45990160207</v>
      </c>
      <c r="AG474" s="118" t="s">
        <v>385</v>
      </c>
      <c r="AH474" s="162" t="s">
        <v>193</v>
      </c>
      <c r="AI474" s="165" t="str">
        <f>CONCATENATE(PAA[[#This Row],[Id Interno]],"-",PAA[[#This Row],[tipo de Contrato (TH talento humano - B/S bienes y/o servicios)]],"-",S474,"-",T474,"-",PAA[[#This Row],[Objeto de la contratación]])</f>
        <v>20260459-TH-8126-9-Prestación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v>
      </c>
    </row>
    <row r="475" spans="2:35" ht="56" x14ac:dyDescent="0.35">
      <c r="B475" s="23">
        <v>20260460</v>
      </c>
      <c r="C475" s="99" t="s">
        <v>709</v>
      </c>
      <c r="D475" s="23" t="s">
        <v>105</v>
      </c>
      <c r="E475" s="23" t="s">
        <v>363</v>
      </c>
      <c r="F475" s="159" t="s">
        <v>144</v>
      </c>
      <c r="G475" s="160" t="s">
        <v>373</v>
      </c>
      <c r="H475" s="161">
        <v>11</v>
      </c>
      <c r="I475" s="161">
        <v>0</v>
      </c>
      <c r="J475" s="127">
        <v>102034000</v>
      </c>
      <c r="K475" s="88" t="s">
        <v>398</v>
      </c>
      <c r="L475" s="159" t="s">
        <v>155</v>
      </c>
      <c r="M475" s="162" t="s">
        <v>422</v>
      </c>
      <c r="N475" s="23" t="s">
        <v>197</v>
      </c>
      <c r="O475" s="151" t="s">
        <v>945</v>
      </c>
      <c r="P475" s="159" t="s">
        <v>348</v>
      </c>
      <c r="Q475" s="53" t="s">
        <v>766</v>
      </c>
      <c r="R475" s="162" t="s">
        <v>208</v>
      </c>
      <c r="S475" s="162" t="str">
        <f>MID(PAA[[#This Row],[Meta Proyecto de Inversión]],1,4)</f>
        <v>8126</v>
      </c>
      <c r="T475" s="162" t="str">
        <f>MID(PAA[[#This Row],[Meta Proyecto de Inversión]],6,1)</f>
        <v>9</v>
      </c>
      <c r="U475" s="163" t="str">
        <f>IFERROR(VLOOKUP(N475,TD!$B$50:$F$54,2,0)," ")</f>
        <v>O230117</v>
      </c>
      <c r="V475" s="163" t="str">
        <f>IFERROR(VLOOKUP(N475,TD!$B$50:$F$54,3,0)," ")</f>
        <v>4599</v>
      </c>
      <c r="W475" s="163">
        <f>IFERROR(VLOOKUP(N475,TD!$B$50:$F$54,4,0)," ")</f>
        <v>20240207</v>
      </c>
      <c r="X475" s="162" t="s">
        <v>174</v>
      </c>
      <c r="Y475" s="163" t="str">
        <f>IFERROR(VLOOKUP(X475,TD!$J$51:$K$64,2,0)," ")</f>
        <v>Infraestructura física, mantenimiento y dotación (Sedes construidas, mantenidas reforzadas)</v>
      </c>
      <c r="Z475" s="164" t="str">
        <f>CONCATENATE(X475,"-",Y475)</f>
        <v>08-Infraestructura física, mantenimiento y dotación (Sedes construidas, mantenidas reforzadas)</v>
      </c>
      <c r="AA475" s="162" t="s">
        <v>227</v>
      </c>
      <c r="AB475" s="163" t="str">
        <f>IFERROR(VLOOKUP(AA475,TD!$N$51:$O$66,2,0)," ")</f>
        <v>Sedes mantenidas</v>
      </c>
      <c r="AC475" s="164" t="str">
        <f>CONCATENATE(AA475,"_",AB475)</f>
        <v>016_Sedes mantenidas</v>
      </c>
      <c r="AD475" s="164" t="str">
        <f>CONCATENATE(Z475," ",AC475)</f>
        <v>08-Infraestructura física, mantenimiento y dotación (Sedes construidas, mantenidas reforzadas) 016_Sedes mantenidas</v>
      </c>
      <c r="AE475" s="163" t="str">
        <f>CONCATENATE(U475,V475,W475,X475,AA475)</f>
        <v>O23011745992024020708016</v>
      </c>
      <c r="AF475" s="163" t="str">
        <f>IFERROR(VLOOKUP(AD475,TD!$J$66:$K$89,2,0)," ")</f>
        <v>PM/0131/0108/45990160207</v>
      </c>
      <c r="AG475" s="118" t="s">
        <v>385</v>
      </c>
      <c r="AH475" s="162" t="s">
        <v>193</v>
      </c>
      <c r="AI475" s="165" t="str">
        <f>CONCATENATE(PAA[[#This Row],[Id Interno]],"-",PAA[[#This Row],[tipo de Contrato (TH talento humano - B/S bienes y/o servicios)]],"-",S475,"-",T475,"-",PAA[[#This Row],[Objeto de la contratación]])</f>
        <v>20260460-TH-8126-9-Prestar los servicios profesionales especializados para acompañar las actividades jurídicas relacionadas con la gestión contractual en las etapas precontractual, contractual y postcontractual del área administrativa de la Subdirección de Gestión Corporativa -SGC</v>
      </c>
    </row>
    <row r="476" spans="2:35" ht="56" x14ac:dyDescent="0.35">
      <c r="B476" s="23">
        <v>20260461</v>
      </c>
      <c r="C476" s="99" t="s">
        <v>710</v>
      </c>
      <c r="D476" s="23" t="s">
        <v>105</v>
      </c>
      <c r="E476" s="23" t="s">
        <v>363</v>
      </c>
      <c r="F476" s="159" t="s">
        <v>145</v>
      </c>
      <c r="G476" s="160" t="s">
        <v>373</v>
      </c>
      <c r="H476" s="161">
        <v>10</v>
      </c>
      <c r="I476" s="161">
        <v>0</v>
      </c>
      <c r="J476" s="127">
        <v>42897000</v>
      </c>
      <c r="K476" s="88" t="s">
        <v>398</v>
      </c>
      <c r="L476" s="159" t="s">
        <v>155</v>
      </c>
      <c r="M476" s="162" t="s">
        <v>422</v>
      </c>
      <c r="N476" s="23" t="s">
        <v>197</v>
      </c>
      <c r="O476" s="151" t="s">
        <v>945</v>
      </c>
      <c r="P476" s="159" t="s">
        <v>348</v>
      </c>
      <c r="Q476" s="53" t="s">
        <v>766</v>
      </c>
      <c r="R476" s="162" t="s">
        <v>208</v>
      </c>
      <c r="S476" s="162" t="str">
        <f>MID(PAA[[#This Row],[Meta Proyecto de Inversión]],1,4)</f>
        <v>8126</v>
      </c>
      <c r="T476" s="162" t="str">
        <f>MID(PAA[[#This Row],[Meta Proyecto de Inversión]],6,1)</f>
        <v>9</v>
      </c>
      <c r="U476" s="163" t="str">
        <f>IFERROR(VLOOKUP(N476,TD!$B$50:$F$54,2,0)," ")</f>
        <v>O230117</v>
      </c>
      <c r="V476" s="163" t="str">
        <f>IFERROR(VLOOKUP(N476,TD!$B$50:$F$54,3,0)," ")</f>
        <v>4599</v>
      </c>
      <c r="W476" s="163">
        <f>IFERROR(VLOOKUP(N476,TD!$B$50:$F$54,4,0)," ")</f>
        <v>20240207</v>
      </c>
      <c r="X476" s="162" t="s">
        <v>174</v>
      </c>
      <c r="Y476" s="163" t="str">
        <f>IFERROR(VLOOKUP(X476,TD!$J$51:$K$64,2,0)," ")</f>
        <v>Infraestructura física, mantenimiento y dotación (Sedes construidas, mantenidas reforzadas)</v>
      </c>
      <c r="Z476" s="164" t="str">
        <f>CONCATENATE(X476,"-",Y476)</f>
        <v>08-Infraestructura física, mantenimiento y dotación (Sedes construidas, mantenidas reforzadas)</v>
      </c>
      <c r="AA476" s="162" t="s">
        <v>227</v>
      </c>
      <c r="AB476" s="163" t="str">
        <f>IFERROR(VLOOKUP(AA476,TD!$N$51:$O$66,2,0)," ")</f>
        <v>Sedes mantenidas</v>
      </c>
      <c r="AC476" s="164" t="str">
        <f>CONCATENATE(AA476,"_",AB476)</f>
        <v>016_Sedes mantenidas</v>
      </c>
      <c r="AD476" s="164" t="str">
        <f>CONCATENATE(Z476," ",AC476)</f>
        <v>08-Infraestructura física, mantenimiento y dotación (Sedes construidas, mantenidas reforzadas) 016_Sedes mantenidas</v>
      </c>
      <c r="AE476" s="163" t="str">
        <f>CONCATENATE(U476,V476,W476,X476,AA476)</f>
        <v>O23011745992024020708016</v>
      </c>
      <c r="AF476" s="163" t="str">
        <f>IFERROR(VLOOKUP(AD476,TD!$J$66:$K$89,2,0)," ")</f>
        <v>PM/0131/0108/45990160207</v>
      </c>
      <c r="AG476" s="118" t="s">
        <v>385</v>
      </c>
      <c r="AH476" s="162" t="s">
        <v>193</v>
      </c>
      <c r="AI476" s="165" t="str">
        <f>CONCATENATE(PAA[[#This Row],[Id Interno]],"-",PAA[[#This Row],[tipo de Contrato (TH talento humano - B/S bienes y/o servicios)]],"-",S476,"-",T476,"-",PAA[[#This Row],[Objeto de la contratación]])</f>
        <v>20260461-TH-8126-9-Prestar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v>
      </c>
    </row>
    <row r="477" spans="2:35" ht="56" x14ac:dyDescent="0.35">
      <c r="B477" s="23">
        <v>20260462</v>
      </c>
      <c r="C477" s="99" t="s">
        <v>711</v>
      </c>
      <c r="D477" s="23" t="s">
        <v>105</v>
      </c>
      <c r="E477" s="23" t="s">
        <v>363</v>
      </c>
      <c r="F477" s="159" t="s">
        <v>144</v>
      </c>
      <c r="G477" s="160" t="s">
        <v>373</v>
      </c>
      <c r="H477" s="161">
        <v>11</v>
      </c>
      <c r="I477" s="161">
        <v>0</v>
      </c>
      <c r="J477" s="127">
        <v>100272000</v>
      </c>
      <c r="K477" s="88" t="s">
        <v>398</v>
      </c>
      <c r="L477" s="159" t="s">
        <v>155</v>
      </c>
      <c r="M477" s="162" t="s">
        <v>422</v>
      </c>
      <c r="N477" s="23" t="s">
        <v>198</v>
      </c>
      <c r="O477" s="151" t="s">
        <v>946</v>
      </c>
      <c r="P477" s="159" t="s">
        <v>348</v>
      </c>
      <c r="Q477" s="53" t="s">
        <v>766</v>
      </c>
      <c r="R477" s="162" t="s">
        <v>217</v>
      </c>
      <c r="S477" s="162" t="str">
        <f>MID(PAA[[#This Row],[Meta Proyecto de Inversión]],1,4)</f>
        <v>8173</v>
      </c>
      <c r="T477" s="162" t="str">
        <f>MID(PAA[[#This Row],[Meta Proyecto de Inversión]],6,1)</f>
        <v>8</v>
      </c>
      <c r="U477" s="163" t="str">
        <f>IFERROR(VLOOKUP(N477,TD!$B$50:$F$54,2,0)," ")</f>
        <v>O230117</v>
      </c>
      <c r="V477" s="163" t="str">
        <f>IFERROR(VLOOKUP(N477,TD!$B$50:$F$54,3,0)," ")</f>
        <v>4503</v>
      </c>
      <c r="W477" s="163">
        <f>IFERROR(VLOOKUP(N477,TD!$B$50:$F$54,4,0)," ")</f>
        <v>20240255</v>
      </c>
      <c r="X477" s="162">
        <v>14</v>
      </c>
      <c r="Y477" s="163" t="str">
        <f>IFERROR(VLOOKUP(X477,TD!$J$51:$K$64,2,0)," ")</f>
        <v xml:space="preserve">Infraestructura física misional construida mantenida y dotada </v>
      </c>
      <c r="Z477" s="164" t="str">
        <f>CONCATENATE(X477,"-",Y477)</f>
        <v xml:space="preserve">14-Infraestructura física misional construida mantenida y dotada </v>
      </c>
      <c r="AA477" s="162" t="s">
        <v>226</v>
      </c>
      <c r="AB477" s="163" t="str">
        <f>IFERROR(VLOOKUP(AA477,TD!$N$51:$O$66,2,0)," ")</f>
        <v>Estaciones de bomberos construidas</v>
      </c>
      <c r="AC477" s="164" t="str">
        <f>CONCATENATE(AA477,"_",AB477)</f>
        <v>015_Estaciones de bomberos construidas</v>
      </c>
      <c r="AD477" s="164" t="str">
        <f>CONCATENATE(Z477," ",AC477)</f>
        <v>14-Infraestructura física misional construida mantenida y dotada  015_Estaciones de bomberos construidas</v>
      </c>
      <c r="AE477" s="163" t="str">
        <f>CONCATENATE(U477,V477,W477,X477,AA477)</f>
        <v>O23011745032024025514015</v>
      </c>
      <c r="AF477" s="163" t="str">
        <f>IFERROR(VLOOKUP(AD477,TD!$J$66:$K$89,2,0)," ")</f>
        <v>PM/0131/0114/45030150255</v>
      </c>
      <c r="AG477" s="118" t="s">
        <v>385</v>
      </c>
      <c r="AH477" s="162" t="s">
        <v>193</v>
      </c>
      <c r="AI477" s="165" t="str">
        <f>CONCATENATE(PAA[[#This Row],[Id Interno]],"-",PAA[[#This Row],[tipo de Contrato (TH talento humano - B/S bienes y/o servicios)]],"-",S477,"-",T477,"-",PAA[[#This Row],[Objeto de la contratación]])</f>
        <v>20260462-TH-8173-8-Prestación de servicios profesionales especializados para apoyar las actividades técnicas y gestión predial del Área de Infraestructura de la Subdirección de Gestión Corporativa-SGC</v>
      </c>
    </row>
    <row r="478" spans="2:35" ht="56" x14ac:dyDescent="0.35">
      <c r="B478" s="23">
        <v>20260463</v>
      </c>
      <c r="C478" s="99" t="s">
        <v>712</v>
      </c>
      <c r="D478" s="23" t="s">
        <v>105</v>
      </c>
      <c r="E478" s="23" t="s">
        <v>363</v>
      </c>
      <c r="F478" s="159" t="s">
        <v>145</v>
      </c>
      <c r="G478" s="160" t="s">
        <v>373</v>
      </c>
      <c r="H478" s="161">
        <v>11</v>
      </c>
      <c r="I478" s="161">
        <v>0</v>
      </c>
      <c r="J478" s="127">
        <v>36128000</v>
      </c>
      <c r="K478" s="88" t="s">
        <v>398</v>
      </c>
      <c r="L478" s="159" t="s">
        <v>155</v>
      </c>
      <c r="M478" s="162" t="s">
        <v>422</v>
      </c>
      <c r="N478" s="23" t="s">
        <v>197</v>
      </c>
      <c r="O478" s="151" t="s">
        <v>945</v>
      </c>
      <c r="P478" s="159" t="s">
        <v>348</v>
      </c>
      <c r="Q478" s="53" t="s">
        <v>766</v>
      </c>
      <c r="R478" s="162" t="s">
        <v>208</v>
      </c>
      <c r="S478" s="162" t="str">
        <f>MID(PAA[[#This Row],[Meta Proyecto de Inversión]],1,4)</f>
        <v>8126</v>
      </c>
      <c r="T478" s="162" t="str">
        <f>MID(PAA[[#This Row],[Meta Proyecto de Inversión]],6,1)</f>
        <v>9</v>
      </c>
      <c r="U478" s="163" t="str">
        <f>IFERROR(VLOOKUP(N478,TD!$B$50:$F$54,2,0)," ")</f>
        <v>O230117</v>
      </c>
      <c r="V478" s="163" t="str">
        <f>IFERROR(VLOOKUP(N478,TD!$B$50:$F$54,3,0)," ")</f>
        <v>4599</v>
      </c>
      <c r="W478" s="163">
        <f>IFERROR(VLOOKUP(N478,TD!$B$50:$F$54,4,0)," ")</f>
        <v>20240207</v>
      </c>
      <c r="X478" s="162" t="s">
        <v>174</v>
      </c>
      <c r="Y478" s="163" t="str">
        <f>IFERROR(VLOOKUP(X478,TD!$J$51:$K$64,2,0)," ")</f>
        <v>Infraestructura física, mantenimiento y dotación (Sedes construidas, mantenidas reforzadas)</v>
      </c>
      <c r="Z478" s="164" t="str">
        <f>CONCATENATE(X478,"-",Y478)</f>
        <v>08-Infraestructura física, mantenimiento y dotación (Sedes construidas, mantenidas reforzadas)</v>
      </c>
      <c r="AA478" s="162" t="s">
        <v>227</v>
      </c>
      <c r="AB478" s="163" t="str">
        <f>IFERROR(VLOOKUP(AA478,TD!$N$51:$O$66,2,0)," ")</f>
        <v>Sedes mantenidas</v>
      </c>
      <c r="AC478" s="164" t="str">
        <f>CONCATENATE(AA478,"_",AB478)</f>
        <v>016_Sedes mantenidas</v>
      </c>
      <c r="AD478" s="164" t="str">
        <f>CONCATENATE(Z478," ",AC478)</f>
        <v>08-Infraestructura física, mantenimiento y dotación (Sedes construidas, mantenidas reforzadas) 016_Sedes mantenidas</v>
      </c>
      <c r="AE478" s="163" t="str">
        <f>CONCATENATE(U478,V478,W478,X478,AA478)</f>
        <v>O23011745992024020708016</v>
      </c>
      <c r="AF478" s="163" t="str">
        <f>IFERROR(VLOOKUP(AD478,TD!$J$66:$K$89,2,0)," ")</f>
        <v>PM/0131/0108/45990160207</v>
      </c>
      <c r="AG478" s="118" t="s">
        <v>385</v>
      </c>
      <c r="AH478" s="162" t="s">
        <v>193</v>
      </c>
      <c r="AI478" s="165" t="str">
        <f>CONCATENATE(PAA[[#This Row],[Id Interno]],"-",PAA[[#This Row],[tipo de Contrato (TH talento humano - B/S bienes y/o servicios)]],"-",S478,"-",T478,"-",PAA[[#This Row],[Objeto de la contratación]])</f>
        <v>20260463-TH-8126-9-Prestación de servicios de apoyo en las actividades asociadas a los procesos de almacén de la Subdirección de Gestión Corporativa SGC</v>
      </c>
    </row>
    <row r="479" spans="2:35" ht="56" x14ac:dyDescent="0.35">
      <c r="B479" s="23">
        <v>20260464</v>
      </c>
      <c r="C479" s="99" t="s">
        <v>713</v>
      </c>
      <c r="D479" s="23" t="s">
        <v>105</v>
      </c>
      <c r="E479" s="23" t="s">
        <v>363</v>
      </c>
      <c r="F479" s="159" t="s">
        <v>144</v>
      </c>
      <c r="G479" s="160" t="s">
        <v>373</v>
      </c>
      <c r="H479" s="161">
        <v>10</v>
      </c>
      <c r="I479" s="161">
        <v>0</v>
      </c>
      <c r="J479" s="127">
        <v>60324000</v>
      </c>
      <c r="K479" s="88" t="s">
        <v>398</v>
      </c>
      <c r="L479" s="159" t="s">
        <v>155</v>
      </c>
      <c r="M479" s="162" t="s">
        <v>422</v>
      </c>
      <c r="N479" s="23" t="s">
        <v>197</v>
      </c>
      <c r="O479" s="151" t="s">
        <v>945</v>
      </c>
      <c r="P479" s="159" t="s">
        <v>348</v>
      </c>
      <c r="Q479" s="53" t="s">
        <v>766</v>
      </c>
      <c r="R479" s="162" t="s">
        <v>208</v>
      </c>
      <c r="S479" s="162" t="str">
        <f>MID(PAA[[#This Row],[Meta Proyecto de Inversión]],1,4)</f>
        <v>8126</v>
      </c>
      <c r="T479" s="162" t="str">
        <f>MID(PAA[[#This Row],[Meta Proyecto de Inversión]],6,1)</f>
        <v>9</v>
      </c>
      <c r="U479" s="163" t="str">
        <f>IFERROR(VLOOKUP(N479,TD!$B$50:$F$54,2,0)," ")</f>
        <v>O230117</v>
      </c>
      <c r="V479" s="163" t="str">
        <f>IFERROR(VLOOKUP(N479,TD!$B$50:$F$54,3,0)," ")</f>
        <v>4599</v>
      </c>
      <c r="W479" s="163">
        <f>IFERROR(VLOOKUP(N479,TD!$B$50:$F$54,4,0)," ")</f>
        <v>20240207</v>
      </c>
      <c r="X479" s="162" t="s">
        <v>174</v>
      </c>
      <c r="Y479" s="163" t="str">
        <f>IFERROR(VLOOKUP(X479,TD!$J$51:$K$64,2,0)," ")</f>
        <v>Infraestructura física, mantenimiento y dotación (Sedes construidas, mantenidas reforzadas)</v>
      </c>
      <c r="Z479" s="164" t="str">
        <f>CONCATENATE(X479,"-",Y479)</f>
        <v>08-Infraestructura física, mantenimiento y dotación (Sedes construidas, mantenidas reforzadas)</v>
      </c>
      <c r="AA479" s="162" t="s">
        <v>227</v>
      </c>
      <c r="AB479" s="163" t="str">
        <f>IFERROR(VLOOKUP(AA479,TD!$N$51:$O$66,2,0)," ")</f>
        <v>Sedes mantenidas</v>
      </c>
      <c r="AC479" s="164" t="str">
        <f>CONCATENATE(AA479,"_",AB479)</f>
        <v>016_Sedes mantenidas</v>
      </c>
      <c r="AD479" s="164" t="str">
        <f>CONCATENATE(Z479," ",AC479)</f>
        <v>08-Infraestructura física, mantenimiento y dotación (Sedes construidas, mantenidas reforzadas) 016_Sedes mantenidas</v>
      </c>
      <c r="AE479" s="163" t="str">
        <f>CONCATENATE(U479,V479,W479,X479,AA479)</f>
        <v>O23011745992024020708016</v>
      </c>
      <c r="AF479" s="163" t="str">
        <f>IFERROR(VLOOKUP(AD479,TD!$J$66:$K$89,2,0)," ")</f>
        <v>PM/0131/0108/45990160207</v>
      </c>
      <c r="AG479" s="118" t="s">
        <v>385</v>
      </c>
      <c r="AH479" s="162" t="s">
        <v>193</v>
      </c>
      <c r="AI479" s="165" t="str">
        <f>CONCATENATE(PAA[[#This Row],[Id Interno]],"-",PAA[[#This Row],[tipo de Contrato (TH talento humano - B/S bienes y/o servicios)]],"-",S479,"-",T479,"-",PAA[[#This Row],[Objeto de la contratación]])</f>
        <v>20260464-TH-8126-9-Prestación de servicios profesionales para atender las actividades financieras, a cargo de la Subdirección de Gestión Corporativa-SGC</v>
      </c>
    </row>
    <row r="480" spans="2:35" ht="56" x14ac:dyDescent="0.35">
      <c r="B480" s="23">
        <v>20260465</v>
      </c>
      <c r="C480" s="99" t="s">
        <v>714</v>
      </c>
      <c r="D480" s="23" t="s">
        <v>105</v>
      </c>
      <c r="E480" s="23" t="s">
        <v>363</v>
      </c>
      <c r="F480" s="159" t="s">
        <v>145</v>
      </c>
      <c r="G480" s="160" t="s">
        <v>373</v>
      </c>
      <c r="H480" s="161">
        <v>11</v>
      </c>
      <c r="I480" s="161">
        <v>0</v>
      </c>
      <c r="J480" s="127">
        <v>47187000</v>
      </c>
      <c r="K480" s="88" t="s">
        <v>398</v>
      </c>
      <c r="L480" s="159" t="s">
        <v>155</v>
      </c>
      <c r="M480" s="162" t="s">
        <v>422</v>
      </c>
      <c r="N480" s="23" t="s">
        <v>197</v>
      </c>
      <c r="O480" s="151" t="s">
        <v>945</v>
      </c>
      <c r="P480" s="159" t="s">
        <v>348</v>
      </c>
      <c r="Q480" s="53" t="s">
        <v>766</v>
      </c>
      <c r="R480" s="162" t="s">
        <v>208</v>
      </c>
      <c r="S480" s="162" t="str">
        <f>MID(PAA[[#This Row],[Meta Proyecto de Inversión]],1,4)</f>
        <v>8126</v>
      </c>
      <c r="T480" s="162" t="str">
        <f>MID(PAA[[#This Row],[Meta Proyecto de Inversión]],6,1)</f>
        <v>9</v>
      </c>
      <c r="U480" s="163" t="str">
        <f>IFERROR(VLOOKUP(N480,TD!$B$50:$F$54,2,0)," ")</f>
        <v>O230117</v>
      </c>
      <c r="V480" s="163" t="str">
        <f>IFERROR(VLOOKUP(N480,TD!$B$50:$F$54,3,0)," ")</f>
        <v>4599</v>
      </c>
      <c r="W480" s="163">
        <f>IFERROR(VLOOKUP(N480,TD!$B$50:$F$54,4,0)," ")</f>
        <v>20240207</v>
      </c>
      <c r="X480" s="162" t="s">
        <v>174</v>
      </c>
      <c r="Y480" s="163" t="str">
        <f>IFERROR(VLOOKUP(X480,TD!$J$51:$K$64,2,0)," ")</f>
        <v>Infraestructura física, mantenimiento y dotación (Sedes construidas, mantenidas reforzadas)</v>
      </c>
      <c r="Z480" s="164" t="str">
        <f>CONCATENATE(X480,"-",Y480)</f>
        <v>08-Infraestructura física, mantenimiento y dotación (Sedes construidas, mantenidas reforzadas)</v>
      </c>
      <c r="AA480" s="162" t="s">
        <v>227</v>
      </c>
      <c r="AB480" s="163" t="str">
        <f>IFERROR(VLOOKUP(AA480,TD!$N$51:$O$66,2,0)," ")</f>
        <v>Sedes mantenidas</v>
      </c>
      <c r="AC480" s="164" t="str">
        <f>CONCATENATE(AA480,"_",AB480)</f>
        <v>016_Sedes mantenidas</v>
      </c>
      <c r="AD480" s="164" t="str">
        <f>CONCATENATE(Z480," ",AC480)</f>
        <v>08-Infraestructura física, mantenimiento y dotación (Sedes construidas, mantenidas reforzadas) 016_Sedes mantenidas</v>
      </c>
      <c r="AE480" s="163" t="str">
        <f>CONCATENATE(U480,V480,W480,X480,AA480)</f>
        <v>O23011745992024020708016</v>
      </c>
      <c r="AF480" s="163" t="str">
        <f>IFERROR(VLOOKUP(AD480,TD!$J$66:$K$89,2,0)," ")</f>
        <v>PM/0131/0108/45990160207</v>
      </c>
      <c r="AG480" s="118" t="s">
        <v>385</v>
      </c>
      <c r="AH480" s="162" t="s">
        <v>193</v>
      </c>
      <c r="AI480" s="165" t="str">
        <f>CONCATENATE(PAA[[#This Row],[Id Interno]],"-",PAA[[#This Row],[tipo de Contrato (TH talento humano - B/S bienes y/o servicios)]],"-",S480,"-",T480,"-",PAA[[#This Row],[Objeto de la contratación]])</f>
        <v>20260465-TH-8126-9-Prestación de servicios de apoyo a la gestión de los procesos contractuales en la plataforma SECOP II a cargo de la Subdirección de Gestión Corporativa-SGC</v>
      </c>
    </row>
    <row r="481" spans="2:35" ht="56" x14ac:dyDescent="0.35">
      <c r="B481" s="23">
        <v>20260466</v>
      </c>
      <c r="C481" s="99" t="s">
        <v>715</v>
      </c>
      <c r="D481" s="23" t="s">
        <v>105</v>
      </c>
      <c r="E481" s="23" t="s">
        <v>363</v>
      </c>
      <c r="F481" s="159" t="s">
        <v>144</v>
      </c>
      <c r="G481" s="160" t="s">
        <v>373</v>
      </c>
      <c r="H481" s="161">
        <v>10</v>
      </c>
      <c r="I481" s="161">
        <v>0</v>
      </c>
      <c r="J481" s="127">
        <v>73730000</v>
      </c>
      <c r="K481" s="88" t="s">
        <v>398</v>
      </c>
      <c r="L481" s="159" t="s">
        <v>155</v>
      </c>
      <c r="M481" s="162" t="s">
        <v>422</v>
      </c>
      <c r="N481" s="23" t="s">
        <v>197</v>
      </c>
      <c r="O481" s="151" t="s">
        <v>945</v>
      </c>
      <c r="P481" s="159" t="s">
        <v>348</v>
      </c>
      <c r="Q481" s="53" t="s">
        <v>766</v>
      </c>
      <c r="R481" s="162" t="s">
        <v>208</v>
      </c>
      <c r="S481" s="162" t="str">
        <f>MID(PAA[[#This Row],[Meta Proyecto de Inversión]],1,4)</f>
        <v>8126</v>
      </c>
      <c r="T481" s="162" t="str">
        <f>MID(PAA[[#This Row],[Meta Proyecto de Inversión]],6,1)</f>
        <v>9</v>
      </c>
      <c r="U481" s="163" t="str">
        <f>IFERROR(VLOOKUP(N481,TD!$B$50:$F$54,2,0)," ")</f>
        <v>O230117</v>
      </c>
      <c r="V481" s="163" t="str">
        <f>IFERROR(VLOOKUP(N481,TD!$B$50:$F$54,3,0)," ")</f>
        <v>4599</v>
      </c>
      <c r="W481" s="163">
        <f>IFERROR(VLOOKUP(N481,TD!$B$50:$F$54,4,0)," ")</f>
        <v>20240207</v>
      </c>
      <c r="X481" s="162" t="s">
        <v>174</v>
      </c>
      <c r="Y481" s="163" t="str">
        <f>IFERROR(VLOOKUP(X481,TD!$J$51:$K$64,2,0)," ")</f>
        <v>Infraestructura física, mantenimiento y dotación (Sedes construidas, mantenidas reforzadas)</v>
      </c>
      <c r="Z481" s="164" t="str">
        <f>CONCATENATE(X481,"-",Y481)</f>
        <v>08-Infraestructura física, mantenimiento y dotación (Sedes construidas, mantenidas reforzadas)</v>
      </c>
      <c r="AA481" s="162" t="s">
        <v>227</v>
      </c>
      <c r="AB481" s="163" t="str">
        <f>IFERROR(VLOOKUP(AA481,TD!$N$51:$O$66,2,0)," ")</f>
        <v>Sedes mantenidas</v>
      </c>
      <c r="AC481" s="164" t="str">
        <f>CONCATENATE(AA481,"_",AB481)</f>
        <v>016_Sedes mantenidas</v>
      </c>
      <c r="AD481" s="164" t="str">
        <f>CONCATENATE(Z481," ",AC481)</f>
        <v>08-Infraestructura física, mantenimiento y dotación (Sedes construidas, mantenidas reforzadas) 016_Sedes mantenidas</v>
      </c>
      <c r="AE481" s="163" t="str">
        <f>CONCATENATE(U481,V481,W481,X481,AA481)</f>
        <v>O23011745992024020708016</v>
      </c>
      <c r="AF481" s="163" t="str">
        <f>IFERROR(VLOOKUP(AD481,TD!$J$66:$K$89,2,0)," ")</f>
        <v>PM/0131/0108/45990160207</v>
      </c>
      <c r="AG481" s="118" t="s">
        <v>385</v>
      </c>
      <c r="AH481" s="162" t="s">
        <v>193</v>
      </c>
      <c r="AI481" s="165" t="str">
        <f>CONCATENATE(PAA[[#This Row],[Id Interno]],"-",PAA[[#This Row],[tipo de Contrato (TH talento humano - B/S bienes y/o servicios)]],"-",S481,"-",T481,"-",PAA[[#This Row],[Objeto de la contratación]])</f>
        <v>20260466-TH-8126-9-Prestación de servicios profesionales en el marco de las actividades administrativas de la Subdirección de Gestión Corporativa--SGC</v>
      </c>
    </row>
    <row r="482" spans="2:35" ht="56" x14ac:dyDescent="0.35">
      <c r="B482" s="23">
        <v>20260467</v>
      </c>
      <c r="C482" s="99" t="s">
        <v>716</v>
      </c>
      <c r="D482" s="23" t="s">
        <v>105</v>
      </c>
      <c r="E482" s="23" t="s">
        <v>363</v>
      </c>
      <c r="F482" s="159" t="s">
        <v>144</v>
      </c>
      <c r="G482" s="160" t="s">
        <v>373</v>
      </c>
      <c r="H482" s="161">
        <v>11</v>
      </c>
      <c r="I482" s="161">
        <v>0</v>
      </c>
      <c r="J482" s="127">
        <v>56772000</v>
      </c>
      <c r="K482" s="88" t="s">
        <v>398</v>
      </c>
      <c r="L482" s="159" t="s">
        <v>155</v>
      </c>
      <c r="M482" s="162" t="s">
        <v>422</v>
      </c>
      <c r="N482" s="23" t="s">
        <v>197</v>
      </c>
      <c r="O482" s="151" t="s">
        <v>945</v>
      </c>
      <c r="P482" s="159" t="s">
        <v>348</v>
      </c>
      <c r="Q482" s="53" t="s">
        <v>766</v>
      </c>
      <c r="R482" s="162" t="s">
        <v>208</v>
      </c>
      <c r="S482" s="162" t="str">
        <f>MID(PAA[[#This Row],[Meta Proyecto de Inversión]],1,4)</f>
        <v>8126</v>
      </c>
      <c r="T482" s="162" t="str">
        <f>MID(PAA[[#This Row],[Meta Proyecto de Inversión]],6,1)</f>
        <v>9</v>
      </c>
      <c r="U482" s="163" t="str">
        <f>IFERROR(VLOOKUP(N482,TD!$B$50:$F$54,2,0)," ")</f>
        <v>O230117</v>
      </c>
      <c r="V482" s="163" t="str">
        <f>IFERROR(VLOOKUP(N482,TD!$B$50:$F$54,3,0)," ")</f>
        <v>4599</v>
      </c>
      <c r="W482" s="163">
        <f>IFERROR(VLOOKUP(N482,TD!$B$50:$F$54,4,0)," ")</f>
        <v>20240207</v>
      </c>
      <c r="X482" s="162" t="s">
        <v>174</v>
      </c>
      <c r="Y482" s="163" t="str">
        <f>IFERROR(VLOOKUP(X482,TD!$J$51:$K$64,2,0)," ")</f>
        <v>Infraestructura física, mantenimiento y dotación (Sedes construidas, mantenidas reforzadas)</v>
      </c>
      <c r="Z482" s="164" t="str">
        <f>CONCATENATE(X482,"-",Y482)</f>
        <v>08-Infraestructura física, mantenimiento y dotación (Sedes construidas, mantenidas reforzadas)</v>
      </c>
      <c r="AA482" s="162" t="s">
        <v>227</v>
      </c>
      <c r="AB482" s="163" t="str">
        <f>IFERROR(VLOOKUP(AA482,TD!$N$51:$O$66,2,0)," ")</f>
        <v>Sedes mantenidas</v>
      </c>
      <c r="AC482" s="164" t="str">
        <f>CONCATENATE(AA482,"_",AB482)</f>
        <v>016_Sedes mantenidas</v>
      </c>
      <c r="AD482" s="164" t="str">
        <f>CONCATENATE(Z482," ",AC482)</f>
        <v>08-Infraestructura física, mantenimiento y dotación (Sedes construidas, mantenidas reforzadas) 016_Sedes mantenidas</v>
      </c>
      <c r="AE482" s="163" t="str">
        <f>CONCATENATE(U482,V482,W482,X482,AA482)</f>
        <v>O23011745992024020708016</v>
      </c>
      <c r="AF482" s="163" t="str">
        <f>IFERROR(VLOOKUP(AD482,TD!$J$66:$K$89,2,0)," ")</f>
        <v>PM/0131/0108/45990160207</v>
      </c>
      <c r="AG482" s="118" t="s">
        <v>385</v>
      </c>
      <c r="AH482" s="162" t="s">
        <v>193</v>
      </c>
      <c r="AI482" s="165" t="str">
        <f>CONCATENATE(PAA[[#This Row],[Id Interno]],"-",PAA[[#This Row],[tipo de Contrato (TH talento humano - B/S bienes y/o servicios)]],"-",S482,"-",T482,"-",PAA[[#This Row],[Objeto de la contratación]])</f>
        <v>20260467-TH-8126-9-Prestar los servicios profesionales de la gestión administrativa, así como la adquisición de bienes y servicios de la Subdirección de Gestión Corporativa  SGC</v>
      </c>
    </row>
    <row r="483" spans="2:35" ht="56" x14ac:dyDescent="0.35">
      <c r="B483" s="23">
        <v>20260468</v>
      </c>
      <c r="C483" s="99" t="s">
        <v>717</v>
      </c>
      <c r="D483" s="23" t="s">
        <v>105</v>
      </c>
      <c r="E483" s="23" t="s">
        <v>363</v>
      </c>
      <c r="F483" s="159" t="s">
        <v>144</v>
      </c>
      <c r="G483" s="160" t="s">
        <v>373</v>
      </c>
      <c r="H483" s="161">
        <v>11</v>
      </c>
      <c r="I483" s="161">
        <v>0</v>
      </c>
      <c r="J483" s="127">
        <v>75204000</v>
      </c>
      <c r="K483" s="88" t="s">
        <v>398</v>
      </c>
      <c r="L483" s="159" t="s">
        <v>155</v>
      </c>
      <c r="M483" s="162" t="s">
        <v>422</v>
      </c>
      <c r="N483" s="23" t="s">
        <v>198</v>
      </c>
      <c r="O483" s="151" t="s">
        <v>946</v>
      </c>
      <c r="P483" s="159" t="s">
        <v>348</v>
      </c>
      <c r="Q483" s="53" t="s">
        <v>766</v>
      </c>
      <c r="R483" s="162" t="s">
        <v>216</v>
      </c>
      <c r="S483" s="162" t="str">
        <f>MID(PAA[[#This Row],[Meta Proyecto de Inversión]],1,4)</f>
        <v>8173</v>
      </c>
      <c r="T483" s="162" t="str">
        <f>MID(PAA[[#This Row],[Meta Proyecto de Inversión]],6,1)</f>
        <v>7</v>
      </c>
      <c r="U483" s="163" t="str">
        <f>IFERROR(VLOOKUP(N483,TD!$B$50:$F$54,2,0)," ")</f>
        <v>O230117</v>
      </c>
      <c r="V483" s="163" t="str">
        <f>IFERROR(VLOOKUP(N483,TD!$B$50:$F$54,3,0)," ")</f>
        <v>4503</v>
      </c>
      <c r="W483" s="163">
        <f>IFERROR(VLOOKUP(N483,TD!$B$50:$F$54,4,0)," ")</f>
        <v>20240255</v>
      </c>
      <c r="X483" s="162">
        <v>14</v>
      </c>
      <c r="Y483" s="163" t="str">
        <f>IFERROR(VLOOKUP(X483,TD!$J$51:$K$64,2,0)," ")</f>
        <v xml:space="preserve">Infraestructura física misional construida mantenida y dotada </v>
      </c>
      <c r="Z483" s="164" t="str">
        <f>CONCATENATE(X483,"-",Y483)</f>
        <v xml:space="preserve">14-Infraestructura física misional construida mantenida y dotada </v>
      </c>
      <c r="AA483" s="162" t="s">
        <v>225</v>
      </c>
      <c r="AB483" s="163" t="str">
        <f>IFERROR(VLOOKUP(AA483,TD!$N$51:$O$66,2,0)," ")</f>
        <v>Estaciones de bomberos adecuadas</v>
      </c>
      <c r="AC483" s="164" t="str">
        <f>CONCATENATE(AA483,"_",AB483)</f>
        <v>014_Estaciones de bomberos adecuadas</v>
      </c>
      <c r="AD483" s="164" t="str">
        <f>CONCATENATE(Z483," ",AC483)</f>
        <v>14-Infraestructura física misional construida mantenida y dotada  014_Estaciones de bomberos adecuadas</v>
      </c>
      <c r="AE483" s="163" t="str">
        <f>CONCATENATE(U483,V483,W483,X483,AA483)</f>
        <v>O23011745032024025514014</v>
      </c>
      <c r="AF483" s="163" t="str">
        <f>IFERROR(VLOOKUP(AD483,TD!$J$66:$K$89,2,0)," ")</f>
        <v>PM/0131/0114/45030140255</v>
      </c>
      <c r="AG483" s="118" t="s">
        <v>385</v>
      </c>
      <c r="AH483" s="162" t="s">
        <v>193</v>
      </c>
      <c r="AI483" s="165" t="str">
        <f>CONCATENATE(PAA[[#This Row],[Id Interno]],"-",PAA[[#This Row],[tipo de Contrato (TH talento humano - B/S bienes y/o servicios)]],"-",S483,"-",T483,"-",PAA[[#This Row],[Objeto de la contratación]])</f>
        <v>20260468-TH-8173-7-Prestar servicios profesionales para realizar acompañamiento en los procesos contractuales adelantados por la Subdirección Gestión Corporativa -SGC</v>
      </c>
    </row>
    <row r="484" spans="2:35" ht="56" x14ac:dyDescent="0.35">
      <c r="B484" s="23">
        <v>20260469</v>
      </c>
      <c r="C484" s="99" t="s">
        <v>718</v>
      </c>
      <c r="D484" s="23" t="s">
        <v>105</v>
      </c>
      <c r="E484" s="23" t="s">
        <v>363</v>
      </c>
      <c r="F484" s="159" t="s">
        <v>144</v>
      </c>
      <c r="G484" s="160" t="s">
        <v>373</v>
      </c>
      <c r="H484" s="161">
        <v>11</v>
      </c>
      <c r="I484" s="161">
        <v>0</v>
      </c>
      <c r="J484" s="127">
        <v>75204000</v>
      </c>
      <c r="K484" s="88" t="s">
        <v>398</v>
      </c>
      <c r="L484" s="159" t="s">
        <v>155</v>
      </c>
      <c r="M484" s="162" t="s">
        <v>422</v>
      </c>
      <c r="N484" s="23" t="s">
        <v>198</v>
      </c>
      <c r="O484" s="151" t="s">
        <v>946</v>
      </c>
      <c r="P484" s="159" t="s">
        <v>348</v>
      </c>
      <c r="Q484" s="53" t="s">
        <v>766</v>
      </c>
      <c r="R484" s="162" t="s">
        <v>217</v>
      </c>
      <c r="S484" s="162" t="str">
        <f>MID(PAA[[#This Row],[Meta Proyecto de Inversión]],1,4)</f>
        <v>8173</v>
      </c>
      <c r="T484" s="162" t="str">
        <f>MID(PAA[[#This Row],[Meta Proyecto de Inversión]],6,1)</f>
        <v>8</v>
      </c>
      <c r="U484" s="163" t="str">
        <f>IFERROR(VLOOKUP(N484,TD!$B$50:$F$54,2,0)," ")</f>
        <v>O230117</v>
      </c>
      <c r="V484" s="163" t="str">
        <f>IFERROR(VLOOKUP(N484,TD!$B$50:$F$54,3,0)," ")</f>
        <v>4503</v>
      </c>
      <c r="W484" s="163">
        <f>IFERROR(VLOOKUP(N484,TD!$B$50:$F$54,4,0)," ")</f>
        <v>20240255</v>
      </c>
      <c r="X484" s="162">
        <v>14</v>
      </c>
      <c r="Y484" s="163" t="str">
        <f>IFERROR(VLOOKUP(X484,TD!$J$51:$K$64,2,0)," ")</f>
        <v xml:space="preserve">Infraestructura física misional construida mantenida y dotada </v>
      </c>
      <c r="Z484" s="164" t="str">
        <f>CONCATENATE(X484,"-",Y484)</f>
        <v xml:space="preserve">14-Infraestructura física misional construida mantenida y dotada </v>
      </c>
      <c r="AA484" s="162" t="s">
        <v>226</v>
      </c>
      <c r="AB484" s="163" t="str">
        <f>IFERROR(VLOOKUP(AA484,TD!$N$51:$O$66,2,0)," ")</f>
        <v>Estaciones de bomberos construidas</v>
      </c>
      <c r="AC484" s="164" t="str">
        <f>CONCATENATE(AA484,"_",AB484)</f>
        <v>015_Estaciones de bomberos construidas</v>
      </c>
      <c r="AD484" s="164" t="str">
        <f>CONCATENATE(Z484," ",AC484)</f>
        <v>14-Infraestructura física misional construida mantenida y dotada  015_Estaciones de bomberos construidas</v>
      </c>
      <c r="AE484" s="163" t="str">
        <f>CONCATENATE(U484,V484,W484,X484,AA484)</f>
        <v>O23011745032024025514015</v>
      </c>
      <c r="AF484" s="163" t="str">
        <f>IFERROR(VLOOKUP(AD484,TD!$J$66:$K$89,2,0)," ")</f>
        <v>PM/0131/0114/45030150255</v>
      </c>
      <c r="AG484" s="118" t="s">
        <v>385</v>
      </c>
      <c r="AH484" s="162" t="s">
        <v>193</v>
      </c>
      <c r="AI484" s="165" t="str">
        <f>CONCATENATE(PAA[[#This Row],[Id Interno]],"-",PAA[[#This Row],[tipo de Contrato (TH talento humano - B/S bienes y/o servicios)]],"-",S484,"-",T484,"-",PAA[[#This Row],[Objeto de la contratación]])</f>
        <v>20260469-TH-8173-8-Prestar los servicios profesionales jurídicos para apoyar las actividades propias, en procesos prediales que contribuyan al desarrollo de la infraestructura requerida por la entidad para la adecuada prestación del servicio-SGC</v>
      </c>
    </row>
    <row r="485" spans="2:35" ht="70" x14ac:dyDescent="0.35">
      <c r="B485" s="23">
        <v>20260470</v>
      </c>
      <c r="C485" s="99" t="s">
        <v>719</v>
      </c>
      <c r="D485" s="23" t="s">
        <v>105</v>
      </c>
      <c r="E485" s="23" t="s">
        <v>363</v>
      </c>
      <c r="F485" s="159" t="s">
        <v>144</v>
      </c>
      <c r="G485" s="160" t="s">
        <v>373</v>
      </c>
      <c r="H485" s="161">
        <v>11</v>
      </c>
      <c r="I485" s="161">
        <v>0</v>
      </c>
      <c r="J485" s="127">
        <v>75204000</v>
      </c>
      <c r="K485" s="88" t="s">
        <v>398</v>
      </c>
      <c r="L485" s="159" t="s">
        <v>155</v>
      </c>
      <c r="M485" s="162" t="s">
        <v>422</v>
      </c>
      <c r="N485" s="23" t="s">
        <v>198</v>
      </c>
      <c r="O485" s="151" t="s">
        <v>946</v>
      </c>
      <c r="P485" s="159" t="s">
        <v>348</v>
      </c>
      <c r="Q485" s="53" t="s">
        <v>766</v>
      </c>
      <c r="R485" s="162" t="s">
        <v>219</v>
      </c>
      <c r="S485" s="162" t="str">
        <f>MID(PAA[[#This Row],[Meta Proyecto de Inversión]],1,4)</f>
        <v>8173</v>
      </c>
      <c r="T485" s="162" t="str">
        <f>MID(PAA[[#This Row],[Meta Proyecto de Inversión]],6,1)</f>
        <v>1</v>
      </c>
      <c r="U485" s="163" t="str">
        <f>IFERROR(VLOOKUP(N485,TD!$B$50:$F$54,2,0)," ")</f>
        <v>O230117</v>
      </c>
      <c r="V485" s="163" t="str">
        <f>IFERROR(VLOOKUP(N485,TD!$B$50:$F$54,3,0)," ")</f>
        <v>4503</v>
      </c>
      <c r="W485" s="163">
        <f>IFERROR(VLOOKUP(N485,TD!$B$50:$F$54,4,0)," ")</f>
        <v>20240255</v>
      </c>
      <c r="X485" s="162" t="s">
        <v>174</v>
      </c>
      <c r="Y485" s="163" t="str">
        <f>IFERROR(VLOOKUP(X485,TD!$J$51:$K$64,2,0)," ")</f>
        <v>Infraestructura física, mantenimiento y dotación (Sedes construidas, mantenidas reforzadas)</v>
      </c>
      <c r="Z485" s="164" t="str">
        <f>CONCATENATE(X485,"-",Y485)</f>
        <v>08-Infraestructura física, mantenimiento y dotación (Sedes construidas, mantenidas reforzadas)</v>
      </c>
      <c r="AA485" s="162" t="s">
        <v>282</v>
      </c>
      <c r="AB485" s="163" t="str">
        <f>IFERROR(VLOOKUP(AA485,TD!$N$51:$O$66,2,0)," ")</f>
        <v>Documentos de lineamientos técnicos</v>
      </c>
      <c r="AC485" s="164" t="str">
        <f>CONCATENATE(AA485,"_",AB485)</f>
        <v>031__Documentos de lineamientos técnicos</v>
      </c>
      <c r="AD485" s="164" t="str">
        <f>CONCATENATE(Z485," ",AC485)</f>
        <v>08-Infraestructura física, mantenimiento y dotación (Sedes construidas, mantenidas reforzadas) 031__Documentos de lineamientos técnicos</v>
      </c>
      <c r="AE485" s="163" t="str">
        <f>CONCATENATE(U485,V485,W485,X485,AA485)</f>
        <v>O23011745032024025508031_</v>
      </c>
      <c r="AF485" s="163" t="str">
        <f>IFERROR(VLOOKUP(AD485,TD!$J$66:$K$89,2,0)," ")</f>
        <v>PM/0131/0108/45030310255</v>
      </c>
      <c r="AG485" s="118" t="s">
        <v>385</v>
      </c>
      <c r="AH485" s="162" t="s">
        <v>193</v>
      </c>
      <c r="AI485" s="165" t="str">
        <f>CONCATENATE(PAA[[#This Row],[Id Interno]],"-",PAA[[#This Row],[tipo de Contrato (TH talento humano - B/S bienes y/o servicios)]],"-",S485,"-",T485,"-",PAA[[#This Row],[Objeto de la contratación]])</f>
        <v>20260470-TH-8173-1-Prestar los servicios profesionales técnicos para apoyar las actividades propias que contribuyan al desarrollo de la infraestructura requerida por la entidad para la adecuada prestación del servicio-SGC</v>
      </c>
    </row>
    <row r="486" spans="2:35" ht="70" x14ac:dyDescent="0.35">
      <c r="B486" s="23">
        <v>20260471</v>
      </c>
      <c r="C486" s="99" t="s">
        <v>720</v>
      </c>
      <c r="D486" s="23" t="s">
        <v>105</v>
      </c>
      <c r="E486" s="23" t="s">
        <v>363</v>
      </c>
      <c r="F486" s="159" t="s">
        <v>144</v>
      </c>
      <c r="G486" s="160" t="s">
        <v>373</v>
      </c>
      <c r="H486" s="161">
        <v>11</v>
      </c>
      <c r="I486" s="161">
        <v>0</v>
      </c>
      <c r="J486" s="127">
        <v>66357000</v>
      </c>
      <c r="K486" s="88" t="s">
        <v>398</v>
      </c>
      <c r="L486" s="159" t="s">
        <v>155</v>
      </c>
      <c r="M486" s="162" t="s">
        <v>422</v>
      </c>
      <c r="N486" s="23" t="s">
        <v>198</v>
      </c>
      <c r="O486" s="151" t="s">
        <v>946</v>
      </c>
      <c r="P486" s="159" t="s">
        <v>348</v>
      </c>
      <c r="Q486" s="53" t="s">
        <v>766</v>
      </c>
      <c r="R486" s="162" t="s">
        <v>216</v>
      </c>
      <c r="S486" s="162" t="str">
        <f>MID(PAA[[#This Row],[Meta Proyecto de Inversión]],1,4)</f>
        <v>8173</v>
      </c>
      <c r="T486" s="162" t="str">
        <f>MID(PAA[[#This Row],[Meta Proyecto de Inversión]],6,1)</f>
        <v>7</v>
      </c>
      <c r="U486" s="163" t="str">
        <f>IFERROR(VLOOKUP(N486,TD!$B$50:$F$54,2,0)," ")</f>
        <v>O230117</v>
      </c>
      <c r="V486" s="163" t="str">
        <f>IFERROR(VLOOKUP(N486,TD!$B$50:$F$54,3,0)," ")</f>
        <v>4503</v>
      </c>
      <c r="W486" s="163">
        <f>IFERROR(VLOOKUP(N486,TD!$B$50:$F$54,4,0)," ")</f>
        <v>20240255</v>
      </c>
      <c r="X486" s="162">
        <v>14</v>
      </c>
      <c r="Y486" s="163" t="str">
        <f>IFERROR(VLOOKUP(X486,TD!$J$51:$K$64,2,0)," ")</f>
        <v xml:space="preserve">Infraestructura física misional construida mantenida y dotada </v>
      </c>
      <c r="Z486" s="164" t="str">
        <f>CONCATENATE(X486,"-",Y486)</f>
        <v xml:space="preserve">14-Infraestructura física misional construida mantenida y dotada </v>
      </c>
      <c r="AA486" s="162" t="s">
        <v>225</v>
      </c>
      <c r="AB486" s="163" t="str">
        <f>IFERROR(VLOOKUP(AA486,TD!$N$51:$O$66,2,0)," ")</f>
        <v>Estaciones de bomberos adecuadas</v>
      </c>
      <c r="AC486" s="164" t="str">
        <f>CONCATENATE(AA486,"_",AB486)</f>
        <v>014_Estaciones de bomberos adecuadas</v>
      </c>
      <c r="AD486" s="164" t="str">
        <f>CONCATENATE(Z486," ",AC486)</f>
        <v>14-Infraestructura física misional construida mantenida y dotada  014_Estaciones de bomberos adecuadas</v>
      </c>
      <c r="AE486" s="163" t="str">
        <f>CONCATENATE(U486,V486,W486,X486,AA486)</f>
        <v>O23011745032024025514014</v>
      </c>
      <c r="AF486" s="163" t="str">
        <f>IFERROR(VLOOKUP(AD486,TD!$J$66:$K$89,2,0)," ")</f>
        <v>PM/0131/0114/45030140255</v>
      </c>
      <c r="AG486" s="118" t="s">
        <v>385</v>
      </c>
      <c r="AH486" s="162" t="s">
        <v>193</v>
      </c>
      <c r="AI486" s="165" t="str">
        <f>CONCATENATE(PAA[[#This Row],[Id Interno]],"-",PAA[[#This Row],[tipo de Contrato (TH talento humano - B/S bienes y/o servicios)]],"-",S486,"-",T486,"-",PAA[[#This Row],[Objeto de la contratación]])</f>
        <v>20260471-TH-8173-7-Prestar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v>
      </c>
    </row>
    <row r="487" spans="2:35" ht="70" x14ac:dyDescent="0.35">
      <c r="B487" s="23">
        <v>20260472</v>
      </c>
      <c r="C487" s="99" t="s">
        <v>721</v>
      </c>
      <c r="D487" s="23" t="s">
        <v>105</v>
      </c>
      <c r="E487" s="23" t="s">
        <v>363</v>
      </c>
      <c r="F487" s="159" t="s">
        <v>144</v>
      </c>
      <c r="G487" s="160" t="s">
        <v>373</v>
      </c>
      <c r="H487" s="161">
        <v>11</v>
      </c>
      <c r="I487" s="161">
        <v>0</v>
      </c>
      <c r="J487" s="127">
        <v>82500000</v>
      </c>
      <c r="K487" s="88" t="s">
        <v>398</v>
      </c>
      <c r="L487" s="159" t="s">
        <v>155</v>
      </c>
      <c r="M487" s="162" t="s">
        <v>422</v>
      </c>
      <c r="N487" s="23" t="s">
        <v>198</v>
      </c>
      <c r="O487" s="151" t="s">
        <v>946</v>
      </c>
      <c r="P487" s="159" t="s">
        <v>348</v>
      </c>
      <c r="Q487" s="53" t="s">
        <v>766</v>
      </c>
      <c r="R487" s="162" t="s">
        <v>216</v>
      </c>
      <c r="S487" s="162" t="str">
        <f>MID(PAA[[#This Row],[Meta Proyecto de Inversión]],1,4)</f>
        <v>8173</v>
      </c>
      <c r="T487" s="162" t="str">
        <f>MID(PAA[[#This Row],[Meta Proyecto de Inversión]],6,1)</f>
        <v>7</v>
      </c>
      <c r="U487" s="163" t="str">
        <f>IFERROR(VLOOKUP(N487,TD!$B$50:$F$54,2,0)," ")</f>
        <v>O230117</v>
      </c>
      <c r="V487" s="163" t="str">
        <f>IFERROR(VLOOKUP(N487,TD!$B$50:$F$54,3,0)," ")</f>
        <v>4503</v>
      </c>
      <c r="W487" s="163">
        <f>IFERROR(VLOOKUP(N487,TD!$B$50:$F$54,4,0)," ")</f>
        <v>20240255</v>
      </c>
      <c r="X487" s="162">
        <v>14</v>
      </c>
      <c r="Y487" s="163" t="str">
        <f>IFERROR(VLOOKUP(X487,TD!$J$51:$K$64,2,0)," ")</f>
        <v xml:space="preserve">Infraestructura física misional construida mantenida y dotada </v>
      </c>
      <c r="Z487" s="164" t="str">
        <f>CONCATENATE(X487,"-",Y487)</f>
        <v xml:space="preserve">14-Infraestructura física misional construida mantenida y dotada </v>
      </c>
      <c r="AA487" s="162" t="s">
        <v>225</v>
      </c>
      <c r="AB487" s="163" t="str">
        <f>IFERROR(VLOOKUP(AA487,TD!$N$51:$O$66,2,0)," ")</f>
        <v>Estaciones de bomberos adecuadas</v>
      </c>
      <c r="AC487" s="164" t="str">
        <f>CONCATENATE(AA487,"_",AB487)</f>
        <v>014_Estaciones de bomberos adecuadas</v>
      </c>
      <c r="AD487" s="164" t="str">
        <f>CONCATENATE(Z487," ",AC487)</f>
        <v>14-Infraestructura física misional construida mantenida y dotada  014_Estaciones de bomberos adecuadas</v>
      </c>
      <c r="AE487" s="163" t="str">
        <f>CONCATENATE(U487,V487,W487,X487,AA487)</f>
        <v>O23011745032024025514014</v>
      </c>
      <c r="AF487" s="163" t="str">
        <f>IFERROR(VLOOKUP(AD487,TD!$J$66:$K$89,2,0)," ")</f>
        <v>PM/0131/0114/45030140255</v>
      </c>
      <c r="AG487" s="118" t="s">
        <v>385</v>
      </c>
      <c r="AH487" s="162" t="s">
        <v>193</v>
      </c>
      <c r="AI487" s="165" t="str">
        <f>CONCATENATE(PAA[[#This Row],[Id Interno]],"-",PAA[[#This Row],[tipo de Contrato (TH talento humano - B/S bienes y/o servicios)]],"-",S487,"-",T487,"-",PAA[[#This Row],[Objeto de la contratación]])</f>
        <v>20260472-TH-8173-7-Prestar servicios profesionales como ingeniero mecanico para apoyar las actividades propias que contribuyan al desarrollo de la infraestructura requerida por la entidad para la adecuada prestación del servicio-SGC</v>
      </c>
    </row>
    <row r="488" spans="2:35" ht="56" x14ac:dyDescent="0.35">
      <c r="B488" s="23">
        <v>20260473</v>
      </c>
      <c r="C488" s="99" t="s">
        <v>681</v>
      </c>
      <c r="D488" s="23" t="s">
        <v>105</v>
      </c>
      <c r="E488" s="23" t="s">
        <v>363</v>
      </c>
      <c r="F488" s="159" t="s">
        <v>145</v>
      </c>
      <c r="G488" s="160" t="s">
        <v>373</v>
      </c>
      <c r="H488" s="161">
        <v>11</v>
      </c>
      <c r="I488" s="161">
        <v>0</v>
      </c>
      <c r="J488" s="127">
        <v>30966000</v>
      </c>
      <c r="K488" s="88" t="s">
        <v>398</v>
      </c>
      <c r="L488" s="159" t="s">
        <v>155</v>
      </c>
      <c r="M488" s="162" t="s">
        <v>422</v>
      </c>
      <c r="N488" s="23" t="s">
        <v>197</v>
      </c>
      <c r="O488" s="151" t="s">
        <v>945</v>
      </c>
      <c r="P488" s="159" t="s">
        <v>348</v>
      </c>
      <c r="Q488" s="53" t="s">
        <v>766</v>
      </c>
      <c r="R488" s="162" t="s">
        <v>208</v>
      </c>
      <c r="S488" s="162" t="str">
        <f>MID(PAA[[#This Row],[Meta Proyecto de Inversión]],1,4)</f>
        <v>8126</v>
      </c>
      <c r="T488" s="162" t="str">
        <f>MID(PAA[[#This Row],[Meta Proyecto de Inversión]],6,1)</f>
        <v>9</v>
      </c>
      <c r="U488" s="163" t="str">
        <f>IFERROR(VLOOKUP(N488,TD!$B$50:$F$54,2,0)," ")</f>
        <v>O230117</v>
      </c>
      <c r="V488" s="163" t="str">
        <f>IFERROR(VLOOKUP(N488,TD!$B$50:$F$54,3,0)," ")</f>
        <v>4599</v>
      </c>
      <c r="W488" s="163">
        <f>IFERROR(VLOOKUP(N488,TD!$B$50:$F$54,4,0)," ")</f>
        <v>20240207</v>
      </c>
      <c r="X488" s="162" t="s">
        <v>174</v>
      </c>
      <c r="Y488" s="163" t="str">
        <f>IFERROR(VLOOKUP(X488,TD!$J$51:$K$64,2,0)," ")</f>
        <v>Infraestructura física, mantenimiento y dotación (Sedes construidas, mantenidas reforzadas)</v>
      </c>
      <c r="Z488" s="164" t="str">
        <f>CONCATENATE(X488,"-",Y488)</f>
        <v>08-Infraestructura física, mantenimiento y dotación (Sedes construidas, mantenidas reforzadas)</v>
      </c>
      <c r="AA488" s="162" t="s">
        <v>227</v>
      </c>
      <c r="AB488" s="163" t="str">
        <f>IFERROR(VLOOKUP(AA488,TD!$N$51:$O$66,2,0)," ")</f>
        <v>Sedes mantenidas</v>
      </c>
      <c r="AC488" s="164" t="str">
        <f>CONCATENATE(AA488,"_",AB488)</f>
        <v>016_Sedes mantenidas</v>
      </c>
      <c r="AD488" s="164" t="str">
        <f>CONCATENATE(Z488," ",AC488)</f>
        <v>08-Infraestructura física, mantenimiento y dotación (Sedes construidas, mantenidas reforzadas) 016_Sedes mantenidas</v>
      </c>
      <c r="AE488" s="163" t="str">
        <f>CONCATENATE(U488,V488,W488,X488,AA488)</f>
        <v>O23011745992024020708016</v>
      </c>
      <c r="AF488" s="163" t="str">
        <f>IFERROR(VLOOKUP(AD488,TD!$J$66:$K$89,2,0)," ")</f>
        <v>PM/0131/0108/45990160207</v>
      </c>
      <c r="AG488" s="118" t="s">
        <v>385</v>
      </c>
      <c r="AH488" s="162" t="s">
        <v>193</v>
      </c>
      <c r="AI488" s="165" t="str">
        <f>CONCATENATE(PAA[[#This Row],[Id Interno]],"-",PAA[[#This Row],[tipo de Contrato (TH talento humano - B/S bienes y/o servicios)]],"-",S488,"-",T488,"-",PAA[[#This Row],[Objeto de la contratación]])</f>
        <v>20260473-TH-8126-9-Prestación de servicios de apoyo a la gestión del proceso de inventarios de la Subdirección de Gestión Corporativa.-SGC</v>
      </c>
    </row>
    <row r="489" spans="2:35" ht="56" x14ac:dyDescent="0.35">
      <c r="B489" s="23">
        <v>20260474</v>
      </c>
      <c r="C489" s="99" t="s">
        <v>681</v>
      </c>
      <c r="D489" s="23" t="s">
        <v>105</v>
      </c>
      <c r="E489" s="23" t="s">
        <v>363</v>
      </c>
      <c r="F489" s="159" t="s">
        <v>145</v>
      </c>
      <c r="G489" s="160" t="s">
        <v>373</v>
      </c>
      <c r="H489" s="161">
        <v>10</v>
      </c>
      <c r="I489" s="161">
        <v>0</v>
      </c>
      <c r="J489" s="127">
        <v>28151000</v>
      </c>
      <c r="K489" s="88" t="s">
        <v>398</v>
      </c>
      <c r="L489" s="159" t="s">
        <v>155</v>
      </c>
      <c r="M489" s="162" t="s">
        <v>422</v>
      </c>
      <c r="N489" s="23" t="s">
        <v>197</v>
      </c>
      <c r="O489" s="151" t="s">
        <v>945</v>
      </c>
      <c r="P489" s="159" t="s">
        <v>348</v>
      </c>
      <c r="Q489" s="53" t="s">
        <v>766</v>
      </c>
      <c r="R489" s="162" t="s">
        <v>208</v>
      </c>
      <c r="S489" s="162" t="str">
        <f>MID(PAA[[#This Row],[Meta Proyecto de Inversión]],1,4)</f>
        <v>8126</v>
      </c>
      <c r="T489" s="162" t="str">
        <f>MID(PAA[[#This Row],[Meta Proyecto de Inversión]],6,1)</f>
        <v>9</v>
      </c>
      <c r="U489" s="163" t="str">
        <f>IFERROR(VLOOKUP(N489,TD!$B$50:$F$54,2,0)," ")</f>
        <v>O230117</v>
      </c>
      <c r="V489" s="163" t="str">
        <f>IFERROR(VLOOKUP(N489,TD!$B$50:$F$54,3,0)," ")</f>
        <v>4599</v>
      </c>
      <c r="W489" s="163">
        <f>IFERROR(VLOOKUP(N489,TD!$B$50:$F$54,4,0)," ")</f>
        <v>20240207</v>
      </c>
      <c r="X489" s="162" t="s">
        <v>174</v>
      </c>
      <c r="Y489" s="163" t="str">
        <f>IFERROR(VLOOKUP(X489,TD!$J$51:$K$64,2,0)," ")</f>
        <v>Infraestructura física, mantenimiento y dotación (Sedes construidas, mantenidas reforzadas)</v>
      </c>
      <c r="Z489" s="164" t="str">
        <f>CONCATENATE(X489,"-",Y489)</f>
        <v>08-Infraestructura física, mantenimiento y dotación (Sedes construidas, mantenidas reforzadas)</v>
      </c>
      <c r="AA489" s="162" t="s">
        <v>227</v>
      </c>
      <c r="AB489" s="163" t="str">
        <f>IFERROR(VLOOKUP(AA489,TD!$N$51:$O$66,2,0)," ")</f>
        <v>Sedes mantenidas</v>
      </c>
      <c r="AC489" s="164" t="str">
        <f>CONCATENATE(AA489,"_",AB489)</f>
        <v>016_Sedes mantenidas</v>
      </c>
      <c r="AD489" s="164" t="str">
        <f>CONCATENATE(Z489," ",AC489)</f>
        <v>08-Infraestructura física, mantenimiento y dotación (Sedes construidas, mantenidas reforzadas) 016_Sedes mantenidas</v>
      </c>
      <c r="AE489" s="163" t="str">
        <f>CONCATENATE(U489,V489,W489,X489,AA489)</f>
        <v>O23011745992024020708016</v>
      </c>
      <c r="AF489" s="163" t="str">
        <f>IFERROR(VLOOKUP(AD489,TD!$J$66:$K$89,2,0)," ")</f>
        <v>PM/0131/0108/45990160207</v>
      </c>
      <c r="AG489" s="118" t="s">
        <v>385</v>
      </c>
      <c r="AH489" s="162" t="s">
        <v>193</v>
      </c>
      <c r="AI489" s="165" t="str">
        <f>CONCATENATE(PAA[[#This Row],[Id Interno]],"-",PAA[[#This Row],[tipo de Contrato (TH talento humano - B/S bienes y/o servicios)]],"-",S489,"-",T489,"-",PAA[[#This Row],[Objeto de la contratación]])</f>
        <v>20260474-TH-8126-9-Prestación de servicios de apoyo a la gestión del proceso de inventarios de la Subdirección de Gestión Corporativa.-SGC</v>
      </c>
    </row>
    <row r="490" spans="2:35" ht="56" x14ac:dyDescent="0.35">
      <c r="B490" s="23">
        <v>20260475</v>
      </c>
      <c r="C490" s="99" t="s">
        <v>686</v>
      </c>
      <c r="D490" s="23" t="s">
        <v>105</v>
      </c>
      <c r="E490" s="23" t="s">
        <v>363</v>
      </c>
      <c r="F490" s="159" t="s">
        <v>145</v>
      </c>
      <c r="G490" s="160" t="s">
        <v>373</v>
      </c>
      <c r="H490" s="161">
        <v>11</v>
      </c>
      <c r="I490" s="161">
        <v>0</v>
      </c>
      <c r="J490" s="127">
        <v>30966000</v>
      </c>
      <c r="K490" s="88" t="s">
        <v>398</v>
      </c>
      <c r="L490" s="159" t="s">
        <v>155</v>
      </c>
      <c r="M490" s="162" t="s">
        <v>422</v>
      </c>
      <c r="N490" s="23" t="s">
        <v>197</v>
      </c>
      <c r="O490" s="151" t="s">
        <v>945</v>
      </c>
      <c r="P490" s="159" t="s">
        <v>348</v>
      </c>
      <c r="Q490" s="53" t="s">
        <v>766</v>
      </c>
      <c r="R490" s="162" t="s">
        <v>208</v>
      </c>
      <c r="S490" s="162" t="str">
        <f>MID(PAA[[#This Row],[Meta Proyecto de Inversión]],1,4)</f>
        <v>8126</v>
      </c>
      <c r="T490" s="162" t="str">
        <f>MID(PAA[[#This Row],[Meta Proyecto de Inversión]],6,1)</f>
        <v>9</v>
      </c>
      <c r="U490" s="163" t="str">
        <f>IFERROR(VLOOKUP(N490,TD!$B$50:$F$54,2,0)," ")</f>
        <v>O230117</v>
      </c>
      <c r="V490" s="163" t="str">
        <f>IFERROR(VLOOKUP(N490,TD!$B$50:$F$54,3,0)," ")</f>
        <v>4599</v>
      </c>
      <c r="W490" s="163">
        <f>IFERROR(VLOOKUP(N490,TD!$B$50:$F$54,4,0)," ")</f>
        <v>20240207</v>
      </c>
      <c r="X490" s="162" t="s">
        <v>174</v>
      </c>
      <c r="Y490" s="163" t="str">
        <f>IFERROR(VLOOKUP(X490,TD!$J$51:$K$64,2,0)," ")</f>
        <v>Infraestructura física, mantenimiento y dotación (Sedes construidas, mantenidas reforzadas)</v>
      </c>
      <c r="Z490" s="164" t="str">
        <f>CONCATENATE(X490,"-",Y490)</f>
        <v>08-Infraestructura física, mantenimiento y dotación (Sedes construidas, mantenidas reforzadas)</v>
      </c>
      <c r="AA490" s="162" t="s">
        <v>227</v>
      </c>
      <c r="AB490" s="163" t="str">
        <f>IFERROR(VLOOKUP(AA490,TD!$N$51:$O$66,2,0)," ")</f>
        <v>Sedes mantenidas</v>
      </c>
      <c r="AC490" s="164" t="str">
        <f>CONCATENATE(AA490,"_",AB490)</f>
        <v>016_Sedes mantenidas</v>
      </c>
      <c r="AD490" s="164" t="str">
        <f>CONCATENATE(Z490," ",AC490)</f>
        <v>08-Infraestructura física, mantenimiento y dotación (Sedes construidas, mantenidas reforzadas) 016_Sedes mantenidas</v>
      </c>
      <c r="AE490" s="163" t="str">
        <f>CONCATENATE(U490,V490,W490,X490,AA490)</f>
        <v>O23011745992024020708016</v>
      </c>
      <c r="AF490" s="163" t="str">
        <f>IFERROR(VLOOKUP(AD490,TD!$J$66:$K$89,2,0)," ")</f>
        <v>PM/0131/0108/45990160207</v>
      </c>
      <c r="AG490" s="118" t="s">
        <v>385</v>
      </c>
      <c r="AH490" s="162" t="s">
        <v>193</v>
      </c>
      <c r="AI490" s="165" t="str">
        <f>CONCATENATE(PAA[[#This Row],[Id Interno]],"-",PAA[[#This Row],[tipo de Contrato (TH talento humano - B/S bienes y/o servicios)]],"-",S490,"-",T490,"-",PAA[[#This Row],[Objeto de la contratación]])</f>
        <v>20260475-TH-8126-9-Prestación de servicios de apoyo a la gestión documental de la Subdirección de Gestión Corporativa de la Unidad.-SGC</v>
      </c>
    </row>
    <row r="491" spans="2:35" ht="56" x14ac:dyDescent="0.35">
      <c r="B491" s="23">
        <v>20260476</v>
      </c>
      <c r="C491" s="99" t="s">
        <v>686</v>
      </c>
      <c r="D491" s="23" t="s">
        <v>105</v>
      </c>
      <c r="E491" s="23" t="s">
        <v>363</v>
      </c>
      <c r="F491" s="159" t="s">
        <v>145</v>
      </c>
      <c r="G491" s="160" t="s">
        <v>373</v>
      </c>
      <c r="H491" s="161">
        <v>11</v>
      </c>
      <c r="I491" s="161">
        <v>0</v>
      </c>
      <c r="J491" s="127">
        <v>42026000</v>
      </c>
      <c r="K491" s="88" t="s">
        <v>398</v>
      </c>
      <c r="L491" s="159" t="s">
        <v>155</v>
      </c>
      <c r="M491" s="162" t="s">
        <v>422</v>
      </c>
      <c r="N491" s="23" t="s">
        <v>197</v>
      </c>
      <c r="O491" s="151" t="s">
        <v>945</v>
      </c>
      <c r="P491" s="159" t="s">
        <v>348</v>
      </c>
      <c r="Q491" s="53" t="s">
        <v>766</v>
      </c>
      <c r="R491" s="162" t="s">
        <v>208</v>
      </c>
      <c r="S491" s="162" t="str">
        <f>MID(PAA[[#This Row],[Meta Proyecto de Inversión]],1,4)</f>
        <v>8126</v>
      </c>
      <c r="T491" s="162" t="str">
        <f>MID(PAA[[#This Row],[Meta Proyecto de Inversión]],6,1)</f>
        <v>9</v>
      </c>
      <c r="U491" s="163" t="str">
        <f>IFERROR(VLOOKUP(N491,TD!$B$50:$F$54,2,0)," ")</f>
        <v>O230117</v>
      </c>
      <c r="V491" s="163" t="str">
        <f>IFERROR(VLOOKUP(N491,TD!$B$50:$F$54,3,0)," ")</f>
        <v>4599</v>
      </c>
      <c r="W491" s="163">
        <f>IFERROR(VLOOKUP(N491,TD!$B$50:$F$54,4,0)," ")</f>
        <v>20240207</v>
      </c>
      <c r="X491" s="162" t="s">
        <v>174</v>
      </c>
      <c r="Y491" s="163" t="str">
        <f>IFERROR(VLOOKUP(X491,TD!$J$51:$K$64,2,0)," ")</f>
        <v>Infraestructura física, mantenimiento y dotación (Sedes construidas, mantenidas reforzadas)</v>
      </c>
      <c r="Z491" s="164" t="str">
        <f>CONCATENATE(X491,"-",Y491)</f>
        <v>08-Infraestructura física, mantenimiento y dotación (Sedes construidas, mantenidas reforzadas)</v>
      </c>
      <c r="AA491" s="162" t="s">
        <v>227</v>
      </c>
      <c r="AB491" s="163" t="str">
        <f>IFERROR(VLOOKUP(AA491,TD!$N$51:$O$66,2,0)," ")</f>
        <v>Sedes mantenidas</v>
      </c>
      <c r="AC491" s="164" t="str">
        <f>CONCATENATE(AA491,"_",AB491)</f>
        <v>016_Sedes mantenidas</v>
      </c>
      <c r="AD491" s="164" t="str">
        <f>CONCATENATE(Z491," ",AC491)</f>
        <v>08-Infraestructura física, mantenimiento y dotación (Sedes construidas, mantenidas reforzadas) 016_Sedes mantenidas</v>
      </c>
      <c r="AE491" s="163" t="str">
        <f>CONCATENATE(U491,V491,W491,X491,AA491)</f>
        <v>O23011745992024020708016</v>
      </c>
      <c r="AF491" s="163" t="str">
        <f>IFERROR(VLOOKUP(AD491,TD!$J$66:$K$89,2,0)," ")</f>
        <v>PM/0131/0108/45990160207</v>
      </c>
      <c r="AG491" s="118" t="s">
        <v>385</v>
      </c>
      <c r="AH491" s="162" t="s">
        <v>193</v>
      </c>
      <c r="AI491" s="165" t="str">
        <f>CONCATENATE(PAA[[#This Row],[Id Interno]],"-",PAA[[#This Row],[tipo de Contrato (TH talento humano - B/S bienes y/o servicios)]],"-",S491,"-",T491,"-",PAA[[#This Row],[Objeto de la contratación]])</f>
        <v>20260476-TH-8126-9-Prestación de servicios de apoyo a la gestión documental de la Subdirección de Gestión Corporativa de la Unidad.-SGC</v>
      </c>
    </row>
    <row r="492" spans="2:35" ht="84" x14ac:dyDescent="0.35">
      <c r="B492" s="23">
        <v>20260477</v>
      </c>
      <c r="C492" s="99" t="s">
        <v>722</v>
      </c>
      <c r="D492" s="23" t="s">
        <v>105</v>
      </c>
      <c r="E492" s="23" t="s">
        <v>363</v>
      </c>
      <c r="F492" s="159" t="s">
        <v>145</v>
      </c>
      <c r="G492" s="160" t="s">
        <v>373</v>
      </c>
      <c r="H492" s="161">
        <v>11</v>
      </c>
      <c r="I492" s="161">
        <v>0</v>
      </c>
      <c r="J492" s="127">
        <v>30967000</v>
      </c>
      <c r="K492" s="88" t="s">
        <v>398</v>
      </c>
      <c r="L492" s="159" t="s">
        <v>155</v>
      </c>
      <c r="M492" s="162" t="s">
        <v>422</v>
      </c>
      <c r="N492" s="23" t="s">
        <v>197</v>
      </c>
      <c r="O492" s="151" t="s">
        <v>945</v>
      </c>
      <c r="P492" s="159" t="s">
        <v>348</v>
      </c>
      <c r="Q492" s="53" t="s">
        <v>766</v>
      </c>
      <c r="R492" s="162" t="s">
        <v>208</v>
      </c>
      <c r="S492" s="162" t="str">
        <f>MID(PAA[[#This Row],[Meta Proyecto de Inversión]],1,4)</f>
        <v>8126</v>
      </c>
      <c r="T492" s="162" t="str">
        <f>MID(PAA[[#This Row],[Meta Proyecto de Inversión]],6,1)</f>
        <v>9</v>
      </c>
      <c r="U492" s="163" t="str">
        <f>IFERROR(VLOOKUP(N492,TD!$B$50:$F$54,2,0)," ")</f>
        <v>O230117</v>
      </c>
      <c r="V492" s="163" t="str">
        <f>IFERROR(VLOOKUP(N492,TD!$B$50:$F$54,3,0)," ")</f>
        <v>4599</v>
      </c>
      <c r="W492" s="163">
        <f>IFERROR(VLOOKUP(N492,TD!$B$50:$F$54,4,0)," ")</f>
        <v>20240207</v>
      </c>
      <c r="X492" s="162" t="s">
        <v>174</v>
      </c>
      <c r="Y492" s="163" t="str">
        <f>IFERROR(VLOOKUP(X492,TD!$J$51:$K$64,2,0)," ")</f>
        <v>Infraestructura física, mantenimiento y dotación (Sedes construidas, mantenidas reforzadas)</v>
      </c>
      <c r="Z492" s="164" t="str">
        <f>CONCATENATE(X492,"-",Y492)</f>
        <v>08-Infraestructura física, mantenimiento y dotación (Sedes construidas, mantenidas reforzadas)</v>
      </c>
      <c r="AA492" s="162" t="s">
        <v>227</v>
      </c>
      <c r="AB492" s="163" t="str">
        <f>IFERROR(VLOOKUP(AA492,TD!$N$51:$O$66,2,0)," ")</f>
        <v>Sedes mantenidas</v>
      </c>
      <c r="AC492" s="164" t="str">
        <f>CONCATENATE(AA492,"_",AB492)</f>
        <v>016_Sedes mantenidas</v>
      </c>
      <c r="AD492" s="164" t="str">
        <f>CONCATENATE(Z492," ",AC492)</f>
        <v>08-Infraestructura física, mantenimiento y dotación (Sedes construidas, mantenidas reforzadas) 016_Sedes mantenidas</v>
      </c>
      <c r="AE492" s="163" t="str">
        <f>CONCATENATE(U492,V492,W492,X492,AA492)</f>
        <v>O23011745992024020708016</v>
      </c>
      <c r="AF492" s="163" t="str">
        <f>IFERROR(VLOOKUP(AD492,TD!$J$66:$K$89,2,0)," ")</f>
        <v>PM/0131/0108/45990160207</v>
      </c>
      <c r="AG492" s="118" t="s">
        <v>385</v>
      </c>
      <c r="AH492" s="162" t="s">
        <v>193</v>
      </c>
      <c r="AI492" s="165" t="str">
        <f>CONCATENATE(PAA[[#This Row],[Id Interno]],"-",PAA[[#This Row],[tipo de Contrato (TH talento humano - B/S bienes y/o servicios)]],"-",S492,"-",T492,"-",PAA[[#This Row],[Objeto de la contratación]])</f>
        <v>20260477-TH-8126-9-Prestación de servicios de apoyo en las actividades asociadas a los procesos de gestión de inventarios de la Subdirección de Gestión Corporativa.-SGC</v>
      </c>
    </row>
    <row r="493" spans="2:35" ht="56" x14ac:dyDescent="0.35">
      <c r="B493" s="23">
        <v>20260478</v>
      </c>
      <c r="C493" s="99" t="s">
        <v>723</v>
      </c>
      <c r="D493" s="23" t="s">
        <v>105</v>
      </c>
      <c r="E493" s="23" t="s">
        <v>363</v>
      </c>
      <c r="F493" s="159" t="s">
        <v>145</v>
      </c>
      <c r="G493" s="160" t="s">
        <v>373</v>
      </c>
      <c r="H493" s="161">
        <v>11</v>
      </c>
      <c r="I493" s="161">
        <v>0</v>
      </c>
      <c r="J493" s="127">
        <v>47187000</v>
      </c>
      <c r="K493" s="88" t="s">
        <v>398</v>
      </c>
      <c r="L493" s="159" t="s">
        <v>155</v>
      </c>
      <c r="M493" s="162" t="s">
        <v>422</v>
      </c>
      <c r="N493" s="23" t="s">
        <v>197</v>
      </c>
      <c r="O493" s="151" t="s">
        <v>945</v>
      </c>
      <c r="P493" s="159" t="s">
        <v>348</v>
      </c>
      <c r="Q493" s="53" t="s">
        <v>766</v>
      </c>
      <c r="R493" s="162" t="s">
        <v>208</v>
      </c>
      <c r="S493" s="162" t="str">
        <f>MID(PAA[[#This Row],[Meta Proyecto de Inversión]],1,4)</f>
        <v>8126</v>
      </c>
      <c r="T493" s="162" t="str">
        <f>MID(PAA[[#This Row],[Meta Proyecto de Inversión]],6,1)</f>
        <v>9</v>
      </c>
      <c r="U493" s="163" t="str">
        <f>IFERROR(VLOOKUP(N493,TD!$B$50:$F$54,2,0)," ")</f>
        <v>O230117</v>
      </c>
      <c r="V493" s="163" t="str">
        <f>IFERROR(VLOOKUP(N493,TD!$B$50:$F$54,3,0)," ")</f>
        <v>4599</v>
      </c>
      <c r="W493" s="163">
        <f>IFERROR(VLOOKUP(N493,TD!$B$50:$F$54,4,0)," ")</f>
        <v>20240207</v>
      </c>
      <c r="X493" s="162" t="s">
        <v>174</v>
      </c>
      <c r="Y493" s="163" t="str">
        <f>IFERROR(VLOOKUP(X493,TD!$J$51:$K$64,2,0)," ")</f>
        <v>Infraestructura física, mantenimiento y dotación (Sedes construidas, mantenidas reforzadas)</v>
      </c>
      <c r="Z493" s="164" t="str">
        <f>CONCATENATE(X493,"-",Y493)</f>
        <v>08-Infraestructura física, mantenimiento y dotación (Sedes construidas, mantenidas reforzadas)</v>
      </c>
      <c r="AA493" s="162" t="s">
        <v>227</v>
      </c>
      <c r="AB493" s="163" t="str">
        <f>IFERROR(VLOOKUP(AA493,TD!$N$51:$O$66,2,0)," ")</f>
        <v>Sedes mantenidas</v>
      </c>
      <c r="AC493" s="164" t="str">
        <f>CONCATENATE(AA493,"_",AB493)</f>
        <v>016_Sedes mantenidas</v>
      </c>
      <c r="AD493" s="164" t="str">
        <f>CONCATENATE(Z493," ",AC493)</f>
        <v>08-Infraestructura física, mantenimiento y dotación (Sedes construidas, mantenidas reforzadas) 016_Sedes mantenidas</v>
      </c>
      <c r="AE493" s="163" t="str">
        <f>CONCATENATE(U493,V493,W493,X493,AA493)</f>
        <v>O23011745992024020708016</v>
      </c>
      <c r="AF493" s="163" t="str">
        <f>IFERROR(VLOOKUP(AD493,TD!$J$66:$K$89,2,0)," ")</f>
        <v>PM/0131/0108/45990160207</v>
      </c>
      <c r="AG493" s="118" t="s">
        <v>385</v>
      </c>
      <c r="AH493" s="162" t="s">
        <v>193</v>
      </c>
      <c r="AI493" s="165" t="str">
        <f>CONCATENATE(PAA[[#This Row],[Id Interno]],"-",PAA[[#This Row],[tipo de Contrato (TH talento humano - B/S bienes y/o servicios)]],"-",S493,"-",T493,"-",PAA[[#This Row],[Objeto de la contratación]])</f>
        <v>20260478-TH-8126-9-Prestación de servicios de apoyo técnico en la gestión documental de la Subdirección de Gestión Corporativa de la Unidad-SGC</v>
      </c>
    </row>
    <row r="494" spans="2:35" ht="56" x14ac:dyDescent="0.35">
      <c r="B494" s="23">
        <v>20260479</v>
      </c>
      <c r="C494" s="99" t="s">
        <v>673</v>
      </c>
      <c r="D494" s="23" t="s">
        <v>105</v>
      </c>
      <c r="E494" s="23" t="s">
        <v>363</v>
      </c>
      <c r="F494" s="159" t="s">
        <v>145</v>
      </c>
      <c r="G494" s="160" t="s">
        <v>373</v>
      </c>
      <c r="H494" s="161">
        <v>11</v>
      </c>
      <c r="I494" s="161">
        <v>0</v>
      </c>
      <c r="J494" s="127">
        <v>36128000</v>
      </c>
      <c r="K494" s="88" t="s">
        <v>398</v>
      </c>
      <c r="L494" s="159" t="s">
        <v>155</v>
      </c>
      <c r="M494" s="162" t="s">
        <v>422</v>
      </c>
      <c r="N494" s="23" t="s">
        <v>197</v>
      </c>
      <c r="O494" s="151" t="s">
        <v>945</v>
      </c>
      <c r="P494" s="159" t="s">
        <v>348</v>
      </c>
      <c r="Q494" s="53" t="s">
        <v>766</v>
      </c>
      <c r="R494" s="162" t="s">
        <v>208</v>
      </c>
      <c r="S494" s="162" t="str">
        <f>MID(PAA[[#This Row],[Meta Proyecto de Inversión]],1,4)</f>
        <v>8126</v>
      </c>
      <c r="T494" s="162" t="str">
        <f>MID(PAA[[#This Row],[Meta Proyecto de Inversión]],6,1)</f>
        <v>9</v>
      </c>
      <c r="U494" s="163" t="str">
        <f>IFERROR(VLOOKUP(N494,TD!$B$50:$F$54,2,0)," ")</f>
        <v>O230117</v>
      </c>
      <c r="V494" s="163" t="str">
        <f>IFERROR(VLOOKUP(N494,TD!$B$50:$F$54,3,0)," ")</f>
        <v>4599</v>
      </c>
      <c r="W494" s="163">
        <f>IFERROR(VLOOKUP(N494,TD!$B$50:$F$54,4,0)," ")</f>
        <v>20240207</v>
      </c>
      <c r="X494" s="162" t="s">
        <v>174</v>
      </c>
      <c r="Y494" s="163" t="str">
        <f>IFERROR(VLOOKUP(X494,TD!$J$51:$K$64,2,0)," ")</f>
        <v>Infraestructura física, mantenimiento y dotación (Sedes construidas, mantenidas reforzadas)</v>
      </c>
      <c r="Z494" s="164" t="str">
        <f>CONCATENATE(X494,"-",Y494)</f>
        <v>08-Infraestructura física, mantenimiento y dotación (Sedes construidas, mantenidas reforzadas)</v>
      </c>
      <c r="AA494" s="162" t="s">
        <v>227</v>
      </c>
      <c r="AB494" s="163" t="str">
        <f>IFERROR(VLOOKUP(AA494,TD!$N$51:$O$66,2,0)," ")</f>
        <v>Sedes mantenidas</v>
      </c>
      <c r="AC494" s="164" t="str">
        <f>CONCATENATE(AA494,"_",AB494)</f>
        <v>016_Sedes mantenidas</v>
      </c>
      <c r="AD494" s="164" t="str">
        <f>CONCATENATE(Z494," ",AC494)</f>
        <v>08-Infraestructura física, mantenimiento y dotación (Sedes construidas, mantenidas reforzadas) 016_Sedes mantenidas</v>
      </c>
      <c r="AE494" s="163" t="str">
        <f>CONCATENATE(U494,V494,W494,X494,AA494)</f>
        <v>O23011745992024020708016</v>
      </c>
      <c r="AF494" s="163" t="str">
        <f>IFERROR(VLOOKUP(AD494,TD!$J$66:$K$89,2,0)," ")</f>
        <v>PM/0131/0108/45990160207</v>
      </c>
      <c r="AG494" s="118" t="s">
        <v>385</v>
      </c>
      <c r="AH494" s="162" t="s">
        <v>193</v>
      </c>
      <c r="AI494" s="165" t="str">
        <f>CONCATENATE(PAA[[#This Row],[Id Interno]],"-",PAA[[#This Row],[tipo de Contrato (TH talento humano - B/S bienes y/o servicios)]],"-",S494,"-",T494,"-",PAA[[#This Row],[Objeto de la contratación]])</f>
        <v>20260479-TH-8126-9-Prestación de servicios de apoyo a la gestión en la ejecución de los planes y programas de servicio al ciudadano a cargo de la Subdirección de Gestión Corporativa.-SGC</v>
      </c>
    </row>
    <row r="495" spans="2:35" ht="56" x14ac:dyDescent="0.35">
      <c r="B495" s="23">
        <v>20260480</v>
      </c>
      <c r="C495" s="99" t="s">
        <v>673</v>
      </c>
      <c r="D495" s="23" t="s">
        <v>105</v>
      </c>
      <c r="E495" s="23" t="s">
        <v>363</v>
      </c>
      <c r="F495" s="159" t="s">
        <v>145</v>
      </c>
      <c r="G495" s="160" t="s">
        <v>373</v>
      </c>
      <c r="H495" s="161">
        <v>11</v>
      </c>
      <c r="I495" s="161">
        <v>0</v>
      </c>
      <c r="J495" s="127">
        <v>36128000</v>
      </c>
      <c r="K495" s="88" t="s">
        <v>398</v>
      </c>
      <c r="L495" s="159" t="s">
        <v>155</v>
      </c>
      <c r="M495" s="162" t="s">
        <v>422</v>
      </c>
      <c r="N495" s="23" t="s">
        <v>197</v>
      </c>
      <c r="O495" s="151" t="s">
        <v>945</v>
      </c>
      <c r="P495" s="159" t="s">
        <v>348</v>
      </c>
      <c r="Q495" s="53" t="s">
        <v>766</v>
      </c>
      <c r="R495" s="162" t="s">
        <v>208</v>
      </c>
      <c r="S495" s="162" t="str">
        <f>MID(PAA[[#This Row],[Meta Proyecto de Inversión]],1,4)</f>
        <v>8126</v>
      </c>
      <c r="T495" s="162" t="str">
        <f>MID(PAA[[#This Row],[Meta Proyecto de Inversión]],6,1)</f>
        <v>9</v>
      </c>
      <c r="U495" s="163" t="str">
        <f>IFERROR(VLOOKUP(N495,TD!$B$50:$F$54,2,0)," ")</f>
        <v>O230117</v>
      </c>
      <c r="V495" s="163" t="str">
        <f>IFERROR(VLOOKUP(N495,TD!$B$50:$F$54,3,0)," ")</f>
        <v>4599</v>
      </c>
      <c r="W495" s="163">
        <f>IFERROR(VLOOKUP(N495,TD!$B$50:$F$54,4,0)," ")</f>
        <v>20240207</v>
      </c>
      <c r="X495" s="162" t="s">
        <v>174</v>
      </c>
      <c r="Y495" s="163" t="str">
        <f>IFERROR(VLOOKUP(X495,TD!$J$51:$K$64,2,0)," ")</f>
        <v>Infraestructura física, mantenimiento y dotación (Sedes construidas, mantenidas reforzadas)</v>
      </c>
      <c r="Z495" s="164" t="str">
        <f>CONCATENATE(X495,"-",Y495)</f>
        <v>08-Infraestructura física, mantenimiento y dotación (Sedes construidas, mantenidas reforzadas)</v>
      </c>
      <c r="AA495" s="162" t="s">
        <v>227</v>
      </c>
      <c r="AB495" s="163" t="str">
        <f>IFERROR(VLOOKUP(AA495,TD!$N$51:$O$66,2,0)," ")</f>
        <v>Sedes mantenidas</v>
      </c>
      <c r="AC495" s="164" t="str">
        <f>CONCATENATE(AA495,"_",AB495)</f>
        <v>016_Sedes mantenidas</v>
      </c>
      <c r="AD495" s="164" t="str">
        <f>CONCATENATE(Z495," ",AC495)</f>
        <v>08-Infraestructura física, mantenimiento y dotación (Sedes construidas, mantenidas reforzadas) 016_Sedes mantenidas</v>
      </c>
      <c r="AE495" s="163" t="str">
        <f>CONCATENATE(U495,V495,W495,X495,AA495)</f>
        <v>O23011745992024020708016</v>
      </c>
      <c r="AF495" s="163" t="str">
        <f>IFERROR(VLOOKUP(AD495,TD!$J$66:$K$89,2,0)," ")</f>
        <v>PM/0131/0108/45990160207</v>
      </c>
      <c r="AG495" s="118" t="s">
        <v>385</v>
      </c>
      <c r="AH495" s="162" t="s">
        <v>193</v>
      </c>
      <c r="AI495" s="165" t="str">
        <f>CONCATENATE(PAA[[#This Row],[Id Interno]],"-",PAA[[#This Row],[tipo de Contrato (TH talento humano - B/S bienes y/o servicios)]],"-",S495,"-",T495,"-",PAA[[#This Row],[Objeto de la contratación]])</f>
        <v>20260480-TH-8126-9-Prestación de servicios de apoyo a la gestión en la ejecución de los planes y programas de servicio al ciudadano a cargo de la Subdirección de Gestión Corporativa.-SGC</v>
      </c>
    </row>
    <row r="496" spans="2:35" ht="56" x14ac:dyDescent="0.35">
      <c r="B496" s="23">
        <v>20260481</v>
      </c>
      <c r="C496" s="99" t="s">
        <v>673</v>
      </c>
      <c r="D496" s="23" t="s">
        <v>105</v>
      </c>
      <c r="E496" s="23" t="s">
        <v>363</v>
      </c>
      <c r="F496" s="159" t="s">
        <v>145</v>
      </c>
      <c r="G496" s="160" t="s">
        <v>373</v>
      </c>
      <c r="H496" s="161">
        <v>11</v>
      </c>
      <c r="I496" s="161">
        <v>0</v>
      </c>
      <c r="J496" s="127">
        <v>36128000</v>
      </c>
      <c r="K496" s="88" t="s">
        <v>398</v>
      </c>
      <c r="L496" s="159" t="s">
        <v>155</v>
      </c>
      <c r="M496" s="162" t="s">
        <v>422</v>
      </c>
      <c r="N496" s="23" t="s">
        <v>197</v>
      </c>
      <c r="O496" s="151" t="s">
        <v>945</v>
      </c>
      <c r="P496" s="160" t="s">
        <v>348</v>
      </c>
      <c r="Q496" s="53" t="s">
        <v>766</v>
      </c>
      <c r="R496" s="162" t="s">
        <v>208</v>
      </c>
      <c r="S496" s="162" t="str">
        <f>MID(PAA[[#This Row],[Meta Proyecto de Inversión]],1,4)</f>
        <v>8126</v>
      </c>
      <c r="T496" s="162" t="str">
        <f>MID(PAA[[#This Row],[Meta Proyecto de Inversión]],6,1)</f>
        <v>9</v>
      </c>
      <c r="U496" s="163" t="str">
        <f>IFERROR(VLOOKUP(N496,TD!$B$50:$F$54,2,0)," ")</f>
        <v>O230117</v>
      </c>
      <c r="V496" s="163" t="str">
        <f>IFERROR(VLOOKUP(N496,TD!$B$50:$F$54,3,0)," ")</f>
        <v>4599</v>
      </c>
      <c r="W496" s="163">
        <f>IFERROR(VLOOKUP(N496,TD!$B$50:$F$54,4,0)," ")</f>
        <v>20240207</v>
      </c>
      <c r="X496" s="162" t="s">
        <v>174</v>
      </c>
      <c r="Y496" s="163" t="str">
        <f>IFERROR(VLOOKUP(X496,TD!$J$51:$K$64,2,0)," ")</f>
        <v>Infraestructura física, mantenimiento y dotación (Sedes construidas, mantenidas reforzadas)</v>
      </c>
      <c r="Z496" s="164" t="str">
        <f>CONCATENATE(X496,"-",Y496)</f>
        <v>08-Infraestructura física, mantenimiento y dotación (Sedes construidas, mantenidas reforzadas)</v>
      </c>
      <c r="AA496" s="162" t="s">
        <v>227</v>
      </c>
      <c r="AB496" s="163" t="str">
        <f>IFERROR(VLOOKUP(AA496,TD!$N$51:$O$66,2,0)," ")</f>
        <v>Sedes mantenidas</v>
      </c>
      <c r="AC496" s="164" t="str">
        <f>CONCATENATE(AA496,"_",AB496)</f>
        <v>016_Sedes mantenidas</v>
      </c>
      <c r="AD496" s="164" t="str">
        <f>CONCATENATE(Z496," ",AC496)</f>
        <v>08-Infraestructura física, mantenimiento y dotación (Sedes construidas, mantenidas reforzadas) 016_Sedes mantenidas</v>
      </c>
      <c r="AE496" s="163" t="str">
        <f>CONCATENATE(U496,V496,W496,X496,AA496)</f>
        <v>O23011745992024020708016</v>
      </c>
      <c r="AF496" s="163" t="str">
        <f>IFERROR(VLOOKUP(AD496,TD!$J$66:$K$89,2,0)," ")</f>
        <v>PM/0131/0108/45990160207</v>
      </c>
      <c r="AG496" s="118" t="s">
        <v>385</v>
      </c>
      <c r="AH496" s="162" t="s">
        <v>193</v>
      </c>
      <c r="AI496" s="165" t="str">
        <f>CONCATENATE(PAA[[#This Row],[Id Interno]],"-",PAA[[#This Row],[tipo de Contrato (TH talento humano - B/S bienes y/o servicios)]],"-",S496,"-",T496,"-",PAA[[#This Row],[Objeto de la contratación]])</f>
        <v>20260481-TH-8126-9-Prestación de servicios de apoyo a la gestión en la ejecución de los planes y programas de servicio al ciudadano a cargo de la Subdirección de Gestión Corporativa.-SGC</v>
      </c>
    </row>
    <row r="497" spans="2:35" ht="56" x14ac:dyDescent="0.35">
      <c r="B497" s="23">
        <v>20260482</v>
      </c>
      <c r="C497" s="99" t="s">
        <v>673</v>
      </c>
      <c r="D497" s="23" t="s">
        <v>105</v>
      </c>
      <c r="E497" s="23" t="s">
        <v>363</v>
      </c>
      <c r="F497" s="159" t="s">
        <v>145</v>
      </c>
      <c r="G497" s="160" t="s">
        <v>373</v>
      </c>
      <c r="H497" s="161">
        <v>11</v>
      </c>
      <c r="I497" s="161">
        <v>0</v>
      </c>
      <c r="J497" s="127">
        <v>36128000</v>
      </c>
      <c r="K497" s="88" t="s">
        <v>398</v>
      </c>
      <c r="L497" s="159" t="s">
        <v>155</v>
      </c>
      <c r="M497" s="162" t="s">
        <v>422</v>
      </c>
      <c r="N497" s="23" t="s">
        <v>197</v>
      </c>
      <c r="O497" s="151" t="s">
        <v>945</v>
      </c>
      <c r="P497" s="159" t="s">
        <v>348</v>
      </c>
      <c r="Q497" s="53" t="s">
        <v>766</v>
      </c>
      <c r="R497" s="162" t="s">
        <v>208</v>
      </c>
      <c r="S497" s="162" t="str">
        <f>MID(PAA[[#This Row],[Meta Proyecto de Inversión]],1,4)</f>
        <v>8126</v>
      </c>
      <c r="T497" s="162" t="str">
        <f>MID(PAA[[#This Row],[Meta Proyecto de Inversión]],6,1)</f>
        <v>9</v>
      </c>
      <c r="U497" s="163" t="str">
        <f>IFERROR(VLOOKUP(N497,TD!$B$50:$F$54,2,0)," ")</f>
        <v>O230117</v>
      </c>
      <c r="V497" s="163" t="str">
        <f>IFERROR(VLOOKUP(N497,TD!$B$50:$F$54,3,0)," ")</f>
        <v>4599</v>
      </c>
      <c r="W497" s="163">
        <f>IFERROR(VLOOKUP(N497,TD!$B$50:$F$54,4,0)," ")</f>
        <v>20240207</v>
      </c>
      <c r="X497" s="162" t="s">
        <v>174</v>
      </c>
      <c r="Y497" s="163" t="str">
        <f>IFERROR(VLOOKUP(X497,TD!$J$51:$K$64,2,0)," ")</f>
        <v>Infraestructura física, mantenimiento y dotación (Sedes construidas, mantenidas reforzadas)</v>
      </c>
      <c r="Z497" s="164" t="str">
        <f>CONCATENATE(X497,"-",Y497)</f>
        <v>08-Infraestructura física, mantenimiento y dotación (Sedes construidas, mantenidas reforzadas)</v>
      </c>
      <c r="AA497" s="162" t="s">
        <v>227</v>
      </c>
      <c r="AB497" s="163" t="str">
        <f>IFERROR(VLOOKUP(AA497,TD!$N$51:$O$66,2,0)," ")</f>
        <v>Sedes mantenidas</v>
      </c>
      <c r="AC497" s="164" t="str">
        <f>CONCATENATE(AA497,"_",AB497)</f>
        <v>016_Sedes mantenidas</v>
      </c>
      <c r="AD497" s="164" t="str">
        <f>CONCATENATE(Z497," ",AC497)</f>
        <v>08-Infraestructura física, mantenimiento y dotación (Sedes construidas, mantenidas reforzadas) 016_Sedes mantenidas</v>
      </c>
      <c r="AE497" s="163" t="str">
        <f>CONCATENATE(U497,V497,W497,X497,AA497)</f>
        <v>O23011745992024020708016</v>
      </c>
      <c r="AF497" s="163" t="str">
        <f>IFERROR(VLOOKUP(AD497,TD!$J$66:$K$89,2,0)," ")</f>
        <v>PM/0131/0108/45990160207</v>
      </c>
      <c r="AG497" s="118" t="s">
        <v>385</v>
      </c>
      <c r="AH497" s="162" t="s">
        <v>193</v>
      </c>
      <c r="AI497" s="165" t="str">
        <f>CONCATENATE(PAA[[#This Row],[Id Interno]],"-",PAA[[#This Row],[tipo de Contrato (TH talento humano - B/S bienes y/o servicios)]],"-",S497,"-",T497,"-",PAA[[#This Row],[Objeto de la contratación]])</f>
        <v>20260482-TH-8126-9-Prestación de servicios de apoyo a la gestión en la ejecución de los planes y programas de servicio al ciudadano a cargo de la Subdirección de Gestión Corporativa.-SGC</v>
      </c>
    </row>
    <row r="498" spans="2:35" ht="56" x14ac:dyDescent="0.35">
      <c r="B498" s="23">
        <v>20260483</v>
      </c>
      <c r="C498" s="99" t="s">
        <v>700</v>
      </c>
      <c r="D498" s="23" t="s">
        <v>105</v>
      </c>
      <c r="E498" s="23" t="s">
        <v>363</v>
      </c>
      <c r="F498" s="159" t="s">
        <v>145</v>
      </c>
      <c r="G498" s="160" t="s">
        <v>373</v>
      </c>
      <c r="H498" s="161">
        <v>11</v>
      </c>
      <c r="I498" s="161">
        <v>0</v>
      </c>
      <c r="J498" s="127">
        <v>36128000</v>
      </c>
      <c r="K498" s="88" t="s">
        <v>398</v>
      </c>
      <c r="L498" s="159" t="s">
        <v>155</v>
      </c>
      <c r="M498" s="162" t="s">
        <v>422</v>
      </c>
      <c r="N498" s="23" t="s">
        <v>197</v>
      </c>
      <c r="O498" s="151" t="s">
        <v>945</v>
      </c>
      <c r="P498" s="159" t="s">
        <v>348</v>
      </c>
      <c r="Q498" s="100" t="s">
        <v>766</v>
      </c>
      <c r="R498" s="162" t="s">
        <v>207</v>
      </c>
      <c r="S498" s="162" t="str">
        <f>MID(PAA[[#This Row],[Meta Proyecto de Inversión]],1,4)</f>
        <v>8126</v>
      </c>
      <c r="T498" s="162" t="str">
        <f>MID(PAA[[#This Row],[Meta Proyecto de Inversión]],6,1)</f>
        <v>8</v>
      </c>
      <c r="U498" s="163" t="str">
        <f>IFERROR(VLOOKUP(N498,TD!$B$50:$F$54,2,0)," ")</f>
        <v>O230117</v>
      </c>
      <c r="V498" s="163" t="str">
        <f>IFERROR(VLOOKUP(N498,TD!$B$50:$F$54,3,0)," ")</f>
        <v>4599</v>
      </c>
      <c r="W498" s="163">
        <f>IFERROR(VLOOKUP(N498,TD!$B$50:$F$54,4,0)," ")</f>
        <v>20240207</v>
      </c>
      <c r="X498" s="162" t="s">
        <v>174</v>
      </c>
      <c r="Y498" s="163" t="str">
        <f>IFERROR(VLOOKUP(X498,TD!$J$51:$K$64,2,0)," ")</f>
        <v>Infraestructura física, mantenimiento y dotación (Sedes construidas, mantenidas reforzadas)</v>
      </c>
      <c r="Z498" s="164" t="str">
        <f>CONCATENATE(X498,"-",Y498)</f>
        <v>08-Infraestructura física, mantenimiento y dotación (Sedes construidas, mantenidas reforzadas)</v>
      </c>
      <c r="AA498" s="162" t="s">
        <v>227</v>
      </c>
      <c r="AB498" s="163" t="str">
        <f>IFERROR(VLOOKUP(AA498,TD!$N$51:$O$66,2,0)," ")</f>
        <v>Sedes mantenidas</v>
      </c>
      <c r="AC498" s="164" t="str">
        <f>CONCATENATE(AA498,"_",AB498)</f>
        <v>016_Sedes mantenidas</v>
      </c>
      <c r="AD498" s="164" t="str">
        <f>CONCATENATE(Z498," ",AC498)</f>
        <v>08-Infraestructura física, mantenimiento y dotación (Sedes construidas, mantenidas reforzadas) 016_Sedes mantenidas</v>
      </c>
      <c r="AE498" s="163" t="str">
        <f>CONCATENATE(U498,V498,W498,X498,AA498)</f>
        <v>O23011745992024020708016</v>
      </c>
      <c r="AF498" s="163" t="str">
        <f>IFERROR(VLOOKUP(AD498,TD!$J$66:$K$89,2,0)," ")</f>
        <v>PM/0131/0108/45990160207</v>
      </c>
      <c r="AG498" s="118" t="s">
        <v>385</v>
      </c>
      <c r="AH498" s="162" t="s">
        <v>193</v>
      </c>
      <c r="AI498" s="165" t="str">
        <f>CONCATENATE(PAA[[#This Row],[Id Interno]],"-",PAA[[#This Row],[tipo de Contrato (TH talento humano - B/S bienes y/o servicios)]],"-",S498,"-",T498,"-",PAA[[#This Row],[Objeto de la contratación]])</f>
        <v>20260483-TH-8126-8-Prestación de servicios de apoyo a la gestión, en la Subdirección de Gestión Corporativa en temas de infraestructura para el sostenimiento y mejoramiento de los equipamientos de la Unidad Administrativa Especial Cuerpo Oficial de Bomberos de Bogotá-SGC</v>
      </c>
    </row>
    <row r="499" spans="2:35" ht="70" x14ac:dyDescent="0.35">
      <c r="B499" s="23">
        <v>20260484</v>
      </c>
      <c r="C499" s="99" t="s">
        <v>700</v>
      </c>
      <c r="D499" s="23" t="s">
        <v>105</v>
      </c>
      <c r="E499" s="23" t="s">
        <v>363</v>
      </c>
      <c r="F499" s="159" t="s">
        <v>145</v>
      </c>
      <c r="G499" s="160" t="s">
        <v>373</v>
      </c>
      <c r="H499" s="161">
        <v>11</v>
      </c>
      <c r="I499" s="161">
        <v>0</v>
      </c>
      <c r="J499" s="127">
        <v>36128000</v>
      </c>
      <c r="K499" s="88" t="s">
        <v>398</v>
      </c>
      <c r="L499" s="159" t="s">
        <v>155</v>
      </c>
      <c r="M499" s="162" t="s">
        <v>422</v>
      </c>
      <c r="N499" s="23" t="s">
        <v>197</v>
      </c>
      <c r="O499" s="151" t="s">
        <v>945</v>
      </c>
      <c r="P499" s="159" t="s">
        <v>348</v>
      </c>
      <c r="Q499" s="53" t="s">
        <v>766</v>
      </c>
      <c r="R499" s="162" t="s">
        <v>207</v>
      </c>
      <c r="S499" s="162" t="str">
        <f>MID(PAA[[#This Row],[Meta Proyecto de Inversión]],1,4)</f>
        <v>8126</v>
      </c>
      <c r="T499" s="162" t="str">
        <f>MID(PAA[[#This Row],[Meta Proyecto de Inversión]],6,1)</f>
        <v>8</v>
      </c>
      <c r="U499" s="163" t="str">
        <f>IFERROR(VLOOKUP(N499,TD!$B$50:$F$54,2,0)," ")</f>
        <v>O230117</v>
      </c>
      <c r="V499" s="163" t="str">
        <f>IFERROR(VLOOKUP(N499,TD!$B$50:$F$54,3,0)," ")</f>
        <v>4599</v>
      </c>
      <c r="W499" s="163">
        <f>IFERROR(VLOOKUP(N499,TD!$B$50:$F$54,4,0)," ")</f>
        <v>20240207</v>
      </c>
      <c r="X499" s="162" t="s">
        <v>174</v>
      </c>
      <c r="Y499" s="163" t="str">
        <f>IFERROR(VLOOKUP(X499,TD!$J$51:$K$64,2,0)," ")</f>
        <v>Infraestructura física, mantenimiento y dotación (Sedes construidas, mantenidas reforzadas)</v>
      </c>
      <c r="Z499" s="164" t="str">
        <f>CONCATENATE(X499,"-",Y499)</f>
        <v>08-Infraestructura física, mantenimiento y dotación (Sedes construidas, mantenidas reforzadas)</v>
      </c>
      <c r="AA499" s="162" t="s">
        <v>227</v>
      </c>
      <c r="AB499" s="163" t="str">
        <f>IFERROR(VLOOKUP(AA499,TD!$N$51:$O$66,2,0)," ")</f>
        <v>Sedes mantenidas</v>
      </c>
      <c r="AC499" s="164" t="str">
        <f>CONCATENATE(AA499,"_",AB499)</f>
        <v>016_Sedes mantenidas</v>
      </c>
      <c r="AD499" s="164" t="str">
        <f>CONCATENATE(Z499," ",AC499)</f>
        <v>08-Infraestructura física, mantenimiento y dotación (Sedes construidas, mantenidas reforzadas) 016_Sedes mantenidas</v>
      </c>
      <c r="AE499" s="163" t="str">
        <f>CONCATENATE(U499,V499,W499,X499,AA499)</f>
        <v>O23011745992024020708016</v>
      </c>
      <c r="AF499" s="163" t="str">
        <f>IFERROR(VLOOKUP(AD499,TD!$J$66:$K$89,2,0)," ")</f>
        <v>PM/0131/0108/45990160207</v>
      </c>
      <c r="AG499" s="118" t="s">
        <v>385</v>
      </c>
      <c r="AH499" s="162" t="s">
        <v>193</v>
      </c>
      <c r="AI499" s="165" t="str">
        <f>CONCATENATE(PAA[[#This Row],[Id Interno]],"-",PAA[[#This Row],[tipo de Contrato (TH talento humano - B/S bienes y/o servicios)]],"-",S499,"-",T499,"-",PAA[[#This Row],[Objeto de la contratación]])</f>
        <v>20260484-TH-8126-8-Prestación de servicios de apoyo a la gestión, en la Subdirección de Gestión Corporativa en temas de infraestructura para el sostenimiento y mejoramiento de los equipamientos de la Unidad Administrativa Especial Cuerpo Oficial de Bomberos de Bogotá-SGC</v>
      </c>
    </row>
    <row r="500" spans="2:35" ht="56" x14ac:dyDescent="0.35">
      <c r="B500" s="23">
        <v>20260485</v>
      </c>
      <c r="C500" s="99" t="s">
        <v>700</v>
      </c>
      <c r="D500" s="23" t="s">
        <v>105</v>
      </c>
      <c r="E500" s="23" t="s">
        <v>363</v>
      </c>
      <c r="F500" s="159" t="s">
        <v>145</v>
      </c>
      <c r="G500" s="160" t="s">
        <v>373</v>
      </c>
      <c r="H500" s="161">
        <v>11</v>
      </c>
      <c r="I500" s="161">
        <v>0</v>
      </c>
      <c r="J500" s="127">
        <v>36128000</v>
      </c>
      <c r="K500" s="88" t="s">
        <v>398</v>
      </c>
      <c r="L500" s="159" t="s">
        <v>155</v>
      </c>
      <c r="M500" s="162" t="s">
        <v>422</v>
      </c>
      <c r="N500" s="23" t="s">
        <v>197</v>
      </c>
      <c r="O500" s="151" t="s">
        <v>945</v>
      </c>
      <c r="P500" s="159" t="s">
        <v>348</v>
      </c>
      <c r="Q500" s="53" t="s">
        <v>766</v>
      </c>
      <c r="R500" s="162" t="s">
        <v>207</v>
      </c>
      <c r="S500" s="162" t="str">
        <f>MID(PAA[[#This Row],[Meta Proyecto de Inversión]],1,4)</f>
        <v>8126</v>
      </c>
      <c r="T500" s="162" t="str">
        <f>MID(PAA[[#This Row],[Meta Proyecto de Inversión]],6,1)</f>
        <v>8</v>
      </c>
      <c r="U500" s="163" t="str">
        <f>IFERROR(VLOOKUP(N500,TD!$B$50:$F$54,2,0)," ")</f>
        <v>O230117</v>
      </c>
      <c r="V500" s="163" t="str">
        <f>IFERROR(VLOOKUP(N500,TD!$B$50:$F$54,3,0)," ")</f>
        <v>4599</v>
      </c>
      <c r="W500" s="163">
        <f>IFERROR(VLOOKUP(N500,TD!$B$50:$F$54,4,0)," ")</f>
        <v>20240207</v>
      </c>
      <c r="X500" s="162" t="s">
        <v>174</v>
      </c>
      <c r="Y500" s="163" t="str">
        <f>IFERROR(VLOOKUP(X500,TD!$J$51:$K$64,2,0)," ")</f>
        <v>Infraestructura física, mantenimiento y dotación (Sedes construidas, mantenidas reforzadas)</v>
      </c>
      <c r="Z500" s="164" t="str">
        <f>CONCATENATE(X500,"-",Y500)</f>
        <v>08-Infraestructura física, mantenimiento y dotación (Sedes construidas, mantenidas reforzadas)</v>
      </c>
      <c r="AA500" s="162" t="s">
        <v>227</v>
      </c>
      <c r="AB500" s="163" t="str">
        <f>IFERROR(VLOOKUP(AA500,TD!$N$51:$O$66,2,0)," ")</f>
        <v>Sedes mantenidas</v>
      </c>
      <c r="AC500" s="164" t="str">
        <f>CONCATENATE(AA500,"_",AB500)</f>
        <v>016_Sedes mantenidas</v>
      </c>
      <c r="AD500" s="164" t="str">
        <f>CONCATENATE(Z500," ",AC500)</f>
        <v>08-Infraestructura física, mantenimiento y dotación (Sedes construidas, mantenidas reforzadas) 016_Sedes mantenidas</v>
      </c>
      <c r="AE500" s="163" t="str">
        <f>CONCATENATE(U500,V500,W500,X500,AA500)</f>
        <v>O23011745992024020708016</v>
      </c>
      <c r="AF500" s="163" t="str">
        <f>IFERROR(VLOOKUP(AD500,TD!$J$66:$K$89,2,0)," ")</f>
        <v>PM/0131/0108/45990160207</v>
      </c>
      <c r="AG500" s="118" t="s">
        <v>385</v>
      </c>
      <c r="AH500" s="162" t="s">
        <v>193</v>
      </c>
      <c r="AI500" s="165" t="str">
        <f>CONCATENATE(PAA[[#This Row],[Id Interno]],"-",PAA[[#This Row],[tipo de Contrato (TH talento humano - B/S bienes y/o servicios)]],"-",S500,"-",T500,"-",PAA[[#This Row],[Objeto de la contratación]])</f>
        <v>20260485-TH-8126-8-Prestación de servicios de apoyo a la gestión, en la Subdirección de Gestión Corporativa en temas de infraestructura para el sostenimiento y mejoramiento de los equipamientos de la Unidad Administrativa Especial Cuerpo Oficial de Bomberos de Bogotá-SGC</v>
      </c>
    </row>
    <row r="501" spans="2:35" ht="112" x14ac:dyDescent="0.35">
      <c r="B501" s="23">
        <v>20260486</v>
      </c>
      <c r="C501" s="99" t="s">
        <v>724</v>
      </c>
      <c r="D501" s="23" t="s">
        <v>105</v>
      </c>
      <c r="E501" s="23" t="s">
        <v>363</v>
      </c>
      <c r="F501" s="159" t="s">
        <v>144</v>
      </c>
      <c r="G501" s="160" t="s">
        <v>373</v>
      </c>
      <c r="H501" s="161">
        <v>11</v>
      </c>
      <c r="I501" s="161">
        <v>0</v>
      </c>
      <c r="J501" s="127">
        <v>100273000</v>
      </c>
      <c r="K501" s="88" t="s">
        <v>398</v>
      </c>
      <c r="L501" s="159" t="s">
        <v>155</v>
      </c>
      <c r="M501" s="162" t="s">
        <v>422</v>
      </c>
      <c r="N501" s="23" t="s">
        <v>197</v>
      </c>
      <c r="O501" s="151" t="s">
        <v>945</v>
      </c>
      <c r="P501" s="159" t="s">
        <v>348</v>
      </c>
      <c r="Q501" s="53" t="s">
        <v>766</v>
      </c>
      <c r="R501" s="162" t="s">
        <v>208</v>
      </c>
      <c r="S501" s="162" t="str">
        <f>MID(PAA[[#This Row],[Meta Proyecto de Inversión]],1,4)</f>
        <v>8126</v>
      </c>
      <c r="T501" s="162" t="str">
        <f>MID(PAA[[#This Row],[Meta Proyecto de Inversión]],6,1)</f>
        <v>9</v>
      </c>
      <c r="U501" s="163" t="str">
        <f>IFERROR(VLOOKUP(N501,TD!$B$50:$F$54,2,0)," ")</f>
        <v>O230117</v>
      </c>
      <c r="V501" s="163" t="str">
        <f>IFERROR(VLOOKUP(N501,TD!$B$50:$F$54,3,0)," ")</f>
        <v>4599</v>
      </c>
      <c r="W501" s="163">
        <f>IFERROR(VLOOKUP(N501,TD!$B$50:$F$54,4,0)," ")</f>
        <v>20240207</v>
      </c>
      <c r="X501" s="162" t="s">
        <v>174</v>
      </c>
      <c r="Y501" s="163" t="str">
        <f>IFERROR(VLOOKUP(X501,TD!$J$51:$K$64,2,0)," ")</f>
        <v>Infraestructura física, mantenimiento y dotación (Sedes construidas, mantenidas reforzadas)</v>
      </c>
      <c r="Z501" s="164" t="str">
        <f>CONCATENATE(X501,"-",Y501)</f>
        <v>08-Infraestructura física, mantenimiento y dotación (Sedes construidas, mantenidas reforzadas)</v>
      </c>
      <c r="AA501" s="162" t="s">
        <v>227</v>
      </c>
      <c r="AB501" s="163" t="str">
        <f>IFERROR(VLOOKUP(AA501,TD!$N$51:$O$66,2,0)," ")</f>
        <v>Sedes mantenidas</v>
      </c>
      <c r="AC501" s="164" t="str">
        <f>CONCATENATE(AA501,"_",AB501)</f>
        <v>016_Sedes mantenidas</v>
      </c>
      <c r="AD501" s="164" t="str">
        <f>CONCATENATE(Z501," ",AC501)</f>
        <v>08-Infraestructura física, mantenimiento y dotación (Sedes construidas, mantenidas reforzadas) 016_Sedes mantenidas</v>
      </c>
      <c r="AE501" s="163" t="str">
        <f>CONCATENATE(U501,V501,W501,X501,AA501)</f>
        <v>O23011745992024020708016</v>
      </c>
      <c r="AF501" s="163" t="str">
        <f>IFERROR(VLOOKUP(AD501,TD!$J$66:$K$89,2,0)," ")</f>
        <v>PM/0131/0108/45990160207</v>
      </c>
      <c r="AG501" s="118" t="s">
        <v>385</v>
      </c>
      <c r="AH501" s="162" t="s">
        <v>193</v>
      </c>
      <c r="AI501" s="165" t="str">
        <f>CONCATENATE(PAA[[#This Row],[Id Interno]],"-",PAA[[#This Row],[tipo de Contrato (TH talento humano - B/S bienes y/o servicios)]],"-",S501,"-",T501,"-",PAA[[#This Row],[Objeto de la contratación]])</f>
        <v>20260486-TH-8126-9-Prestar los servicios profesionales para el acompañamiento y seguimiento de los planes y proyectos del area de inventarios de la Subdireccion de Gestión Corporativa-SGC</v>
      </c>
    </row>
    <row r="502" spans="2:35" ht="56" x14ac:dyDescent="0.35">
      <c r="B502" s="23">
        <v>20260487</v>
      </c>
      <c r="C502" s="99" t="s">
        <v>725</v>
      </c>
      <c r="D502" s="23" t="s">
        <v>105</v>
      </c>
      <c r="E502" s="23" t="s">
        <v>363</v>
      </c>
      <c r="F502" s="159" t="s">
        <v>144</v>
      </c>
      <c r="G502" s="160" t="s">
        <v>373</v>
      </c>
      <c r="H502" s="161">
        <v>11</v>
      </c>
      <c r="I502" s="161">
        <v>0</v>
      </c>
      <c r="J502" s="127">
        <v>56772000</v>
      </c>
      <c r="K502" s="88" t="s">
        <v>398</v>
      </c>
      <c r="L502" s="159" t="s">
        <v>155</v>
      </c>
      <c r="M502" s="162" t="s">
        <v>422</v>
      </c>
      <c r="N502" s="23" t="s">
        <v>197</v>
      </c>
      <c r="O502" s="151" t="s">
        <v>945</v>
      </c>
      <c r="P502" s="159" t="s">
        <v>348</v>
      </c>
      <c r="Q502" s="53" t="s">
        <v>766</v>
      </c>
      <c r="R502" s="162" t="s">
        <v>208</v>
      </c>
      <c r="S502" s="162" t="str">
        <f>MID(PAA[[#This Row],[Meta Proyecto de Inversión]],1,4)</f>
        <v>8126</v>
      </c>
      <c r="T502" s="162" t="str">
        <f>MID(PAA[[#This Row],[Meta Proyecto de Inversión]],6,1)</f>
        <v>9</v>
      </c>
      <c r="U502" s="163" t="str">
        <f>IFERROR(VLOOKUP(N502,TD!$B$50:$F$54,2,0)," ")</f>
        <v>O230117</v>
      </c>
      <c r="V502" s="163" t="str">
        <f>IFERROR(VLOOKUP(N502,TD!$B$50:$F$54,3,0)," ")</f>
        <v>4599</v>
      </c>
      <c r="W502" s="163">
        <f>IFERROR(VLOOKUP(N502,TD!$B$50:$F$54,4,0)," ")</f>
        <v>20240207</v>
      </c>
      <c r="X502" s="162" t="s">
        <v>174</v>
      </c>
      <c r="Y502" s="163" t="str">
        <f>IFERROR(VLOOKUP(X502,TD!$J$51:$K$64,2,0)," ")</f>
        <v>Infraestructura física, mantenimiento y dotación (Sedes construidas, mantenidas reforzadas)</v>
      </c>
      <c r="Z502" s="164" t="str">
        <f>CONCATENATE(X502,"-",Y502)</f>
        <v>08-Infraestructura física, mantenimiento y dotación (Sedes construidas, mantenidas reforzadas)</v>
      </c>
      <c r="AA502" s="162" t="s">
        <v>227</v>
      </c>
      <c r="AB502" s="163" t="str">
        <f>IFERROR(VLOOKUP(AA502,TD!$N$51:$O$66,2,0)," ")</f>
        <v>Sedes mantenidas</v>
      </c>
      <c r="AC502" s="164" t="str">
        <f>CONCATENATE(AA502,"_",AB502)</f>
        <v>016_Sedes mantenidas</v>
      </c>
      <c r="AD502" s="164" t="str">
        <f>CONCATENATE(Z502," ",AC502)</f>
        <v>08-Infraestructura física, mantenimiento y dotación (Sedes construidas, mantenidas reforzadas) 016_Sedes mantenidas</v>
      </c>
      <c r="AE502" s="163" t="str">
        <f>CONCATENATE(U502,V502,W502,X502,AA502)</f>
        <v>O23011745992024020708016</v>
      </c>
      <c r="AF502" s="163" t="str">
        <f>IFERROR(VLOOKUP(AD502,TD!$J$66:$K$89,2,0)," ")</f>
        <v>PM/0131/0108/45990160207</v>
      </c>
      <c r="AG502" s="118" t="s">
        <v>385</v>
      </c>
      <c r="AH502" s="162" t="s">
        <v>193</v>
      </c>
      <c r="AI502" s="165" t="str">
        <f>CONCATENATE(PAA[[#This Row],[Id Interno]],"-",PAA[[#This Row],[tipo de Contrato (TH talento humano - B/S bienes y/o servicios)]],"-",S502,"-",T502,"-",PAA[[#This Row],[Objeto de la contratación]])</f>
        <v>20260487-TH-8126-9-Prestar los servicios profesionales en el area de inventarios de la Subdireccion de Gestión Corporativa-SGC</v>
      </c>
    </row>
    <row r="503" spans="2:35" ht="70" x14ac:dyDescent="0.35">
      <c r="B503" s="23">
        <v>20260488</v>
      </c>
      <c r="C503" s="99" t="s">
        <v>726</v>
      </c>
      <c r="D503" s="23" t="s">
        <v>105</v>
      </c>
      <c r="E503" s="23" t="s">
        <v>363</v>
      </c>
      <c r="F503" s="159" t="s">
        <v>145</v>
      </c>
      <c r="G503" s="160" t="s">
        <v>373</v>
      </c>
      <c r="H503" s="161">
        <v>10</v>
      </c>
      <c r="I503" s="161">
        <v>0</v>
      </c>
      <c r="J503" s="127">
        <v>38205000</v>
      </c>
      <c r="K503" s="88" t="s">
        <v>398</v>
      </c>
      <c r="L503" s="159" t="s">
        <v>155</v>
      </c>
      <c r="M503" s="162" t="s">
        <v>422</v>
      </c>
      <c r="N503" s="23" t="s">
        <v>197</v>
      </c>
      <c r="O503" s="151" t="s">
        <v>945</v>
      </c>
      <c r="P503" s="159" t="s">
        <v>348</v>
      </c>
      <c r="Q503" s="53" t="s">
        <v>766</v>
      </c>
      <c r="R503" s="162" t="s">
        <v>208</v>
      </c>
      <c r="S503" s="162" t="str">
        <f>MID(PAA[[#This Row],[Meta Proyecto de Inversión]],1,4)</f>
        <v>8126</v>
      </c>
      <c r="T503" s="162" t="str">
        <f>MID(PAA[[#This Row],[Meta Proyecto de Inversión]],6,1)</f>
        <v>9</v>
      </c>
      <c r="U503" s="163" t="str">
        <f>IFERROR(VLOOKUP(N503,TD!$B$50:$F$54,2,0)," ")</f>
        <v>O230117</v>
      </c>
      <c r="V503" s="163" t="str">
        <f>IFERROR(VLOOKUP(N503,TD!$B$50:$F$54,3,0)," ")</f>
        <v>4599</v>
      </c>
      <c r="W503" s="163">
        <f>IFERROR(VLOOKUP(N503,TD!$B$50:$F$54,4,0)," ")</f>
        <v>20240207</v>
      </c>
      <c r="X503" s="162" t="s">
        <v>174</v>
      </c>
      <c r="Y503" s="163" t="str">
        <f>IFERROR(VLOOKUP(X503,TD!$J$51:$K$64,2,0)," ")</f>
        <v>Infraestructura física, mantenimiento y dotación (Sedes construidas, mantenidas reforzadas)</v>
      </c>
      <c r="Z503" s="164" t="str">
        <f>CONCATENATE(X503,"-",Y503)</f>
        <v>08-Infraestructura física, mantenimiento y dotación (Sedes construidas, mantenidas reforzadas)</v>
      </c>
      <c r="AA503" s="162" t="s">
        <v>227</v>
      </c>
      <c r="AB503" s="163" t="str">
        <f>IFERROR(VLOOKUP(AA503,TD!$N$51:$O$66,2,0)," ")</f>
        <v>Sedes mantenidas</v>
      </c>
      <c r="AC503" s="164" t="str">
        <f>CONCATENATE(AA503,"_",AB503)</f>
        <v>016_Sedes mantenidas</v>
      </c>
      <c r="AD503" s="164" t="str">
        <f>CONCATENATE(Z503," ",AC503)</f>
        <v>08-Infraestructura física, mantenimiento y dotación (Sedes construidas, mantenidas reforzadas) 016_Sedes mantenidas</v>
      </c>
      <c r="AE503" s="163" t="str">
        <f>CONCATENATE(U503,V503,W503,X503,AA503)</f>
        <v>O23011745992024020708016</v>
      </c>
      <c r="AF503" s="163" t="str">
        <f>IFERROR(VLOOKUP(AD503,TD!$J$66:$K$89,2,0)," ")</f>
        <v>PM/0131/0108/45990160207</v>
      </c>
      <c r="AG503" s="118" t="s">
        <v>385</v>
      </c>
      <c r="AH503" s="162" t="s">
        <v>193</v>
      </c>
      <c r="AI503" s="165" t="str">
        <f>CONCATENATE(PAA[[#This Row],[Id Interno]],"-",PAA[[#This Row],[tipo de Contrato (TH talento humano - B/S bienes y/o servicios)]],"-",S503,"-",T503,"-",PAA[[#This Row],[Objeto de la contratación]])</f>
        <v>20260488-TH-8126-9-Prestación de servicios de apoyo en las actividades asociadas a los procesos administrativo de la Subdirección de Gestión Corporativa- SGC</v>
      </c>
    </row>
    <row r="504" spans="2:35" ht="84" x14ac:dyDescent="0.35">
      <c r="B504" s="23">
        <v>20260489</v>
      </c>
      <c r="C504" s="99" t="s">
        <v>727</v>
      </c>
      <c r="D504" s="23" t="s">
        <v>105</v>
      </c>
      <c r="E504" s="23" t="s">
        <v>363</v>
      </c>
      <c r="F504" s="159" t="s">
        <v>144</v>
      </c>
      <c r="G504" s="160" t="s">
        <v>373</v>
      </c>
      <c r="H504" s="161">
        <v>11</v>
      </c>
      <c r="I504" s="161">
        <v>0</v>
      </c>
      <c r="J504" s="127">
        <v>77000000</v>
      </c>
      <c r="K504" s="88" t="s">
        <v>398</v>
      </c>
      <c r="L504" s="159" t="s">
        <v>155</v>
      </c>
      <c r="M504" s="162" t="s">
        <v>422</v>
      </c>
      <c r="N504" s="23" t="s">
        <v>197</v>
      </c>
      <c r="O504" s="151" t="s">
        <v>945</v>
      </c>
      <c r="P504" s="159" t="s">
        <v>348</v>
      </c>
      <c r="Q504" s="53" t="s">
        <v>766</v>
      </c>
      <c r="R504" s="162" t="s">
        <v>208</v>
      </c>
      <c r="S504" s="162" t="str">
        <f>MID(PAA[[#This Row],[Meta Proyecto de Inversión]],1,4)</f>
        <v>8126</v>
      </c>
      <c r="T504" s="162" t="str">
        <f>MID(PAA[[#This Row],[Meta Proyecto de Inversión]],6,1)</f>
        <v>9</v>
      </c>
      <c r="U504" s="163" t="str">
        <f>IFERROR(VLOOKUP(N504,TD!$B$50:$F$54,2,0)," ")</f>
        <v>O230117</v>
      </c>
      <c r="V504" s="163" t="str">
        <f>IFERROR(VLOOKUP(N504,TD!$B$50:$F$54,3,0)," ")</f>
        <v>4599</v>
      </c>
      <c r="W504" s="163">
        <f>IFERROR(VLOOKUP(N504,TD!$B$50:$F$54,4,0)," ")</f>
        <v>20240207</v>
      </c>
      <c r="X504" s="162" t="s">
        <v>174</v>
      </c>
      <c r="Y504" s="163" t="str">
        <f>IFERROR(VLOOKUP(X504,TD!$J$51:$K$64,2,0)," ")</f>
        <v>Infraestructura física, mantenimiento y dotación (Sedes construidas, mantenidas reforzadas)</v>
      </c>
      <c r="Z504" s="164" t="str">
        <f>CONCATENATE(X504,"-",Y504)</f>
        <v>08-Infraestructura física, mantenimiento y dotación (Sedes construidas, mantenidas reforzadas)</v>
      </c>
      <c r="AA504" s="162" t="s">
        <v>227</v>
      </c>
      <c r="AB504" s="163" t="str">
        <f>IFERROR(VLOOKUP(AA504,TD!$N$51:$O$66,2,0)," ")</f>
        <v>Sedes mantenidas</v>
      </c>
      <c r="AC504" s="164" t="str">
        <f>CONCATENATE(AA504,"_",AB504)</f>
        <v>016_Sedes mantenidas</v>
      </c>
      <c r="AD504" s="164" t="str">
        <f>CONCATENATE(Z504," ",AC504)</f>
        <v>08-Infraestructura física, mantenimiento y dotación (Sedes construidas, mantenidas reforzadas) 016_Sedes mantenidas</v>
      </c>
      <c r="AE504" s="163" t="str">
        <f>CONCATENATE(U504,V504,W504,X504,AA504)</f>
        <v>O23011745992024020708016</v>
      </c>
      <c r="AF504" s="163" t="str">
        <f>IFERROR(VLOOKUP(AD504,TD!$J$66:$K$89,2,0)," ")</f>
        <v>PM/0131/0108/45990160207</v>
      </c>
      <c r="AG504" s="118" t="s">
        <v>385</v>
      </c>
      <c r="AH504" s="162" t="s">
        <v>193</v>
      </c>
      <c r="AI504" s="165" t="str">
        <f>CONCATENATE(PAA[[#This Row],[Id Interno]],"-",PAA[[#This Row],[tipo de Contrato (TH talento humano - B/S bienes y/o servicios)]],"-",S504,"-",T504,"-",PAA[[#This Row],[Objeto de la contratación]])</f>
        <v>20260489-TH-8126-9-Prestar los servicios profesionales para el acompañamiento y seguimiento de los planes y proyectos del grupo del almacén de la Subdireccion de Gestión Corporativa-SGC</v>
      </c>
    </row>
    <row r="505" spans="2:35" ht="70" x14ac:dyDescent="0.35">
      <c r="B505" s="23">
        <v>20260490</v>
      </c>
      <c r="C505" s="99" t="s">
        <v>720</v>
      </c>
      <c r="D505" s="23" t="s">
        <v>105</v>
      </c>
      <c r="E505" s="23" t="s">
        <v>363</v>
      </c>
      <c r="F505" s="159" t="s">
        <v>144</v>
      </c>
      <c r="G505" s="160" t="s">
        <v>373</v>
      </c>
      <c r="H505" s="161">
        <v>11</v>
      </c>
      <c r="I505" s="161">
        <v>0</v>
      </c>
      <c r="J505" s="127">
        <v>56772000</v>
      </c>
      <c r="K505" s="88" t="s">
        <v>398</v>
      </c>
      <c r="L505" s="159" t="s">
        <v>155</v>
      </c>
      <c r="M505" s="162" t="s">
        <v>422</v>
      </c>
      <c r="N505" s="23" t="s">
        <v>197</v>
      </c>
      <c r="O505" s="151" t="s">
        <v>945</v>
      </c>
      <c r="P505" s="159" t="s">
        <v>348</v>
      </c>
      <c r="Q505" s="53" t="s">
        <v>766</v>
      </c>
      <c r="R505" s="162" t="s">
        <v>207</v>
      </c>
      <c r="S505" s="162" t="str">
        <f>MID(PAA[[#This Row],[Meta Proyecto de Inversión]],1,4)</f>
        <v>8126</v>
      </c>
      <c r="T505" s="162" t="str">
        <f>MID(PAA[[#This Row],[Meta Proyecto de Inversión]],6,1)</f>
        <v>8</v>
      </c>
      <c r="U505" s="163" t="str">
        <f>IFERROR(VLOOKUP(N505,TD!$B$50:$F$54,2,0)," ")</f>
        <v>O230117</v>
      </c>
      <c r="V505" s="163" t="str">
        <f>IFERROR(VLOOKUP(N505,TD!$B$50:$F$54,3,0)," ")</f>
        <v>4599</v>
      </c>
      <c r="W505" s="163">
        <f>IFERROR(VLOOKUP(N505,TD!$B$50:$F$54,4,0)," ")</f>
        <v>20240207</v>
      </c>
      <c r="X505" s="162" t="s">
        <v>174</v>
      </c>
      <c r="Y505" s="163" t="str">
        <f>IFERROR(VLOOKUP(X505,TD!$J$51:$K$64,2,0)," ")</f>
        <v>Infraestructura física, mantenimiento y dotación (Sedes construidas, mantenidas reforzadas)</v>
      </c>
      <c r="Z505" s="164" t="str">
        <f>CONCATENATE(X505,"-",Y505)</f>
        <v>08-Infraestructura física, mantenimiento y dotación (Sedes construidas, mantenidas reforzadas)</v>
      </c>
      <c r="AA505" s="162" t="s">
        <v>227</v>
      </c>
      <c r="AB505" s="163" t="str">
        <f>IFERROR(VLOOKUP(AA505,TD!$N$51:$O$66,2,0)," ")</f>
        <v>Sedes mantenidas</v>
      </c>
      <c r="AC505" s="164" t="str">
        <f>CONCATENATE(AA505,"_",AB505)</f>
        <v>016_Sedes mantenidas</v>
      </c>
      <c r="AD505" s="164" t="str">
        <f>CONCATENATE(Z505," ",AC505)</f>
        <v>08-Infraestructura física, mantenimiento y dotación (Sedes construidas, mantenidas reforzadas) 016_Sedes mantenidas</v>
      </c>
      <c r="AE505" s="163" t="str">
        <f>CONCATENATE(U505,V505,W505,X505,AA505)</f>
        <v>O23011745992024020708016</v>
      </c>
      <c r="AF505" s="163" t="str">
        <f>IFERROR(VLOOKUP(AD505,TD!$J$66:$K$89,2,0)," ")</f>
        <v>PM/0131/0108/45990160207</v>
      </c>
      <c r="AG505" s="118" t="s">
        <v>385</v>
      </c>
      <c r="AH505" s="162" t="s">
        <v>193</v>
      </c>
      <c r="AI505" s="165" t="str">
        <f>CONCATENATE(PAA[[#This Row],[Id Interno]],"-",PAA[[#This Row],[tipo de Contrato (TH talento humano - B/S bienes y/o servicios)]],"-",S505,"-",T505,"-",PAA[[#This Row],[Objeto de la contratación]])</f>
        <v>20260490-TH-8126-8-Prestar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v>
      </c>
    </row>
    <row r="506" spans="2:35" ht="132.5" customHeight="1" x14ac:dyDescent="0.35">
      <c r="B506" s="23">
        <v>20260491</v>
      </c>
      <c r="C506" s="99" t="s">
        <v>728</v>
      </c>
      <c r="D506" s="23" t="s">
        <v>105</v>
      </c>
      <c r="E506" s="23" t="s">
        <v>363</v>
      </c>
      <c r="F506" s="159" t="s">
        <v>144</v>
      </c>
      <c r="G506" s="160" t="s">
        <v>373</v>
      </c>
      <c r="H506" s="161">
        <v>6</v>
      </c>
      <c r="I506" s="161">
        <v>0</v>
      </c>
      <c r="J506" s="127">
        <v>42000000</v>
      </c>
      <c r="K506" s="88" t="s">
        <v>398</v>
      </c>
      <c r="L506" s="159" t="s">
        <v>155</v>
      </c>
      <c r="M506" s="162" t="s">
        <v>422</v>
      </c>
      <c r="N506" s="23" t="s">
        <v>197</v>
      </c>
      <c r="O506" s="151" t="s">
        <v>945</v>
      </c>
      <c r="P506" s="159" t="s">
        <v>348</v>
      </c>
      <c r="Q506" s="53" t="s">
        <v>766</v>
      </c>
      <c r="R506" s="162" t="s">
        <v>208</v>
      </c>
      <c r="S506" s="162" t="str">
        <f>MID(PAA[[#This Row],[Meta Proyecto de Inversión]],1,4)</f>
        <v>8126</v>
      </c>
      <c r="T506" s="162" t="str">
        <f>MID(PAA[[#This Row],[Meta Proyecto de Inversión]],6,1)</f>
        <v>9</v>
      </c>
      <c r="U506" s="163" t="str">
        <f>IFERROR(VLOOKUP(N506,TD!$B$50:$F$54,2,0)," ")</f>
        <v>O230117</v>
      </c>
      <c r="V506" s="163" t="str">
        <f>IFERROR(VLOOKUP(N506,TD!$B$50:$F$54,3,0)," ")</f>
        <v>4599</v>
      </c>
      <c r="W506" s="163">
        <f>IFERROR(VLOOKUP(N506,TD!$B$50:$F$54,4,0)," ")</f>
        <v>20240207</v>
      </c>
      <c r="X506" s="162" t="s">
        <v>174</v>
      </c>
      <c r="Y506" s="163" t="str">
        <f>IFERROR(VLOOKUP(X506,TD!$J$51:$K$64,2,0)," ")</f>
        <v>Infraestructura física, mantenimiento y dotación (Sedes construidas, mantenidas reforzadas)</v>
      </c>
      <c r="Z506" s="164" t="str">
        <f>CONCATENATE(X506,"-",Y506)</f>
        <v>08-Infraestructura física, mantenimiento y dotación (Sedes construidas, mantenidas reforzadas)</v>
      </c>
      <c r="AA506" s="162" t="s">
        <v>227</v>
      </c>
      <c r="AB506" s="163" t="str">
        <f>IFERROR(VLOOKUP(AA506,TD!$N$51:$O$66,2,0)," ")</f>
        <v>Sedes mantenidas</v>
      </c>
      <c r="AC506" s="164" t="str">
        <f>CONCATENATE(AA506,"_",AB506)</f>
        <v>016_Sedes mantenidas</v>
      </c>
      <c r="AD506" s="164" t="str">
        <f>CONCATENATE(Z506," ",AC506)</f>
        <v>08-Infraestructura física, mantenimiento y dotación (Sedes construidas, mantenidas reforzadas) 016_Sedes mantenidas</v>
      </c>
      <c r="AE506" s="163" t="str">
        <f>CONCATENATE(U506,V506,W506,X506,AA506)</f>
        <v>O23011745992024020708016</v>
      </c>
      <c r="AF506" s="163" t="str">
        <f>IFERROR(VLOOKUP(AD506,TD!$J$66:$K$89,2,0)," ")</f>
        <v>PM/0131/0108/45990160207</v>
      </c>
      <c r="AG506" s="118" t="s">
        <v>385</v>
      </c>
      <c r="AH506" s="162" t="s">
        <v>193</v>
      </c>
      <c r="AI506" s="165" t="str">
        <f>CONCATENATE(PAA[[#This Row],[Id Interno]],"-",PAA[[#This Row],[tipo de Contrato (TH talento humano - B/S bienes y/o servicios)]],"-",S506,"-",T506,"-",PAA[[#This Row],[Objeto de la contratación]])</f>
        <v>20260491-TH-8126-9-Prestación de servicios profesionales en el acompañamiento y asistencia al proceso de gestión documental de la UAE Cuerpo oficial de Bomberos. -SGC</v>
      </c>
    </row>
    <row r="507" spans="2:35" ht="83.5" customHeight="1" x14ac:dyDescent="0.35">
      <c r="B507" s="23">
        <v>20260492</v>
      </c>
      <c r="C507" s="99" t="s">
        <v>729</v>
      </c>
      <c r="D507" s="23" t="s">
        <v>105</v>
      </c>
      <c r="E507" s="23" t="s">
        <v>363</v>
      </c>
      <c r="F507" s="159" t="s">
        <v>144</v>
      </c>
      <c r="G507" s="160" t="s">
        <v>373</v>
      </c>
      <c r="H507" s="161">
        <v>11</v>
      </c>
      <c r="I507" s="161">
        <v>0</v>
      </c>
      <c r="J507" s="127">
        <v>77000000</v>
      </c>
      <c r="K507" s="88" t="s">
        <v>398</v>
      </c>
      <c r="L507" s="159" t="s">
        <v>155</v>
      </c>
      <c r="M507" s="162" t="s">
        <v>422</v>
      </c>
      <c r="N507" s="23" t="s">
        <v>197</v>
      </c>
      <c r="O507" s="151" t="s">
        <v>945</v>
      </c>
      <c r="P507" s="159" t="s">
        <v>348</v>
      </c>
      <c r="Q507" s="53" t="s">
        <v>766</v>
      </c>
      <c r="R507" s="162" t="s">
        <v>207</v>
      </c>
      <c r="S507" s="162" t="str">
        <f>MID(PAA[[#This Row],[Meta Proyecto de Inversión]],1,4)</f>
        <v>8126</v>
      </c>
      <c r="T507" s="162" t="str">
        <f>MID(PAA[[#This Row],[Meta Proyecto de Inversión]],6,1)</f>
        <v>8</v>
      </c>
      <c r="U507" s="163" t="str">
        <f>IFERROR(VLOOKUP(N507,TD!$B$50:$F$54,2,0)," ")</f>
        <v>O230117</v>
      </c>
      <c r="V507" s="163" t="str">
        <f>IFERROR(VLOOKUP(N507,TD!$B$50:$F$54,3,0)," ")</f>
        <v>4599</v>
      </c>
      <c r="W507" s="163">
        <f>IFERROR(VLOOKUP(N507,TD!$B$50:$F$54,4,0)," ")</f>
        <v>20240207</v>
      </c>
      <c r="X507" s="162" t="s">
        <v>174</v>
      </c>
      <c r="Y507" s="163" t="str">
        <f>IFERROR(VLOOKUP(X507,TD!$J$51:$K$64,2,0)," ")</f>
        <v>Infraestructura física, mantenimiento y dotación (Sedes construidas, mantenidas reforzadas)</v>
      </c>
      <c r="Z507" s="164" t="str">
        <f>CONCATENATE(X507,"-",Y507)</f>
        <v>08-Infraestructura física, mantenimiento y dotación (Sedes construidas, mantenidas reforzadas)</v>
      </c>
      <c r="AA507" s="162" t="s">
        <v>227</v>
      </c>
      <c r="AB507" s="163" t="str">
        <f>IFERROR(VLOOKUP(AA507,TD!$N$51:$O$66,2,0)," ")</f>
        <v>Sedes mantenidas</v>
      </c>
      <c r="AC507" s="164" t="str">
        <f>CONCATENATE(AA507,"_",AB507)</f>
        <v>016_Sedes mantenidas</v>
      </c>
      <c r="AD507" s="164" t="str">
        <f>CONCATENATE(Z507," ",AC507)</f>
        <v>08-Infraestructura física, mantenimiento y dotación (Sedes construidas, mantenidas reforzadas) 016_Sedes mantenidas</v>
      </c>
      <c r="AE507" s="163" t="str">
        <f>CONCATENATE(U507,V507,W507,X507,AA507)</f>
        <v>O23011745992024020708016</v>
      </c>
      <c r="AF507" s="163" t="str">
        <f>IFERROR(VLOOKUP(AD507,TD!$J$66:$K$89,2,0)," ")</f>
        <v>PM/0131/0108/45990160207</v>
      </c>
      <c r="AG507" s="118" t="s">
        <v>385</v>
      </c>
      <c r="AH507" s="170" t="s">
        <v>193</v>
      </c>
      <c r="AI507" s="165" t="str">
        <f>CONCATENATE(PAA[[#This Row],[Id Interno]],"-",PAA[[#This Row],[tipo de Contrato (TH talento humano - B/S bienes y/o servicios)]],"-",S507,"-",T507,"-",PAA[[#This Row],[Objeto de la contratación]])</f>
        <v>20260492-TH-8126-8-Prestación de servicios profesionales especializados para desarrollar las actividades técnicas y administrativas del Área de Infraestructura de la Subdirección de Gestión Corporativa-SGC.</v>
      </c>
    </row>
    <row r="508" spans="2:35" ht="70" x14ac:dyDescent="0.35">
      <c r="B508" s="23">
        <v>20260493</v>
      </c>
      <c r="C508" s="121" t="s">
        <v>730</v>
      </c>
      <c r="D508" s="130" t="s">
        <v>105</v>
      </c>
      <c r="E508" s="130" t="s">
        <v>363</v>
      </c>
      <c r="F508" s="177" t="s">
        <v>144</v>
      </c>
      <c r="G508" s="171" t="s">
        <v>373</v>
      </c>
      <c r="H508" s="204">
        <v>11</v>
      </c>
      <c r="I508" s="161">
        <v>0</v>
      </c>
      <c r="J508" s="132">
        <v>77000000</v>
      </c>
      <c r="K508" s="133" t="s">
        <v>398</v>
      </c>
      <c r="L508" s="177" t="s">
        <v>155</v>
      </c>
      <c r="M508" s="173" t="s">
        <v>422</v>
      </c>
      <c r="N508" s="130" t="s">
        <v>197</v>
      </c>
      <c r="O508" s="151" t="s">
        <v>945</v>
      </c>
      <c r="P508" s="177" t="s">
        <v>348</v>
      </c>
      <c r="Q508" s="134" t="s">
        <v>766</v>
      </c>
      <c r="R508" s="173" t="s">
        <v>207</v>
      </c>
      <c r="S508" s="173" t="str">
        <f>MID(PAA[[#This Row],[Meta Proyecto de Inversión]],1,4)</f>
        <v>8126</v>
      </c>
      <c r="T508" s="173" t="str">
        <f>MID(PAA[[#This Row],[Meta Proyecto de Inversión]],6,1)</f>
        <v>8</v>
      </c>
      <c r="U508" s="178" t="str">
        <f>IFERROR(VLOOKUP(N508,TD!$B$50:$F$54,2,0)," ")</f>
        <v>O230117</v>
      </c>
      <c r="V508" s="178" t="str">
        <f>IFERROR(VLOOKUP(N508,TD!$B$50:$F$54,3,0)," ")</f>
        <v>4599</v>
      </c>
      <c r="W508" s="178">
        <f>IFERROR(VLOOKUP(N508,TD!$B$50:$F$54,4,0)," ")</f>
        <v>20240207</v>
      </c>
      <c r="X508" s="173" t="s">
        <v>174</v>
      </c>
      <c r="Y508" s="163" t="str">
        <f>IFERROR(VLOOKUP(X508,TD!$J$51:$K$64,2,0)," ")</f>
        <v>Infraestructura física, mantenimiento y dotación (Sedes construidas, mantenidas reforzadas)</v>
      </c>
      <c r="Z508" s="175" t="str">
        <f>CONCATENATE(X508,"-",Y508)</f>
        <v>08-Infraestructura física, mantenimiento y dotación (Sedes construidas, mantenidas reforzadas)</v>
      </c>
      <c r="AA508" s="173" t="s">
        <v>227</v>
      </c>
      <c r="AB508" s="163" t="str">
        <f>IFERROR(VLOOKUP(AA508,TD!$N$51:$O$66,2,0)," ")</f>
        <v>Sedes mantenidas</v>
      </c>
      <c r="AC508" s="175" t="str">
        <f>CONCATENATE(AA508,"_",AB508)</f>
        <v>016_Sedes mantenidas</v>
      </c>
      <c r="AD508" s="175" t="str">
        <f>CONCATENATE(Z508," ",AC508)</f>
        <v>08-Infraestructura física, mantenimiento y dotación (Sedes construidas, mantenidas reforzadas) 016_Sedes mantenidas</v>
      </c>
      <c r="AE508" s="178" t="str">
        <f>CONCATENATE(U508,V508,W508,X508,AA508)</f>
        <v>O23011745992024020708016</v>
      </c>
      <c r="AF508" s="163" t="str">
        <f>IFERROR(VLOOKUP(AD508,TD!$J$66:$K$89,2,0)," ")</f>
        <v>PM/0131/0108/45990160207</v>
      </c>
      <c r="AG508" s="135" t="s">
        <v>385</v>
      </c>
      <c r="AH508" s="180" t="s">
        <v>193</v>
      </c>
      <c r="AI508" s="165" t="str">
        <f>CONCATENATE(PAA[[#This Row],[Id Interno]],"-",PAA[[#This Row],[tipo de Contrato (TH talento humano - B/S bienes y/o servicios)]],"-",S508,"-",T508,"-",PAA[[#This Row],[Objeto de la contratación]])</f>
        <v>20260493-TH-8126-8-Prestación de servicios profesionales especializados para desarrollar las actividades técnicas y administrativas del Área de Infraestructura de la Subdirección de Gestión Corporativa-SGC</v>
      </c>
    </row>
    <row r="509" spans="2:35" ht="70" x14ac:dyDescent="0.35">
      <c r="B509" s="23">
        <v>20260494</v>
      </c>
      <c r="C509" s="121" t="s">
        <v>731</v>
      </c>
      <c r="D509" s="130" t="s">
        <v>105</v>
      </c>
      <c r="E509" s="130" t="s">
        <v>363</v>
      </c>
      <c r="F509" s="177" t="s">
        <v>144</v>
      </c>
      <c r="G509" s="171" t="s">
        <v>373</v>
      </c>
      <c r="H509" s="204">
        <v>6</v>
      </c>
      <c r="I509" s="161">
        <v>0</v>
      </c>
      <c r="J509" s="132">
        <v>42000000</v>
      </c>
      <c r="K509" s="133" t="s">
        <v>398</v>
      </c>
      <c r="L509" s="177" t="s">
        <v>155</v>
      </c>
      <c r="M509" s="173" t="s">
        <v>422</v>
      </c>
      <c r="N509" s="130" t="s">
        <v>197</v>
      </c>
      <c r="O509" s="151" t="s">
        <v>945</v>
      </c>
      <c r="P509" s="235" t="s">
        <v>348</v>
      </c>
      <c r="Q509" s="134" t="s">
        <v>766</v>
      </c>
      <c r="R509" s="173" t="s">
        <v>207</v>
      </c>
      <c r="S509" s="173" t="str">
        <f>MID(PAA[[#This Row],[Meta Proyecto de Inversión]],1,4)</f>
        <v>8126</v>
      </c>
      <c r="T509" s="173" t="str">
        <f>MID(PAA[[#This Row],[Meta Proyecto de Inversión]],6,1)</f>
        <v>8</v>
      </c>
      <c r="U509" s="178" t="str">
        <f>IFERROR(VLOOKUP(N509,TD!$B$50:$F$54,2,0)," ")</f>
        <v>O230117</v>
      </c>
      <c r="V509" s="178" t="str">
        <f>IFERROR(VLOOKUP(N509,TD!$B$50:$F$54,3,0)," ")</f>
        <v>4599</v>
      </c>
      <c r="W509" s="178">
        <f>IFERROR(VLOOKUP(N509,TD!$B$50:$F$54,4,0)," ")</f>
        <v>20240207</v>
      </c>
      <c r="X509" s="173" t="s">
        <v>174</v>
      </c>
      <c r="Y509" s="163" t="str">
        <f>IFERROR(VLOOKUP(X509,TD!$J$51:$K$64,2,0)," ")</f>
        <v>Infraestructura física, mantenimiento y dotación (Sedes construidas, mantenidas reforzadas)</v>
      </c>
      <c r="Z509" s="175" t="str">
        <f>CONCATENATE(X509,"-",Y509)</f>
        <v>08-Infraestructura física, mantenimiento y dotación (Sedes construidas, mantenidas reforzadas)</v>
      </c>
      <c r="AA509" s="173" t="s">
        <v>227</v>
      </c>
      <c r="AB509" s="163" t="str">
        <f>IFERROR(VLOOKUP(AA509,TD!$N$51:$O$66,2,0)," ")</f>
        <v>Sedes mantenidas</v>
      </c>
      <c r="AC509" s="175" t="str">
        <f>CONCATENATE(AA509,"_",AB509)</f>
        <v>016_Sedes mantenidas</v>
      </c>
      <c r="AD509" s="175" t="str">
        <f>CONCATENATE(Z509," ",AC509)</f>
        <v>08-Infraestructura física, mantenimiento y dotación (Sedes construidas, mantenidas reforzadas) 016_Sedes mantenidas</v>
      </c>
      <c r="AE509" s="178" t="str">
        <f>CONCATENATE(U509,V509,W509,X509,AA509)</f>
        <v>O23011745992024020708016</v>
      </c>
      <c r="AF509" s="163" t="str">
        <f>IFERROR(VLOOKUP(AD509,TD!$J$66:$K$89,2,0)," ")</f>
        <v>PM/0131/0108/45990160207</v>
      </c>
      <c r="AG509" s="135" t="s">
        <v>385</v>
      </c>
      <c r="AH509" s="162" t="s">
        <v>193</v>
      </c>
      <c r="AI509" s="165" t="str">
        <f>CONCATENATE(PAA[[#This Row],[Id Interno]],"-",PAA[[#This Row],[tipo de Contrato (TH talento humano - B/S bienes y/o servicios)]],"-",S509,"-",T509,"-",PAA[[#This Row],[Objeto de la contratación]])</f>
        <v>20260494-TH-8126-8-Prestar servicios profesionales especializados como ingeniero electrónico para apoyar las actividades propias que contribuyan al desarrollo de la infraestructura requerida por la entidad para la adecuada prestación del servicio-SGC</v>
      </c>
    </row>
    <row r="510" spans="2:35" ht="56" x14ac:dyDescent="0.35">
      <c r="B510" s="23">
        <v>20260495</v>
      </c>
      <c r="C510" s="99" t="s">
        <v>732</v>
      </c>
      <c r="D510" s="23" t="s">
        <v>114</v>
      </c>
      <c r="E510" s="23" t="s">
        <v>402</v>
      </c>
      <c r="F510" s="159" t="s">
        <v>89</v>
      </c>
      <c r="G510" s="160" t="s">
        <v>374</v>
      </c>
      <c r="H510" s="161">
        <v>10</v>
      </c>
      <c r="I510" s="161">
        <v>0</v>
      </c>
      <c r="J510" s="127">
        <v>355000000</v>
      </c>
      <c r="K510" s="88" t="s">
        <v>398</v>
      </c>
      <c r="L510" s="159" t="s">
        <v>155</v>
      </c>
      <c r="M510" s="162" t="s">
        <v>422</v>
      </c>
      <c r="N510" s="23" t="s">
        <v>197</v>
      </c>
      <c r="O510" s="151" t="s">
        <v>945</v>
      </c>
      <c r="P510" s="159" t="s">
        <v>348</v>
      </c>
      <c r="Q510" s="53" t="s">
        <v>767</v>
      </c>
      <c r="R510" s="162" t="s">
        <v>207</v>
      </c>
      <c r="S510" s="162" t="str">
        <f>MID(PAA[[#This Row],[Meta Proyecto de Inversión]],1,4)</f>
        <v>8126</v>
      </c>
      <c r="T510" s="162" t="str">
        <f>MID(PAA[[#This Row],[Meta Proyecto de Inversión]],6,1)</f>
        <v>8</v>
      </c>
      <c r="U510" s="163" t="str">
        <f>IFERROR(VLOOKUP(N510,TD!$B$50:$F$54,2,0)," ")</f>
        <v>O230117</v>
      </c>
      <c r="V510" s="163" t="str">
        <f>IFERROR(VLOOKUP(N510,TD!$B$50:$F$54,3,0)," ")</f>
        <v>4599</v>
      </c>
      <c r="W510" s="163">
        <f>IFERROR(VLOOKUP(N510,TD!$B$50:$F$54,4,0)," ")</f>
        <v>20240207</v>
      </c>
      <c r="X510" s="162" t="s">
        <v>174</v>
      </c>
      <c r="Y510" s="163" t="str">
        <f>IFERROR(VLOOKUP(X510,TD!$J$51:$K$64,2,0)," ")</f>
        <v>Infraestructura física, mantenimiento y dotación (Sedes construidas, mantenidas reforzadas)</v>
      </c>
      <c r="Z510" s="164" t="str">
        <f>CONCATENATE(X510,"-",Y510)</f>
        <v>08-Infraestructura física, mantenimiento y dotación (Sedes construidas, mantenidas reforzadas)</v>
      </c>
      <c r="AA510" s="162" t="s">
        <v>227</v>
      </c>
      <c r="AB510" s="163" t="str">
        <f>IFERROR(VLOOKUP(AA510,TD!$N$51:$O$66,2,0)," ")</f>
        <v>Sedes mantenidas</v>
      </c>
      <c r="AC510" s="164" t="str">
        <f>CONCATENATE(AA510,"_",AB510)</f>
        <v>016_Sedes mantenidas</v>
      </c>
      <c r="AD510" s="164" t="str">
        <f>CONCATENATE(Z510," ",AC510)</f>
        <v>08-Infraestructura física, mantenimiento y dotación (Sedes construidas, mantenidas reforzadas) 016_Sedes mantenidas</v>
      </c>
      <c r="AE510" s="163" t="str">
        <f>CONCATENATE(U510,V510,W510,X510,AA510)</f>
        <v>O23011745992024020708016</v>
      </c>
      <c r="AF510" s="163" t="str">
        <f>IFERROR(VLOOKUP(AD510,TD!$J$66:$K$89,2,0)," ")</f>
        <v>PM/0131/0108/45990160207</v>
      </c>
      <c r="AG510" s="118" t="s">
        <v>134</v>
      </c>
      <c r="AH510" s="170" t="s">
        <v>193</v>
      </c>
      <c r="AI510" s="165" t="str">
        <f>CONCATENATE(PAA[[#This Row],[Id Interno]],"-",PAA[[#This Row],[tipo de Contrato (TH talento humano - B/S bienes y/o servicios)]],"-",S510,"-",T510,"-",PAA[[#This Row],[Objeto de la contratación]])</f>
        <v>20260495-BS-8126-8-Contratar la prestación del servicio de aseo y cafetería incluido insumos para la Unidad Administrativa Especial Cuerpo Oficial de Bomberos Bogotá -SGC</v>
      </c>
    </row>
    <row r="511" spans="2:35" ht="42" x14ac:dyDescent="0.35">
      <c r="B511" s="23">
        <v>20260496</v>
      </c>
      <c r="C511" s="99" t="s">
        <v>998</v>
      </c>
      <c r="D511" s="23" t="s">
        <v>92</v>
      </c>
      <c r="E511" s="23" t="s">
        <v>402</v>
      </c>
      <c r="F511" s="159" t="s">
        <v>111</v>
      </c>
      <c r="G511" s="160" t="s">
        <v>377</v>
      </c>
      <c r="H511" s="161">
        <v>8</v>
      </c>
      <c r="I511" s="161">
        <v>0</v>
      </c>
      <c r="J511" s="127">
        <v>16000000</v>
      </c>
      <c r="K511" s="88" t="s">
        <v>398</v>
      </c>
      <c r="L511" s="159" t="s">
        <v>155</v>
      </c>
      <c r="M511" s="162" t="s">
        <v>422</v>
      </c>
      <c r="N511" s="23" t="s">
        <v>197</v>
      </c>
      <c r="O511" s="151" t="s">
        <v>945</v>
      </c>
      <c r="P511" s="159" t="s">
        <v>348</v>
      </c>
      <c r="Q511" s="53" t="s">
        <v>768</v>
      </c>
      <c r="R511" s="162" t="s">
        <v>207</v>
      </c>
      <c r="S511" s="162" t="str">
        <f>MID(PAA[[#This Row],[Meta Proyecto de Inversión]],1,4)</f>
        <v>8126</v>
      </c>
      <c r="T511" s="162" t="str">
        <f>MID(PAA[[#This Row],[Meta Proyecto de Inversión]],6,1)</f>
        <v>8</v>
      </c>
      <c r="U511" s="163" t="str">
        <f>IFERROR(VLOOKUP(N511,TD!$B$50:$F$54,2,0)," ")</f>
        <v>O230117</v>
      </c>
      <c r="V511" s="163" t="str">
        <f>IFERROR(VLOOKUP(N511,TD!$B$50:$F$54,3,0)," ")</f>
        <v>4599</v>
      </c>
      <c r="W511" s="163">
        <f>IFERROR(VLOOKUP(N511,TD!$B$50:$F$54,4,0)," ")</f>
        <v>20240207</v>
      </c>
      <c r="X511" s="162" t="s">
        <v>174</v>
      </c>
      <c r="Y511" s="163" t="str">
        <f>IFERROR(VLOOKUP(X511,TD!$J$51:$K$64,2,0)," ")</f>
        <v>Infraestructura física, mantenimiento y dotación (Sedes construidas, mantenidas reforzadas)</v>
      </c>
      <c r="Z511" s="164" t="str">
        <f>CONCATENATE(X511,"-",Y511)</f>
        <v>08-Infraestructura física, mantenimiento y dotación (Sedes construidas, mantenidas reforzadas)</v>
      </c>
      <c r="AA511" s="162" t="s">
        <v>227</v>
      </c>
      <c r="AB511" s="163" t="str">
        <f>IFERROR(VLOOKUP(AA511,TD!$N$51:$O$66,2,0)," ")</f>
        <v>Sedes mantenidas</v>
      </c>
      <c r="AC511" s="164" t="str">
        <f>CONCATENATE(AA511,"_",AB511)</f>
        <v>016_Sedes mantenidas</v>
      </c>
      <c r="AD511" s="164" t="str">
        <f>CONCATENATE(Z511," ",AC511)</f>
        <v>08-Infraestructura física, mantenimiento y dotación (Sedes construidas, mantenidas reforzadas) 016_Sedes mantenidas</v>
      </c>
      <c r="AE511" s="163" t="str">
        <f>CONCATENATE(U511,V511,W511,X511,AA511)</f>
        <v>O23011745992024020708016</v>
      </c>
      <c r="AF511" s="163" t="str">
        <f>IFERROR(VLOOKUP(AD511,TD!$J$66:$K$89,2,0)," ")</f>
        <v>PM/0131/0108/45990160207</v>
      </c>
      <c r="AG511" s="118" t="s">
        <v>134</v>
      </c>
      <c r="AH511" s="170" t="s">
        <v>193</v>
      </c>
      <c r="AI511" s="165" t="str">
        <f>CONCATENATE(PAA[[#This Row],[Id Interno]],"-",PAA[[#This Row],[tipo de Contrato (TH talento humano - B/S bienes y/o servicios)]],"-",S511,"-",T511,"-",PAA[[#This Row],[Objeto de la contratación]])</f>
        <v>20260496-BS-8126-8-Prestar el servicio y mantenimiento de equipos de higienización, desodorización y aromatización para la Unidad Administrativa Especial Cuerpo Oficial de Bomberos Bogotá-SGC</v>
      </c>
    </row>
    <row r="512" spans="2:35" ht="42" x14ac:dyDescent="0.35">
      <c r="B512" s="99">
        <v>20260497</v>
      </c>
      <c r="C512" s="99" t="s">
        <v>950</v>
      </c>
      <c r="D512" s="99" t="s">
        <v>83</v>
      </c>
      <c r="E512" s="99" t="s">
        <v>402</v>
      </c>
      <c r="F512" s="160" t="s">
        <v>136</v>
      </c>
      <c r="G512" s="160" t="s">
        <v>377</v>
      </c>
      <c r="H512" s="167">
        <v>8</v>
      </c>
      <c r="I512" s="167">
        <v>0</v>
      </c>
      <c r="J512" s="118">
        <v>50000000</v>
      </c>
      <c r="K512" s="126" t="s">
        <v>398</v>
      </c>
      <c r="L512" s="160" t="s">
        <v>155</v>
      </c>
      <c r="M512" s="166" t="s">
        <v>422</v>
      </c>
      <c r="N512" s="99" t="s">
        <v>197</v>
      </c>
      <c r="O512" s="151" t="s">
        <v>945</v>
      </c>
      <c r="P512" s="160" t="s">
        <v>348</v>
      </c>
      <c r="Q512" s="128" t="s">
        <v>957</v>
      </c>
      <c r="R512" s="166" t="s">
        <v>207</v>
      </c>
      <c r="S512" s="162" t="str">
        <f>MID(PAA[[#This Row],[Meta Proyecto de Inversión]],1,4)</f>
        <v>8126</v>
      </c>
      <c r="T512" s="162" t="str">
        <f>MID(PAA[[#This Row],[Meta Proyecto de Inversión]],6,1)</f>
        <v>8</v>
      </c>
      <c r="U512" s="168" t="str">
        <f>IFERROR(VLOOKUP(N512,TD!$B$50:$F$54,2,0)," ")</f>
        <v>O230117</v>
      </c>
      <c r="V512" s="168" t="str">
        <f>IFERROR(VLOOKUP(N512,TD!$B$50:$F$54,3,0)," ")</f>
        <v>4599</v>
      </c>
      <c r="W512" s="168">
        <f>IFERROR(VLOOKUP(N512,TD!$B$50:$F$54,4,0)," ")</f>
        <v>20240207</v>
      </c>
      <c r="X512" s="166" t="s">
        <v>174</v>
      </c>
      <c r="Y512" s="168" t="str">
        <f>IFERROR(VLOOKUP(X512,TD!$J$51:$K$64,2,0)," ")</f>
        <v>Infraestructura física, mantenimiento y dotación (Sedes construidas, mantenidas reforzadas)</v>
      </c>
      <c r="Z512" s="164" t="str">
        <f>CONCATENATE(X512,"-",Y512)</f>
        <v>08-Infraestructura física, mantenimiento y dotación (Sedes construidas, mantenidas reforzadas)</v>
      </c>
      <c r="AA512" s="166" t="s">
        <v>227</v>
      </c>
      <c r="AB512" s="168" t="str">
        <f>IFERROR(VLOOKUP(AA512,TD!$N$51:$O$66,2,0)," ")</f>
        <v>Sedes mantenidas</v>
      </c>
      <c r="AC512" s="164" t="str">
        <f>CONCATENATE(AA512,"_",AB512)</f>
        <v>016_Sedes mantenidas</v>
      </c>
      <c r="AD512" s="164" t="str">
        <f>CONCATENATE(Z512," ",AC512)</f>
        <v>08-Infraestructura física, mantenimiento y dotación (Sedes construidas, mantenidas reforzadas) 016_Sedes mantenidas</v>
      </c>
      <c r="AE512" s="168" t="str">
        <f>CONCATENATE(U512,V512,W512,X512,AA512)</f>
        <v>O23011745992024020708016</v>
      </c>
      <c r="AF512" s="168" t="str">
        <f>IFERROR(VLOOKUP(AD512,TD!$J$66:$K$89,2,0)," ")</f>
        <v>PM/0131/0108/45990160207</v>
      </c>
      <c r="AG512" s="118" t="s">
        <v>80</v>
      </c>
      <c r="AH512" s="179" t="s">
        <v>193</v>
      </c>
      <c r="AI512" s="169" t="str">
        <f>CONCATENATE(PAA[[#This Row],[Id Interno]],"-",PAA[[#This Row],[tipo de Contrato (TH talento humano - B/S bienes y/o servicios)]],"-",S512,"-",T512,"-",PAA[[#This Row],[Objeto de la contratación]])</f>
        <v>20260497-BS-8126-8-Mantenimiento preventivo y/o correctivo, y suministros de repuestos de los equipos gasodomésticos y solares y adecuaciones de las redes de gas natural para las Estaciones de la Unidad Administrativa Especial Cuerpo Oficial de Bomberos Bogotá -SGC</v>
      </c>
    </row>
    <row r="513" spans="2:35" ht="56" x14ac:dyDescent="0.35">
      <c r="B513" s="99">
        <v>20260498</v>
      </c>
      <c r="C513" s="99" t="s">
        <v>951</v>
      </c>
      <c r="D513" s="99" t="s">
        <v>83</v>
      </c>
      <c r="E513" s="99" t="s">
        <v>402</v>
      </c>
      <c r="F513" s="160" t="s">
        <v>136</v>
      </c>
      <c r="G513" s="160" t="s">
        <v>377</v>
      </c>
      <c r="H513" s="167">
        <v>8</v>
      </c>
      <c r="I513" s="167">
        <v>0</v>
      </c>
      <c r="J513" s="118">
        <v>50000000</v>
      </c>
      <c r="K513" s="126" t="s">
        <v>398</v>
      </c>
      <c r="L513" s="160" t="s">
        <v>155</v>
      </c>
      <c r="M513" s="166" t="s">
        <v>422</v>
      </c>
      <c r="N513" s="99" t="s">
        <v>197</v>
      </c>
      <c r="O513" s="151" t="s">
        <v>945</v>
      </c>
      <c r="P513" s="160" t="s">
        <v>348</v>
      </c>
      <c r="Q513" s="128">
        <v>72151800</v>
      </c>
      <c r="R513" s="166" t="s">
        <v>207</v>
      </c>
      <c r="S513" s="162" t="str">
        <f>MID(PAA[[#This Row],[Meta Proyecto de Inversión]],1,4)</f>
        <v>8126</v>
      </c>
      <c r="T513" s="162" t="str">
        <f>MID(PAA[[#This Row],[Meta Proyecto de Inversión]],6,1)</f>
        <v>8</v>
      </c>
      <c r="U513" s="168" t="str">
        <f>IFERROR(VLOOKUP(N513,TD!$B$50:$F$54,2,0)," ")</f>
        <v>O230117</v>
      </c>
      <c r="V513" s="168" t="str">
        <f>IFERROR(VLOOKUP(N513,TD!$B$50:$F$54,3,0)," ")</f>
        <v>4599</v>
      </c>
      <c r="W513" s="168">
        <f>IFERROR(VLOOKUP(N513,TD!$B$50:$F$54,4,0)," ")</f>
        <v>20240207</v>
      </c>
      <c r="X513" s="166" t="s">
        <v>174</v>
      </c>
      <c r="Y513" s="168" t="str">
        <f>IFERROR(VLOOKUP(X513,TD!$J$51:$K$64,2,0)," ")</f>
        <v>Infraestructura física, mantenimiento y dotación (Sedes construidas, mantenidas reforzadas)</v>
      </c>
      <c r="Z513" s="164" t="str">
        <f>CONCATENATE(X513,"-",Y513)</f>
        <v>08-Infraestructura física, mantenimiento y dotación (Sedes construidas, mantenidas reforzadas)</v>
      </c>
      <c r="AA513" s="166" t="s">
        <v>227</v>
      </c>
      <c r="AB513" s="168" t="str">
        <f>IFERROR(VLOOKUP(AA513,TD!$N$51:$O$66,2,0)," ")</f>
        <v>Sedes mantenidas</v>
      </c>
      <c r="AC513" s="164" t="str">
        <f>CONCATENATE(AA513,"_",AB513)</f>
        <v>016_Sedes mantenidas</v>
      </c>
      <c r="AD513" s="164" t="str">
        <f>CONCATENATE(Z513," ",AC513)</f>
        <v>08-Infraestructura física, mantenimiento y dotación (Sedes construidas, mantenidas reforzadas) 016_Sedes mantenidas</v>
      </c>
      <c r="AE513" s="168" t="str">
        <f>CONCATENATE(U513,V513,W513,X513,AA513)</f>
        <v>O23011745992024020708016</v>
      </c>
      <c r="AF513" s="168" t="str">
        <f>IFERROR(VLOOKUP(AD513,TD!$J$66:$K$89,2,0)," ")</f>
        <v>PM/0131/0108/45990160207</v>
      </c>
      <c r="AG513" s="118" t="s">
        <v>80</v>
      </c>
      <c r="AH513" s="179" t="s">
        <v>193</v>
      </c>
      <c r="AI513" s="169" t="str">
        <f>CONCATENATE(PAA[[#This Row],[Id Interno]],"-",PAA[[#This Row],[tipo de Contrato (TH talento humano - B/S bienes y/o servicios)]],"-",S513,"-",T513,"-",PAA[[#This Row],[Objeto de la contratación]])</f>
        <v>20260498-BS-8126-8-Mantenimiento preventivo y/o correctivo, y suministro de repuestos de los equipos de gimnasio de las diferentes instalaciones a cargo de la Unidad Administrativa Especial Cuerpo Oficial de Bomberos Bogotá -SGC</v>
      </c>
    </row>
    <row r="514" spans="2:35" ht="42" x14ac:dyDescent="0.35">
      <c r="B514" s="99">
        <v>20260499</v>
      </c>
      <c r="C514" s="99" t="s">
        <v>733</v>
      </c>
      <c r="D514" s="99" t="s">
        <v>88</v>
      </c>
      <c r="E514" s="99" t="s">
        <v>402</v>
      </c>
      <c r="F514" s="160" t="s">
        <v>141</v>
      </c>
      <c r="G514" s="160" t="s">
        <v>377</v>
      </c>
      <c r="H514" s="167">
        <v>4</v>
      </c>
      <c r="I514" s="167">
        <v>0</v>
      </c>
      <c r="J514" s="118">
        <v>670000000</v>
      </c>
      <c r="K514" s="126" t="s">
        <v>398</v>
      </c>
      <c r="L514" s="160" t="s">
        <v>155</v>
      </c>
      <c r="M514" s="166" t="s">
        <v>422</v>
      </c>
      <c r="N514" s="99" t="s">
        <v>198</v>
      </c>
      <c r="O514" s="151" t="s">
        <v>946</v>
      </c>
      <c r="P514" s="160" t="s">
        <v>348</v>
      </c>
      <c r="Q514" s="128" t="s">
        <v>770</v>
      </c>
      <c r="R514" s="166" t="s">
        <v>351</v>
      </c>
      <c r="S514" s="162" t="str">
        <f>MID(PAA[[#This Row],[Meta Proyecto de Inversión]],1,4)</f>
        <v>8173</v>
      </c>
      <c r="T514" s="162" t="str">
        <f>MID(PAA[[#This Row],[Meta Proyecto de Inversión]],6,1)</f>
        <v>1</v>
      </c>
      <c r="U514" s="168" t="str">
        <f>IFERROR(VLOOKUP(N514,TD!$B$50:$F$54,2,0)," ")</f>
        <v>O230117</v>
      </c>
      <c r="V514" s="168" t="str">
        <f>IFERROR(VLOOKUP(N514,TD!$B$50:$F$54,3,0)," ")</f>
        <v>4503</v>
      </c>
      <c r="W514" s="168">
        <f>IFERROR(VLOOKUP(N514,TD!$B$50:$F$54,4,0)," ")</f>
        <v>20240255</v>
      </c>
      <c r="X514" s="166">
        <v>14</v>
      </c>
      <c r="Y514" s="168" t="str">
        <f>IFERROR(VLOOKUP(X514,TD!$J$51:$K$64,2,0)," ")</f>
        <v xml:space="preserve">Infraestructura física misional construida mantenida y dotada </v>
      </c>
      <c r="Z514" s="164" t="str">
        <f>CONCATENATE(X514,"-",Y514)</f>
        <v xml:space="preserve">14-Infraestructura física misional construida mantenida y dotada </v>
      </c>
      <c r="AA514" s="166" t="s">
        <v>225</v>
      </c>
      <c r="AB514" s="168" t="str">
        <f>IFERROR(VLOOKUP(AA514,TD!$N$51:$O$66,2,0)," ")</f>
        <v>Estaciones de bomberos adecuadas</v>
      </c>
      <c r="AC514" s="164" t="str">
        <f>CONCATENATE(AA514,"_",AB514)</f>
        <v>014_Estaciones de bomberos adecuadas</v>
      </c>
      <c r="AD514" s="164" t="str">
        <f>CONCATENATE(Z514," ",AC514)</f>
        <v>14-Infraestructura física misional construida mantenida y dotada  014_Estaciones de bomberos adecuadas</v>
      </c>
      <c r="AE514" s="168" t="str">
        <f>CONCATENATE(U514,V514,W514,X514,AA514)</f>
        <v>O23011745032024025514014</v>
      </c>
      <c r="AF514" s="168" t="str">
        <f>IFERROR(VLOOKUP(AD514,TD!$J$66:$K$89,2,0)," ")</f>
        <v>PM/0131/0114/45030140255</v>
      </c>
      <c r="AG514" s="118" t="s">
        <v>355</v>
      </c>
      <c r="AH514" s="179" t="s">
        <v>193</v>
      </c>
      <c r="AI514" s="169" t="str">
        <f>CONCATENATE(PAA[[#This Row],[Id Interno]],"-",PAA[[#This Row],[tipo de Contrato (TH talento humano - B/S bienes y/o servicios)]],"-",S514,"-",T514,"-",PAA[[#This Row],[Objeto de la contratación]])</f>
        <v>20260499-BS-8173-1-Suministro  de muebles, enseres y demàs elementos requeridos para la Unidad Administrativa Especial Cuerpo Oficial de Bomberos Bogotá -SGC</v>
      </c>
    </row>
    <row r="515" spans="2:35" ht="56" x14ac:dyDescent="0.35">
      <c r="B515" s="23">
        <v>20260500</v>
      </c>
      <c r="C515" s="99" t="s">
        <v>734</v>
      </c>
      <c r="D515" s="23" t="s">
        <v>92</v>
      </c>
      <c r="E515" s="23" t="s">
        <v>402</v>
      </c>
      <c r="F515" s="159" t="s">
        <v>136</v>
      </c>
      <c r="G515" s="160" t="s">
        <v>377</v>
      </c>
      <c r="H515" s="161">
        <v>11</v>
      </c>
      <c r="I515" s="161">
        <v>0</v>
      </c>
      <c r="J515" s="127">
        <v>20000000</v>
      </c>
      <c r="K515" s="88" t="s">
        <v>398</v>
      </c>
      <c r="L515" s="159" t="s">
        <v>155</v>
      </c>
      <c r="M515" s="162" t="s">
        <v>422</v>
      </c>
      <c r="N515" s="23" t="s">
        <v>197</v>
      </c>
      <c r="O515" s="151" t="s">
        <v>945</v>
      </c>
      <c r="P515" s="159" t="s">
        <v>348</v>
      </c>
      <c r="Q515" s="53" t="s">
        <v>771</v>
      </c>
      <c r="R515" s="162" t="s">
        <v>207</v>
      </c>
      <c r="S515" s="162" t="str">
        <f>MID(PAA[[#This Row],[Meta Proyecto de Inversión]],1,4)</f>
        <v>8126</v>
      </c>
      <c r="T515" s="162" t="str">
        <f>MID(PAA[[#This Row],[Meta Proyecto de Inversión]],6,1)</f>
        <v>8</v>
      </c>
      <c r="U515" s="163" t="str">
        <f>IFERROR(VLOOKUP(N515,TD!$B$50:$F$54,2,0)," ")</f>
        <v>O230117</v>
      </c>
      <c r="V515" s="163" t="str">
        <f>IFERROR(VLOOKUP(N515,TD!$B$50:$F$54,3,0)," ")</f>
        <v>4599</v>
      </c>
      <c r="W515" s="163">
        <f>IFERROR(VLOOKUP(N515,TD!$B$50:$F$54,4,0)," ")</f>
        <v>20240207</v>
      </c>
      <c r="X515" s="162" t="s">
        <v>174</v>
      </c>
      <c r="Y515" s="163" t="str">
        <f>IFERROR(VLOOKUP(X515,TD!$J$51:$K$64,2,0)," ")</f>
        <v>Infraestructura física, mantenimiento y dotación (Sedes construidas, mantenidas reforzadas)</v>
      </c>
      <c r="Z515" s="164" t="str">
        <f>CONCATENATE(X515,"-",Y515)</f>
        <v>08-Infraestructura física, mantenimiento y dotación (Sedes construidas, mantenidas reforzadas)</v>
      </c>
      <c r="AA515" s="162" t="s">
        <v>227</v>
      </c>
      <c r="AB515" s="163" t="str">
        <f>IFERROR(VLOOKUP(AA515,TD!$N$51:$O$66,2,0)," ")</f>
        <v>Sedes mantenidas</v>
      </c>
      <c r="AC515" s="164" t="str">
        <f>CONCATENATE(AA515,"_",AB515)</f>
        <v>016_Sedes mantenidas</v>
      </c>
      <c r="AD515" s="164" t="str">
        <f>CONCATENATE(Z515," ",AC515)</f>
        <v>08-Infraestructura física, mantenimiento y dotación (Sedes construidas, mantenidas reforzadas) 016_Sedes mantenidas</v>
      </c>
      <c r="AE515" s="163" t="str">
        <f>CONCATENATE(U515,V515,W515,X515,AA515)</f>
        <v>O23011745992024020708016</v>
      </c>
      <c r="AF515" s="163" t="str">
        <f>IFERROR(VLOOKUP(AD515,TD!$J$66:$K$89,2,0)," ")</f>
        <v>PM/0131/0108/45990160207</v>
      </c>
      <c r="AG515" s="118" t="s">
        <v>925</v>
      </c>
      <c r="AH515" s="170" t="s">
        <v>193</v>
      </c>
      <c r="AI515" s="165" t="str">
        <f>CONCATENATE(PAA[[#This Row],[Id Interno]],"-",PAA[[#This Row],[tipo de Contrato (TH talento humano - B/S bienes y/o servicios)]],"-",S515,"-",T515,"-",PAA[[#This Row],[Objeto de la contratación]])</f>
        <v>20260500-BS-8126-8-Mantenimiento preventivo y/o correctivo, suministros y repuestos de los electrodomésticos de las instalaciones a cargo de la UAE Cuerpo Oficial de Bomberos Bogotá-SGC</v>
      </c>
    </row>
    <row r="516" spans="2:35" ht="42" x14ac:dyDescent="0.35">
      <c r="B516" s="23">
        <v>20260501</v>
      </c>
      <c r="C516" s="99" t="s">
        <v>735</v>
      </c>
      <c r="D516" s="23" t="s">
        <v>83</v>
      </c>
      <c r="E516" s="23" t="s">
        <v>402</v>
      </c>
      <c r="F516" s="159" t="s">
        <v>136</v>
      </c>
      <c r="G516" s="160" t="s">
        <v>375</v>
      </c>
      <c r="H516" s="161">
        <v>11</v>
      </c>
      <c r="I516" s="161">
        <v>0</v>
      </c>
      <c r="J516" s="127">
        <v>120000000</v>
      </c>
      <c r="K516" s="88" t="s">
        <v>398</v>
      </c>
      <c r="L516" s="159" t="s">
        <v>155</v>
      </c>
      <c r="M516" s="162" t="s">
        <v>422</v>
      </c>
      <c r="N516" s="23" t="s">
        <v>197</v>
      </c>
      <c r="O516" s="151" t="s">
        <v>945</v>
      </c>
      <c r="P516" s="159" t="s">
        <v>348</v>
      </c>
      <c r="Q516" s="53" t="s">
        <v>772</v>
      </c>
      <c r="R516" s="162" t="s">
        <v>207</v>
      </c>
      <c r="S516" s="162" t="str">
        <f>MID(PAA[[#This Row],[Meta Proyecto de Inversión]],1,4)</f>
        <v>8126</v>
      </c>
      <c r="T516" s="162" t="str">
        <f>MID(PAA[[#This Row],[Meta Proyecto de Inversión]],6,1)</f>
        <v>8</v>
      </c>
      <c r="U516" s="163" t="str">
        <f>IFERROR(VLOOKUP(N516,TD!$B$50:$F$54,2,0)," ")</f>
        <v>O230117</v>
      </c>
      <c r="V516" s="163" t="str">
        <f>IFERROR(VLOOKUP(N516,TD!$B$50:$F$54,3,0)," ")</f>
        <v>4599</v>
      </c>
      <c r="W516" s="163">
        <f>IFERROR(VLOOKUP(N516,TD!$B$50:$F$54,4,0)," ")</f>
        <v>20240207</v>
      </c>
      <c r="X516" s="162" t="s">
        <v>174</v>
      </c>
      <c r="Y516" s="163" t="str">
        <f>IFERROR(VLOOKUP(X516,TD!$J$51:$K$64,2,0)," ")</f>
        <v>Infraestructura física, mantenimiento y dotación (Sedes construidas, mantenidas reforzadas)</v>
      </c>
      <c r="Z516" s="164" t="str">
        <f>CONCATENATE(X516,"-",Y516)</f>
        <v>08-Infraestructura física, mantenimiento y dotación (Sedes construidas, mantenidas reforzadas)</v>
      </c>
      <c r="AA516" s="162" t="s">
        <v>227</v>
      </c>
      <c r="AB516" s="163" t="str">
        <f>IFERROR(VLOOKUP(AA516,TD!$N$51:$O$66,2,0)," ")</f>
        <v>Sedes mantenidas</v>
      </c>
      <c r="AC516" s="164" t="str">
        <f>CONCATENATE(AA516,"_",AB516)</f>
        <v>016_Sedes mantenidas</v>
      </c>
      <c r="AD516" s="164" t="str">
        <f>CONCATENATE(Z516," ",AC516)</f>
        <v>08-Infraestructura física, mantenimiento y dotación (Sedes construidas, mantenidas reforzadas) 016_Sedes mantenidas</v>
      </c>
      <c r="AE516" s="163" t="str">
        <f>CONCATENATE(U516,V516,W516,X516,AA516)</f>
        <v>O23011745992024020708016</v>
      </c>
      <c r="AF516" s="163" t="str">
        <f>IFERROR(VLOOKUP(AD516,TD!$J$66:$K$89,2,0)," ")</f>
        <v>PM/0131/0108/45990160207</v>
      </c>
      <c r="AG516" s="118" t="s">
        <v>927</v>
      </c>
      <c r="AH516" s="170" t="s">
        <v>193</v>
      </c>
      <c r="AI516" s="165" t="str">
        <f>CONCATENATE(PAA[[#This Row],[Id Interno]],"-",PAA[[#This Row],[tipo de Contrato (TH talento humano - B/S bienes y/o servicios)]],"-",S516,"-",T516,"-",PAA[[#This Row],[Objeto de la contratación]])</f>
        <v>20260501-BS-8126-8-Mantenimiento preventivo y correctivo, que incluye el suministro de insumos y repuestos de las plantas eléctricas ubicadas en los diferentes edificios de la Unidad Administrativa Especial Cuerpo Oficial de Bomberos Bogotá -SGC</v>
      </c>
    </row>
    <row r="517" spans="2:35" ht="56" x14ac:dyDescent="0.35">
      <c r="B517" s="23">
        <v>20260502</v>
      </c>
      <c r="C517" s="99" t="s">
        <v>736</v>
      </c>
      <c r="D517" s="23" t="s">
        <v>83</v>
      </c>
      <c r="E517" s="23" t="s">
        <v>402</v>
      </c>
      <c r="F517" s="159" t="s">
        <v>136</v>
      </c>
      <c r="G517" s="160" t="s">
        <v>376</v>
      </c>
      <c r="H517" s="161">
        <v>10</v>
      </c>
      <c r="I517" s="161">
        <v>0</v>
      </c>
      <c r="J517" s="127">
        <v>180000000</v>
      </c>
      <c r="K517" s="88" t="s">
        <v>398</v>
      </c>
      <c r="L517" s="159" t="s">
        <v>155</v>
      </c>
      <c r="M517" s="162" t="s">
        <v>422</v>
      </c>
      <c r="N517" s="23" t="s">
        <v>197</v>
      </c>
      <c r="O517" s="151" t="s">
        <v>945</v>
      </c>
      <c r="P517" s="159" t="s">
        <v>348</v>
      </c>
      <c r="Q517" s="53" t="s">
        <v>773</v>
      </c>
      <c r="R517" s="162" t="s">
        <v>207</v>
      </c>
      <c r="S517" s="173" t="str">
        <f>MID(PAA[[#This Row],[Meta Proyecto de Inversión]],1,4)</f>
        <v>8126</v>
      </c>
      <c r="T517" s="173" t="str">
        <f>MID(PAA[[#This Row],[Meta Proyecto de Inversión]],6,1)</f>
        <v>8</v>
      </c>
      <c r="U517" s="163" t="str">
        <f>IFERROR(VLOOKUP(N517,TD!$B$50:$F$54,2,0)," ")</f>
        <v>O230117</v>
      </c>
      <c r="V517" s="163" t="str">
        <f>IFERROR(VLOOKUP(N517,TD!$B$50:$F$54,3,0)," ")</f>
        <v>4599</v>
      </c>
      <c r="W517" s="163">
        <f>IFERROR(VLOOKUP(N517,TD!$B$50:$F$54,4,0)," ")</f>
        <v>20240207</v>
      </c>
      <c r="X517" s="162" t="s">
        <v>174</v>
      </c>
      <c r="Y517" s="163" t="str">
        <f>IFERROR(VLOOKUP(X517,TD!$J$51:$K$64,2,0)," ")</f>
        <v>Infraestructura física, mantenimiento y dotación (Sedes construidas, mantenidas reforzadas)</v>
      </c>
      <c r="Z517" s="175" t="str">
        <f>CONCATENATE(X517,"-",Y517)</f>
        <v>08-Infraestructura física, mantenimiento y dotación (Sedes construidas, mantenidas reforzadas)</v>
      </c>
      <c r="AA517" s="162" t="s">
        <v>227</v>
      </c>
      <c r="AB517" s="163" t="str">
        <f>IFERROR(VLOOKUP(AA517,TD!$N$51:$O$66,2,0)," ")</f>
        <v>Sedes mantenidas</v>
      </c>
      <c r="AC517" s="175" t="str">
        <f>CONCATENATE(AA517,"_",AB517)</f>
        <v>016_Sedes mantenidas</v>
      </c>
      <c r="AD517" s="175" t="str">
        <f>CONCATENATE(Z517," ",AC517)</f>
        <v>08-Infraestructura física, mantenimiento y dotación (Sedes construidas, mantenidas reforzadas) 016_Sedes mantenidas</v>
      </c>
      <c r="AE517" s="163" t="str">
        <f>CONCATENATE(U517,V517,W517,X517,AA517)</f>
        <v>O23011745992024020708016</v>
      </c>
      <c r="AF517" s="163" t="str">
        <f>IFERROR(VLOOKUP(AD517,TD!$J$66:$K$89,2,0)," ")</f>
        <v>PM/0131/0108/45990160207</v>
      </c>
      <c r="AG517" s="118" t="s">
        <v>574</v>
      </c>
      <c r="AH517" s="162" t="s">
        <v>193</v>
      </c>
      <c r="AI517" s="165" t="str">
        <f>CONCATENATE(PAA[[#This Row],[Id Interno]],"-",PAA[[#This Row],[tipo de Contrato (TH talento humano - B/S bienes y/o servicios)]],"-",S517,"-",T517,"-",PAA[[#This Row],[Objeto de la contratación]])</f>
        <v>20260502-BS-8126-8-Mantenimiento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v>
      </c>
    </row>
    <row r="518" spans="2:35" ht="126" x14ac:dyDescent="0.35">
      <c r="B518" s="23">
        <v>20260503</v>
      </c>
      <c r="C518" s="99" t="s">
        <v>737</v>
      </c>
      <c r="D518" s="23" t="s">
        <v>83</v>
      </c>
      <c r="E518" s="23" t="s">
        <v>402</v>
      </c>
      <c r="F518" s="159" t="s">
        <v>136</v>
      </c>
      <c r="G518" s="160" t="s">
        <v>375</v>
      </c>
      <c r="H518" s="161">
        <v>10</v>
      </c>
      <c r="I518" s="161">
        <v>0</v>
      </c>
      <c r="J518" s="127">
        <v>180000000</v>
      </c>
      <c r="K518" s="88" t="s">
        <v>398</v>
      </c>
      <c r="L518" s="159" t="s">
        <v>155</v>
      </c>
      <c r="M518" s="162" t="s">
        <v>422</v>
      </c>
      <c r="N518" s="23" t="s">
        <v>197</v>
      </c>
      <c r="O518" s="151" t="s">
        <v>945</v>
      </c>
      <c r="P518" s="159" t="s">
        <v>348</v>
      </c>
      <c r="Q518" s="53" t="s">
        <v>774</v>
      </c>
      <c r="R518" s="162" t="s">
        <v>207</v>
      </c>
      <c r="S518" s="162" t="str">
        <f>MID(PAA[[#This Row],[Meta Proyecto de Inversión]],1,4)</f>
        <v>8126</v>
      </c>
      <c r="T518" s="162" t="str">
        <f>MID(PAA[[#This Row],[Meta Proyecto de Inversión]],6,1)</f>
        <v>8</v>
      </c>
      <c r="U518" s="163" t="str">
        <f>IFERROR(VLOOKUP(N518,TD!$B$50:$F$54,2,0)," ")</f>
        <v>O230117</v>
      </c>
      <c r="V518" s="163" t="str">
        <f>IFERROR(VLOOKUP(N518,TD!$B$50:$F$54,3,0)," ")</f>
        <v>4599</v>
      </c>
      <c r="W518" s="163">
        <f>IFERROR(VLOOKUP(N518,TD!$B$50:$F$54,4,0)," ")</f>
        <v>20240207</v>
      </c>
      <c r="X518" s="162" t="s">
        <v>174</v>
      </c>
      <c r="Y518" s="163" t="str">
        <f>IFERROR(VLOOKUP(X518,TD!$J$51:$K$64,2,0)," ")</f>
        <v>Infraestructura física, mantenimiento y dotación (Sedes construidas, mantenidas reforzadas)</v>
      </c>
      <c r="Z518" s="164" t="str">
        <f>CONCATENATE(X518,"-",Y518)</f>
        <v>08-Infraestructura física, mantenimiento y dotación (Sedes construidas, mantenidas reforzadas)</v>
      </c>
      <c r="AA518" s="162" t="s">
        <v>227</v>
      </c>
      <c r="AB518" s="163" t="str">
        <f>IFERROR(VLOOKUP(AA518,TD!$N$51:$O$66,2,0)," ")</f>
        <v>Sedes mantenidas</v>
      </c>
      <c r="AC518" s="164" t="str">
        <f>CONCATENATE(AA518,"_",AB518)</f>
        <v>016_Sedes mantenidas</v>
      </c>
      <c r="AD518" s="164" t="str">
        <f>CONCATENATE(Z518," ",AC518)</f>
        <v>08-Infraestructura física, mantenimiento y dotación (Sedes construidas, mantenidas reforzadas) 016_Sedes mantenidas</v>
      </c>
      <c r="AE518" s="163" t="str">
        <f>CONCATENATE(U518,V518,W518,X518,AA518)</f>
        <v>O23011745992024020708016</v>
      </c>
      <c r="AF518" s="163" t="str">
        <f>IFERROR(VLOOKUP(AD518,TD!$J$66:$K$89,2,0)," ")</f>
        <v>PM/0131/0108/45990160207</v>
      </c>
      <c r="AG518" s="118" t="s">
        <v>926</v>
      </c>
      <c r="AH518" s="170" t="s">
        <v>193</v>
      </c>
      <c r="AI518" s="165" t="str">
        <f>CONCATENATE(PAA[[#This Row],[Id Interno]],"-",PAA[[#This Row],[tipo de Contrato (TH talento humano - B/S bienes y/o servicios)]],"-",S518,"-",T518,"-",PAA[[#This Row],[Objeto de la contratación]])</f>
        <v>20260503-BS-8126-8-Mantenimiento preventivo y correctivo de la red contraincendios  y sistemas de detención de alarmas contra incendios de las estaciones de bomberos de la  Unidad Administrativa Especial Cuerpo Oficial de Bomberos Bogotá -SGC</v>
      </c>
    </row>
    <row r="519" spans="2:35" ht="56" x14ac:dyDescent="0.35">
      <c r="B519" s="99">
        <v>20260505</v>
      </c>
      <c r="C519" s="99" t="s">
        <v>739</v>
      </c>
      <c r="D519" s="99" t="s">
        <v>78</v>
      </c>
      <c r="E519" s="99" t="s">
        <v>402</v>
      </c>
      <c r="F519" s="160" t="s">
        <v>97</v>
      </c>
      <c r="G519" s="160" t="s">
        <v>377</v>
      </c>
      <c r="H519" s="167">
        <v>10</v>
      </c>
      <c r="I519" s="167">
        <v>0</v>
      </c>
      <c r="J519" s="118">
        <v>800472500</v>
      </c>
      <c r="K519" s="126" t="s">
        <v>398</v>
      </c>
      <c r="L519" s="160" t="s">
        <v>155</v>
      </c>
      <c r="M519" s="166" t="s">
        <v>422</v>
      </c>
      <c r="N519" s="99" t="s">
        <v>197</v>
      </c>
      <c r="O519" s="151" t="s">
        <v>945</v>
      </c>
      <c r="P519" s="160" t="s">
        <v>348</v>
      </c>
      <c r="Q519" s="128" t="s">
        <v>775</v>
      </c>
      <c r="R519" s="166" t="s">
        <v>207</v>
      </c>
      <c r="S519" s="162" t="str">
        <f>MID(PAA[[#This Row],[Meta Proyecto de Inversión]],1,4)</f>
        <v>8126</v>
      </c>
      <c r="T519" s="162" t="str">
        <f>MID(PAA[[#This Row],[Meta Proyecto de Inversión]],6,1)</f>
        <v>8</v>
      </c>
      <c r="U519" s="168" t="str">
        <f>IFERROR(VLOOKUP(N519,TD!$B$50:$F$54,2,0)," ")</f>
        <v>O230117</v>
      </c>
      <c r="V519" s="168" t="str">
        <f>IFERROR(VLOOKUP(N519,TD!$B$50:$F$54,3,0)," ")</f>
        <v>4599</v>
      </c>
      <c r="W519" s="168">
        <f>IFERROR(VLOOKUP(N519,TD!$B$50:$F$54,4,0)," ")</f>
        <v>20240207</v>
      </c>
      <c r="X519" s="166" t="s">
        <v>174</v>
      </c>
      <c r="Y519" s="168" t="str">
        <f>IFERROR(VLOOKUP(X519,TD!$J$51:$K$64,2,0)," ")</f>
        <v>Infraestructura física, mantenimiento y dotación (Sedes construidas, mantenidas reforzadas)</v>
      </c>
      <c r="Z519" s="164" t="str">
        <f>CONCATENATE(X519,"-",Y519)</f>
        <v>08-Infraestructura física, mantenimiento y dotación (Sedes construidas, mantenidas reforzadas)</v>
      </c>
      <c r="AA519" s="166" t="s">
        <v>227</v>
      </c>
      <c r="AB519" s="168" t="str">
        <f>IFERROR(VLOOKUP(AA519,TD!$N$51:$O$66,2,0)," ")</f>
        <v>Sedes mantenidas</v>
      </c>
      <c r="AC519" s="164" t="str">
        <f>CONCATENATE(AA519,"_",AB519)</f>
        <v>016_Sedes mantenidas</v>
      </c>
      <c r="AD519" s="164" t="str">
        <f>CONCATENATE(Z519," ",AC519)</f>
        <v>08-Infraestructura física, mantenimiento y dotación (Sedes construidas, mantenidas reforzadas) 016_Sedes mantenidas</v>
      </c>
      <c r="AE519" s="168" t="str">
        <f>CONCATENATE(U519,V519,W519,X519,AA519)</f>
        <v>O23011745992024020708016</v>
      </c>
      <c r="AF519" s="168" t="str">
        <f>IFERROR(VLOOKUP(AD519,TD!$J$66:$K$89,2,0)," ")</f>
        <v>PM/0131/0108/45990160207</v>
      </c>
      <c r="AG519" s="118" t="s">
        <v>94</v>
      </c>
      <c r="AH519" s="179" t="s">
        <v>193</v>
      </c>
      <c r="AI519" s="169" t="str">
        <f>CONCATENATE(PAA[[#This Row],[Id Interno]],"-",PAA[[#This Row],[tipo de Contrato (TH talento humano - B/S bienes y/o servicios)]],"-",S519,"-",T519,"-",PAA[[#This Row],[Objeto de la contratación]])</f>
        <v>20260505-BS-8126-8-Realizar el mantenimiento predictivo, preventivo, correctivo y mejoras a las instalaciones de las dependencias de la Unidad Administrativa Especial Cuerpo Oficial de Bomberos Bogotá -SGC</v>
      </c>
    </row>
    <row r="520" spans="2:35" ht="98" x14ac:dyDescent="0.35">
      <c r="B520" s="23">
        <v>20260506</v>
      </c>
      <c r="C520" s="99" t="s">
        <v>939</v>
      </c>
      <c r="D520" s="23" t="s">
        <v>100</v>
      </c>
      <c r="E520" s="23" t="s">
        <v>402</v>
      </c>
      <c r="F520" s="23" t="s">
        <v>131</v>
      </c>
      <c r="G520" s="129" t="s">
        <v>377</v>
      </c>
      <c r="H520" s="136">
        <v>10</v>
      </c>
      <c r="I520" s="161">
        <v>0</v>
      </c>
      <c r="J520" s="127">
        <v>200000000</v>
      </c>
      <c r="K520" s="88" t="s">
        <v>398</v>
      </c>
      <c r="L520" s="159" t="s">
        <v>155</v>
      </c>
      <c r="M520" s="162" t="s">
        <v>422</v>
      </c>
      <c r="N520" s="23" t="s">
        <v>197</v>
      </c>
      <c r="O520" s="151" t="s">
        <v>945</v>
      </c>
      <c r="P520" s="162" t="s">
        <v>348</v>
      </c>
      <c r="Q520" s="53" t="s">
        <v>776</v>
      </c>
      <c r="R520" s="162" t="s">
        <v>207</v>
      </c>
      <c r="S520" s="162" t="str">
        <f>MID(PAA[[#This Row],[Meta Proyecto de Inversión]],1,4)</f>
        <v>8126</v>
      </c>
      <c r="T520" s="162" t="str">
        <f>MID(PAA[[#This Row],[Meta Proyecto de Inversión]],6,1)</f>
        <v>8</v>
      </c>
      <c r="U520" s="163" t="str">
        <f>IFERROR(VLOOKUP(N520,TD!$B$50:$F$54,2,0)," ")</f>
        <v>O230117</v>
      </c>
      <c r="V520" s="163" t="str">
        <f>IFERROR(VLOOKUP(N520,TD!$B$50:$F$54,3,0)," ")</f>
        <v>4599</v>
      </c>
      <c r="W520" s="163">
        <f>IFERROR(VLOOKUP(N520,TD!$B$50:$F$54,4,0)," ")</f>
        <v>20240207</v>
      </c>
      <c r="X520" s="162" t="s">
        <v>174</v>
      </c>
      <c r="Y520" s="163" t="str">
        <f>IFERROR(VLOOKUP(X520,TD!$J$51:$K$64,2,0)," ")</f>
        <v>Infraestructura física, mantenimiento y dotación (Sedes construidas, mantenidas reforzadas)</v>
      </c>
      <c r="Z520" s="164" t="str">
        <f>CONCATENATE(X520,"-",Y520)</f>
        <v>08-Infraestructura física, mantenimiento y dotación (Sedes construidas, mantenidas reforzadas)</v>
      </c>
      <c r="AA520" s="162" t="s">
        <v>227</v>
      </c>
      <c r="AB520" s="163" t="str">
        <f>IFERROR(VLOOKUP(AA520,TD!$N$51:$O$66,2,0)," ")</f>
        <v>Sedes mantenidas</v>
      </c>
      <c r="AC520" s="164" t="str">
        <f>CONCATENATE(AA520,"_",AB520)</f>
        <v>016_Sedes mantenidas</v>
      </c>
      <c r="AD520" s="164" t="str">
        <f>CONCATENATE(Z520," ",AC520)</f>
        <v>08-Infraestructura física, mantenimiento y dotación (Sedes construidas, mantenidas reforzadas) 016_Sedes mantenidas</v>
      </c>
      <c r="AE520" s="163" t="str">
        <f>CONCATENATE(U520,V520,W520,X520,AA520)</f>
        <v>O23011745992024020708016</v>
      </c>
      <c r="AF520" s="163" t="str">
        <f>IFERROR(VLOOKUP(AD520,TD!$J$66:$K$89,2,0)," ")</f>
        <v>PM/0131/0108/45990160207</v>
      </c>
      <c r="AG520" s="118" t="s">
        <v>94</v>
      </c>
      <c r="AH520" s="170" t="s">
        <v>193</v>
      </c>
      <c r="AI520" s="165" t="str">
        <f>CONCATENATE(PAA[[#This Row],[Id Interno]],"-",PAA[[#This Row],[tipo de Contrato (TH talento humano - B/S bienes y/o servicios)]],"-",S520,"-",T520,"-",PAA[[#This Row],[Objeto de la contratación]])</f>
        <v>20260506-BS-8126-8-Interventoría técnica, administrativa, financiera, contable, jurídica y ambiental  para la realización del mantenimiento predictivo, preventivo, correctivo y mejoras a las instalaciones de las dependencias de la Unidad Administrativa Especial Cuerpo Oficial de Bomberos Bogotá -SGC</v>
      </c>
    </row>
    <row r="521" spans="2:35" ht="140" x14ac:dyDescent="0.35">
      <c r="B521" s="99">
        <v>20260508</v>
      </c>
      <c r="C521" s="99" t="s">
        <v>740</v>
      </c>
      <c r="D521" s="99" t="s">
        <v>83</v>
      </c>
      <c r="E521" s="99" t="s">
        <v>402</v>
      </c>
      <c r="F521" s="99" t="s">
        <v>136</v>
      </c>
      <c r="G521" s="129" t="s">
        <v>376</v>
      </c>
      <c r="H521" s="153">
        <v>10</v>
      </c>
      <c r="I521" s="167">
        <v>0</v>
      </c>
      <c r="J521" s="118">
        <v>127000000</v>
      </c>
      <c r="K521" s="126" t="s">
        <v>398</v>
      </c>
      <c r="L521" s="160" t="s">
        <v>155</v>
      </c>
      <c r="M521" s="166" t="s">
        <v>422</v>
      </c>
      <c r="N521" s="99" t="s">
        <v>197</v>
      </c>
      <c r="O521" s="151" t="s">
        <v>945</v>
      </c>
      <c r="P521" s="166" t="s">
        <v>348</v>
      </c>
      <c r="Q521" s="128" t="s">
        <v>778</v>
      </c>
      <c r="R521" s="166" t="s">
        <v>207</v>
      </c>
      <c r="S521" s="162" t="str">
        <f>MID(PAA[[#This Row],[Meta Proyecto de Inversión]],1,4)</f>
        <v>8126</v>
      </c>
      <c r="T521" s="162" t="str">
        <f>MID(PAA[[#This Row],[Meta Proyecto de Inversión]],6,1)</f>
        <v>8</v>
      </c>
      <c r="U521" s="168" t="str">
        <f>IFERROR(VLOOKUP(N521,TD!$B$50:$F$54,2,0)," ")</f>
        <v>O230117</v>
      </c>
      <c r="V521" s="168" t="str">
        <f>IFERROR(VLOOKUP(N521,TD!$B$50:$F$54,3,0)," ")</f>
        <v>4599</v>
      </c>
      <c r="W521" s="168">
        <f>IFERROR(VLOOKUP(N521,TD!$B$50:$F$54,4,0)," ")</f>
        <v>20240207</v>
      </c>
      <c r="X521" s="166" t="s">
        <v>174</v>
      </c>
      <c r="Y521" s="168" t="str">
        <f>IFERROR(VLOOKUP(X521,TD!$J$51:$K$64,2,0)," ")</f>
        <v>Infraestructura física, mantenimiento y dotación (Sedes construidas, mantenidas reforzadas)</v>
      </c>
      <c r="Z521" s="164" t="str">
        <f>CONCATENATE(X521,"-",Y521)</f>
        <v>08-Infraestructura física, mantenimiento y dotación (Sedes construidas, mantenidas reforzadas)</v>
      </c>
      <c r="AA521" s="166" t="s">
        <v>227</v>
      </c>
      <c r="AB521" s="168" t="str">
        <f>IFERROR(VLOOKUP(AA521,TD!$N$51:$O$66,2,0)," ")</f>
        <v>Sedes mantenidas</v>
      </c>
      <c r="AC521" s="164" t="str">
        <f>CONCATENATE(AA521,"_",AB521)</f>
        <v>016_Sedes mantenidas</v>
      </c>
      <c r="AD521" s="164" t="str">
        <f>CONCATENATE(Z521," ",AC521)</f>
        <v>08-Infraestructura física, mantenimiento y dotación (Sedes construidas, mantenidas reforzadas) 016_Sedes mantenidas</v>
      </c>
      <c r="AE521" s="168" t="str">
        <f>CONCATENATE(U521,V521,W521,X521,AA521)</f>
        <v>O23011745992024020708016</v>
      </c>
      <c r="AF521" s="168" t="str">
        <f>IFERROR(VLOOKUP(AD521,TD!$J$66:$K$89,2,0)," ")</f>
        <v>PM/0131/0108/45990160207</v>
      </c>
      <c r="AG521" s="118" t="s">
        <v>925</v>
      </c>
      <c r="AH521" s="166" t="s">
        <v>193</v>
      </c>
      <c r="AI521" s="169" t="str">
        <f>CONCATENATE(PAA[[#This Row],[Id Interno]],"-",PAA[[#This Row],[tipo de Contrato (TH talento humano - B/S bienes y/o servicios)]],"-",S521,"-",T521,"-",PAA[[#This Row],[Objeto de la contratación]])</f>
        <v>20260508-BS-8126-8-Mantenimiento preventivo y correctivo, que incluye el suministro de insumos y repuestos de las lavadoras y secadoras industriales ubicadas en las estaciones de bomberos de la UAE Cuerpo Oficial de Bomberos de Bogotá-SGC</v>
      </c>
    </row>
    <row r="522" spans="2:35" ht="126" x14ac:dyDescent="0.35">
      <c r="B522" s="23">
        <v>20260509</v>
      </c>
      <c r="C522" s="99" t="s">
        <v>741</v>
      </c>
      <c r="D522" s="23" t="s">
        <v>119</v>
      </c>
      <c r="E522" s="23" t="s">
        <v>402</v>
      </c>
      <c r="F522" s="23" t="s">
        <v>128</v>
      </c>
      <c r="G522" s="129" t="s">
        <v>377</v>
      </c>
      <c r="H522" s="136">
        <v>0</v>
      </c>
      <c r="I522" s="161">
        <v>0</v>
      </c>
      <c r="J522" s="127">
        <v>60990220</v>
      </c>
      <c r="K522" s="88" t="s">
        <v>398</v>
      </c>
      <c r="L522" s="159" t="s">
        <v>155</v>
      </c>
      <c r="M522" s="162" t="s">
        <v>422</v>
      </c>
      <c r="N522" s="23" t="s">
        <v>197</v>
      </c>
      <c r="O522" s="151" t="s">
        <v>945</v>
      </c>
      <c r="P522" s="162" t="s">
        <v>348</v>
      </c>
      <c r="Q522" s="53" t="s">
        <v>335</v>
      </c>
      <c r="R522" s="162" t="s">
        <v>207</v>
      </c>
      <c r="S522" s="162" t="str">
        <f>MID(PAA[[#This Row],[Meta Proyecto de Inversión]],1,4)</f>
        <v>8126</v>
      </c>
      <c r="T522" s="162" t="str">
        <f>MID(PAA[[#This Row],[Meta Proyecto de Inversión]],6,1)</f>
        <v>8</v>
      </c>
      <c r="U522" s="163" t="str">
        <f>IFERROR(VLOOKUP(N522,TD!$B$50:$F$54,2,0)," ")</f>
        <v>O230117</v>
      </c>
      <c r="V522" s="163" t="str">
        <f>IFERROR(VLOOKUP(N522,TD!$B$50:$F$54,3,0)," ")</f>
        <v>4599</v>
      </c>
      <c r="W522" s="163">
        <f>IFERROR(VLOOKUP(N522,TD!$B$50:$F$54,4,0)," ")</f>
        <v>20240207</v>
      </c>
      <c r="X522" s="162" t="s">
        <v>174</v>
      </c>
      <c r="Y522" s="163" t="str">
        <f>IFERROR(VLOOKUP(X522,TD!$J$51:$K$64,2,0)," ")</f>
        <v>Infraestructura física, mantenimiento y dotación (Sedes construidas, mantenidas reforzadas)</v>
      </c>
      <c r="Z522" s="164" t="str">
        <f>CONCATENATE(X522,"-",Y522)</f>
        <v>08-Infraestructura física, mantenimiento y dotación (Sedes construidas, mantenidas reforzadas)</v>
      </c>
      <c r="AA522" s="162" t="s">
        <v>227</v>
      </c>
      <c r="AB522" s="163" t="str">
        <f>IFERROR(VLOOKUP(AA522,TD!$N$51:$O$66,2,0)," ")</f>
        <v>Sedes mantenidas</v>
      </c>
      <c r="AC522" s="164" t="str">
        <f>CONCATENATE(AA522,"_",AB522)</f>
        <v>016_Sedes mantenidas</v>
      </c>
      <c r="AD522" s="164" t="str">
        <f>CONCATENATE(Z522," ",AC522)</f>
        <v>08-Infraestructura física, mantenimiento y dotación (Sedes construidas, mantenidas reforzadas) 016_Sedes mantenidas</v>
      </c>
      <c r="AE522" s="163" t="str">
        <f>CONCATENATE(U522,V522,W522,X522,AA522)</f>
        <v>O23011745992024020708016</v>
      </c>
      <c r="AF522" s="163" t="str">
        <f>IFERROR(VLOOKUP(AD522,TD!$J$66:$K$89,2,0)," ")</f>
        <v>PM/0131/0108/45990160207</v>
      </c>
      <c r="AG522" s="118" t="s">
        <v>134</v>
      </c>
      <c r="AH522" s="170" t="s">
        <v>194</v>
      </c>
      <c r="AI522" s="165" t="str">
        <f>CONCATENATE(PAA[[#This Row],[Id Interno]],"-",PAA[[#This Row],[tipo de Contrato (TH talento humano - B/S bienes y/o servicios)]],"-",S522,"-",T522,"-",PAA[[#This Row],[Objeto de la contratación]])</f>
        <v xml:space="preserve">20260509-BS-8126-8-Proceso para amparar el Pago de Pasivos exigibles </v>
      </c>
    </row>
    <row r="523" spans="2:35" ht="56" x14ac:dyDescent="0.35">
      <c r="B523" s="23">
        <v>20260510</v>
      </c>
      <c r="C523" s="99" t="s">
        <v>742</v>
      </c>
      <c r="D523" s="23" t="s">
        <v>83</v>
      </c>
      <c r="E523" s="23" t="s">
        <v>402</v>
      </c>
      <c r="F523" s="23" t="s">
        <v>136</v>
      </c>
      <c r="G523" s="129" t="s">
        <v>378</v>
      </c>
      <c r="H523" s="136">
        <v>9</v>
      </c>
      <c r="I523" s="161">
        <v>0</v>
      </c>
      <c r="J523" s="127">
        <v>250000000</v>
      </c>
      <c r="K523" s="88" t="s">
        <v>398</v>
      </c>
      <c r="L523" s="159" t="s">
        <v>155</v>
      </c>
      <c r="M523" s="162" t="s">
        <v>422</v>
      </c>
      <c r="N523" s="23" t="s">
        <v>197</v>
      </c>
      <c r="O523" s="151" t="s">
        <v>945</v>
      </c>
      <c r="P523" s="162" t="s">
        <v>348</v>
      </c>
      <c r="Q523" s="53" t="s">
        <v>779</v>
      </c>
      <c r="R523" s="162" t="s">
        <v>207</v>
      </c>
      <c r="S523" s="162" t="str">
        <f>MID(PAA[[#This Row],[Meta Proyecto de Inversión]],1,4)</f>
        <v>8126</v>
      </c>
      <c r="T523" s="162" t="str">
        <f>MID(PAA[[#This Row],[Meta Proyecto de Inversión]],6,1)</f>
        <v>8</v>
      </c>
      <c r="U523" s="163" t="str">
        <f>IFERROR(VLOOKUP(N523,TD!$B$50:$F$54,2,0)," ")</f>
        <v>O230117</v>
      </c>
      <c r="V523" s="163" t="str">
        <f>IFERROR(VLOOKUP(N523,TD!$B$50:$F$54,3,0)," ")</f>
        <v>4599</v>
      </c>
      <c r="W523" s="163">
        <f>IFERROR(VLOOKUP(N523,TD!$B$50:$F$54,4,0)," ")</f>
        <v>20240207</v>
      </c>
      <c r="X523" s="162" t="s">
        <v>174</v>
      </c>
      <c r="Y523" s="163" t="str">
        <f>IFERROR(VLOOKUP(X523,TD!$J$51:$K$64,2,0)," ")</f>
        <v>Infraestructura física, mantenimiento y dotación (Sedes construidas, mantenidas reforzadas)</v>
      </c>
      <c r="Z523" s="164" t="str">
        <f>CONCATENATE(X523,"-",Y523)</f>
        <v>08-Infraestructura física, mantenimiento y dotación (Sedes construidas, mantenidas reforzadas)</v>
      </c>
      <c r="AA523" s="162" t="s">
        <v>227</v>
      </c>
      <c r="AB523" s="163" t="str">
        <f>IFERROR(VLOOKUP(AA523,TD!$N$51:$O$66,2,0)," ")</f>
        <v>Sedes mantenidas</v>
      </c>
      <c r="AC523" s="164" t="str">
        <f>CONCATENATE(AA523,"_",AB523)</f>
        <v>016_Sedes mantenidas</v>
      </c>
      <c r="AD523" s="164" t="str">
        <f>CONCATENATE(Z523," ",AC523)</f>
        <v>08-Infraestructura física, mantenimiento y dotación (Sedes construidas, mantenidas reforzadas) 016_Sedes mantenidas</v>
      </c>
      <c r="AE523" s="163" t="str">
        <f>CONCATENATE(U523,V523,W523,X523,AA523)</f>
        <v>O23011745992024020708016</v>
      </c>
      <c r="AF523" s="163" t="str">
        <f>IFERROR(VLOOKUP(AD523,TD!$J$66:$K$89,2,0)," ")</f>
        <v>PM/0131/0108/45990160207</v>
      </c>
      <c r="AG523" s="118" t="s">
        <v>80</v>
      </c>
      <c r="AH523" s="170" t="s">
        <v>193</v>
      </c>
      <c r="AI523" s="165" t="str">
        <f>CONCATENATE(PAA[[#This Row],[Id Interno]],"-",PAA[[#This Row],[tipo de Contrato (TH talento humano - B/S bienes y/o servicios)]],"-",S523,"-",T523,"-",PAA[[#This Row],[Objeto de la contratación]])</f>
        <v>20260510-BS-8126-8-Realizar el mantenimiento preventivo, correctivo de puertas automatizadas para las salas de máquinas de las estaciones de la UAE Cuerpo Oficial de Bomberos-SGC</v>
      </c>
    </row>
    <row r="524" spans="2:35" ht="56" x14ac:dyDescent="0.35">
      <c r="B524" s="23">
        <v>20260511</v>
      </c>
      <c r="C524" s="99" t="s">
        <v>743</v>
      </c>
      <c r="D524" s="23" t="s">
        <v>78</v>
      </c>
      <c r="E524" s="23" t="s">
        <v>402</v>
      </c>
      <c r="F524" s="23" t="s">
        <v>97</v>
      </c>
      <c r="G524" s="129" t="s">
        <v>379</v>
      </c>
      <c r="H524" s="136">
        <v>15</v>
      </c>
      <c r="I524" s="161">
        <v>0</v>
      </c>
      <c r="J524" s="127">
        <f>2869187130-3760200</f>
        <v>2865426930</v>
      </c>
      <c r="K524" s="88" t="s">
        <v>398</v>
      </c>
      <c r="L524" s="159" t="s">
        <v>155</v>
      </c>
      <c r="M524" s="162" t="s">
        <v>422</v>
      </c>
      <c r="N524" s="23" t="s">
        <v>198</v>
      </c>
      <c r="O524" s="151" t="s">
        <v>946</v>
      </c>
      <c r="P524" s="162" t="s">
        <v>348</v>
      </c>
      <c r="Q524" s="53" t="s">
        <v>764</v>
      </c>
      <c r="R524" s="162" t="s">
        <v>216</v>
      </c>
      <c r="S524" s="162" t="str">
        <f>MID(PAA[[#This Row],[Meta Proyecto de Inversión]],1,4)</f>
        <v>8173</v>
      </c>
      <c r="T524" s="162" t="str">
        <f>MID(PAA[[#This Row],[Meta Proyecto de Inversión]],6,1)</f>
        <v>7</v>
      </c>
      <c r="U524" s="163" t="str">
        <f>IFERROR(VLOOKUP(N524,TD!$B$50:$F$54,2,0)," ")</f>
        <v>O230117</v>
      </c>
      <c r="V524" s="163" t="str">
        <f>IFERROR(VLOOKUP(N524,TD!$B$50:$F$54,3,0)," ")</f>
        <v>4503</v>
      </c>
      <c r="W524" s="163">
        <f>IFERROR(VLOOKUP(N524,TD!$B$50:$F$54,4,0)," ")</f>
        <v>20240255</v>
      </c>
      <c r="X524" s="162">
        <v>14</v>
      </c>
      <c r="Y524" s="163" t="str">
        <f>IFERROR(VLOOKUP(X524,TD!$J$51:$K$64,2,0)," ")</f>
        <v xml:space="preserve">Infraestructura física misional construida mantenida y dotada </v>
      </c>
      <c r="Z524" s="164" t="str">
        <f>CONCATENATE(X524,"-",Y524)</f>
        <v xml:space="preserve">14-Infraestructura física misional construida mantenida y dotada </v>
      </c>
      <c r="AA524" s="162" t="s">
        <v>225</v>
      </c>
      <c r="AB524" s="163" t="str">
        <f>IFERROR(VLOOKUP(AA524,TD!$N$51:$O$66,2,0)," ")</f>
        <v>Estaciones de bomberos adecuadas</v>
      </c>
      <c r="AC524" s="164" t="str">
        <f>CONCATENATE(AA524,"_",AB524)</f>
        <v>014_Estaciones de bomberos adecuadas</v>
      </c>
      <c r="AD524" s="164" t="str">
        <f>CONCATENATE(Z524," ",AC524)</f>
        <v>14-Infraestructura física misional construida mantenida y dotada  014_Estaciones de bomberos adecuadas</v>
      </c>
      <c r="AE524" s="163" t="str">
        <f>CONCATENATE(U524,V524,W524,X524,AA524)</f>
        <v>O23011745032024025514014</v>
      </c>
      <c r="AF524" s="163" t="str">
        <f>IFERROR(VLOOKUP(AD524,TD!$J$66:$K$89,2,0)," ")</f>
        <v>PM/0131/0114/45030140255</v>
      </c>
      <c r="AG524" s="118" t="s">
        <v>94</v>
      </c>
      <c r="AH524" s="170" t="s">
        <v>193</v>
      </c>
      <c r="AI524" s="165" t="str">
        <f>CONCATENATE(PAA[[#This Row],[Id Interno]],"-",PAA[[#This Row],[tipo de Contrato (TH talento humano - B/S bienes y/o servicios)]],"-",S524,"-",T524,"-",PAA[[#This Row],[Objeto de la contratación]])</f>
        <v>20260511-BS-8173-7-Construcción de la estación  Ferias  B-7  UAE Cuerpo Oficial de Bomberos de Bogotá – SGC</v>
      </c>
    </row>
    <row r="525" spans="2:35" ht="140" x14ac:dyDescent="0.35">
      <c r="B525" s="23">
        <v>20260512</v>
      </c>
      <c r="C525" s="99" t="s">
        <v>743</v>
      </c>
      <c r="D525" s="23" t="s">
        <v>78</v>
      </c>
      <c r="E525" s="23" t="s">
        <v>402</v>
      </c>
      <c r="F525" s="23" t="s">
        <v>97</v>
      </c>
      <c r="G525" s="129" t="s">
        <v>379</v>
      </c>
      <c r="H525" s="136">
        <v>15</v>
      </c>
      <c r="I525" s="161">
        <v>0</v>
      </c>
      <c r="J525" s="127">
        <v>279202000</v>
      </c>
      <c r="K525" s="88" t="s">
        <v>398</v>
      </c>
      <c r="L525" s="159" t="s">
        <v>155</v>
      </c>
      <c r="M525" s="162" t="s">
        <v>422</v>
      </c>
      <c r="N525" s="23" t="s">
        <v>198</v>
      </c>
      <c r="O525" s="151" t="s">
        <v>946</v>
      </c>
      <c r="P525" s="162" t="s">
        <v>560</v>
      </c>
      <c r="Q525" s="53" t="s">
        <v>764</v>
      </c>
      <c r="R525" s="162" t="s">
        <v>216</v>
      </c>
      <c r="S525" s="162" t="str">
        <f>MID(PAA[[#This Row],[Meta Proyecto de Inversión]],1,4)</f>
        <v>8173</v>
      </c>
      <c r="T525" s="162" t="str">
        <f>MID(PAA[[#This Row],[Meta Proyecto de Inversión]],6,1)</f>
        <v>7</v>
      </c>
      <c r="U525" s="163" t="str">
        <f>IFERROR(VLOOKUP(N525,TD!$B$50:$F$54,2,0)," ")</f>
        <v>O230117</v>
      </c>
      <c r="V525" s="163" t="str">
        <f>IFERROR(VLOOKUP(N525,TD!$B$50:$F$54,3,0)," ")</f>
        <v>4503</v>
      </c>
      <c r="W525" s="163">
        <f>IFERROR(VLOOKUP(N525,TD!$B$50:$F$54,4,0)," ")</f>
        <v>20240255</v>
      </c>
      <c r="X525" s="162">
        <v>14</v>
      </c>
      <c r="Y525" s="163" t="str">
        <f>IFERROR(VLOOKUP(X525,TD!$J$51:$K$64,2,0)," ")</f>
        <v xml:space="preserve">Infraestructura física misional construida mantenida y dotada </v>
      </c>
      <c r="Z525" s="164" t="str">
        <f>CONCATENATE(X525,"-",Y525)</f>
        <v xml:space="preserve">14-Infraestructura física misional construida mantenida y dotada </v>
      </c>
      <c r="AA525" s="162" t="s">
        <v>225</v>
      </c>
      <c r="AB525" s="163" t="str">
        <f>IFERROR(VLOOKUP(AA525,TD!$N$51:$O$66,2,0)," ")</f>
        <v>Estaciones de bomberos adecuadas</v>
      </c>
      <c r="AC525" s="164" t="str">
        <f>CONCATENATE(AA525,"_",AB525)</f>
        <v>014_Estaciones de bomberos adecuadas</v>
      </c>
      <c r="AD525" s="164" t="str">
        <f>CONCATENATE(Z525," ",AC525)</f>
        <v>14-Infraestructura física misional construida mantenida y dotada  014_Estaciones de bomberos adecuadas</v>
      </c>
      <c r="AE525" s="163" t="str">
        <f>CONCATENATE(U525,V525,W525,X525,AA525)</f>
        <v>O23011745032024025514014</v>
      </c>
      <c r="AF525" s="163" t="str">
        <f>IFERROR(VLOOKUP(AD525,TD!$J$66:$K$89,2,0)," ")</f>
        <v>PM/0131/0114/45030140255</v>
      </c>
      <c r="AG525" s="118" t="s">
        <v>94</v>
      </c>
      <c r="AH525" s="170" t="s">
        <v>193</v>
      </c>
      <c r="AI525" s="165" t="str">
        <f>CONCATENATE(PAA[[#This Row],[Id Interno]],"-",PAA[[#This Row],[tipo de Contrato (TH talento humano - B/S bienes y/o servicios)]],"-",S525,"-",T525,"-",PAA[[#This Row],[Objeto de la contratación]])</f>
        <v>20260512-BS-8173-7-Construcción de la estación  Ferias  B-7  UAE Cuerpo Oficial de Bomberos de Bogotá – SGC</v>
      </c>
    </row>
    <row r="526" spans="2:35" ht="112" x14ac:dyDescent="0.35">
      <c r="B526" s="23">
        <v>20260513</v>
      </c>
      <c r="C526" s="99" t="s">
        <v>744</v>
      </c>
      <c r="D526" s="23" t="s">
        <v>100</v>
      </c>
      <c r="E526" s="23" t="s">
        <v>402</v>
      </c>
      <c r="F526" s="23" t="s">
        <v>131</v>
      </c>
      <c r="G526" s="129" t="s">
        <v>379</v>
      </c>
      <c r="H526" s="136">
        <v>15</v>
      </c>
      <c r="I526" s="161">
        <v>0</v>
      </c>
      <c r="J526" s="127">
        <v>303000000</v>
      </c>
      <c r="K526" s="88" t="s">
        <v>398</v>
      </c>
      <c r="L526" s="159" t="s">
        <v>155</v>
      </c>
      <c r="M526" s="162" t="s">
        <v>422</v>
      </c>
      <c r="N526" s="23" t="s">
        <v>198</v>
      </c>
      <c r="O526" s="151" t="s">
        <v>946</v>
      </c>
      <c r="P526" s="162" t="s">
        <v>560</v>
      </c>
      <c r="Q526" s="53" t="s">
        <v>765</v>
      </c>
      <c r="R526" s="162" t="s">
        <v>216</v>
      </c>
      <c r="S526" s="162" t="str">
        <f>MID(PAA[[#This Row],[Meta Proyecto de Inversión]],1,4)</f>
        <v>8173</v>
      </c>
      <c r="T526" s="162" t="str">
        <f>MID(PAA[[#This Row],[Meta Proyecto de Inversión]],6,1)</f>
        <v>7</v>
      </c>
      <c r="U526" s="163" t="str">
        <f>IFERROR(VLOOKUP(N526,TD!$B$50:$F$54,2,0)," ")</f>
        <v>O230117</v>
      </c>
      <c r="V526" s="163" t="str">
        <f>IFERROR(VLOOKUP(N526,TD!$B$50:$F$54,3,0)," ")</f>
        <v>4503</v>
      </c>
      <c r="W526" s="163">
        <f>IFERROR(VLOOKUP(N526,TD!$B$50:$F$54,4,0)," ")</f>
        <v>20240255</v>
      </c>
      <c r="X526" s="162">
        <v>14</v>
      </c>
      <c r="Y526" s="163" t="str">
        <f>IFERROR(VLOOKUP(X526,TD!$J$51:$K$64,2,0)," ")</f>
        <v xml:space="preserve">Infraestructura física misional construida mantenida y dotada </v>
      </c>
      <c r="Z526" s="164" t="str">
        <f>CONCATENATE(X526,"-",Y526)</f>
        <v xml:space="preserve">14-Infraestructura física misional construida mantenida y dotada </v>
      </c>
      <c r="AA526" s="162" t="s">
        <v>225</v>
      </c>
      <c r="AB526" s="163" t="str">
        <f>IFERROR(VLOOKUP(AA526,TD!$N$51:$O$66,2,0)," ")</f>
        <v>Estaciones de bomberos adecuadas</v>
      </c>
      <c r="AC526" s="164" t="str">
        <f>CONCATENATE(AA526,"_",AB526)</f>
        <v>014_Estaciones de bomberos adecuadas</v>
      </c>
      <c r="AD526" s="164" t="str">
        <f>CONCATENATE(Z526," ",AC526)</f>
        <v>14-Infraestructura física misional construida mantenida y dotada  014_Estaciones de bomberos adecuadas</v>
      </c>
      <c r="AE526" s="163" t="str">
        <f>CONCATENATE(U526,V526,W526,X526,AA526)</f>
        <v>O23011745032024025514014</v>
      </c>
      <c r="AF526" s="163" t="str">
        <f>IFERROR(VLOOKUP(AD526,TD!$J$66:$K$89,2,0)," ")</f>
        <v>PM/0131/0114/45030140255</v>
      </c>
      <c r="AG526" s="118" t="s">
        <v>94</v>
      </c>
      <c r="AH526" s="170" t="s">
        <v>193</v>
      </c>
      <c r="AI526" s="165" t="str">
        <f>CONCATENATE(PAA[[#This Row],[Id Interno]],"-",PAA[[#This Row],[tipo de Contrato (TH talento humano - B/S bienes y/o servicios)]],"-",S526,"-",T526,"-",PAA[[#This Row],[Objeto de la contratación]])</f>
        <v>20260513-BS-8173-7-Interventoría técnica, administrativa, financiera, contable, jurídica y ambiental para la construcción de la estación de bomberos Ferias B7 UAE Cuerpo Oficial de Bomberos de Bogotá – SGC</v>
      </c>
    </row>
    <row r="527" spans="2:35" ht="56" x14ac:dyDescent="0.35">
      <c r="B527" s="99">
        <v>20260514</v>
      </c>
      <c r="C527" s="99" t="s">
        <v>953</v>
      </c>
      <c r="D527" s="99" t="s">
        <v>78</v>
      </c>
      <c r="E527" s="99" t="s">
        <v>402</v>
      </c>
      <c r="F527" s="99" t="s">
        <v>97</v>
      </c>
      <c r="G527" s="129" t="s">
        <v>379</v>
      </c>
      <c r="H527" s="153">
        <v>10</v>
      </c>
      <c r="I527" s="167">
        <v>0</v>
      </c>
      <c r="J527" s="118">
        <v>900000000</v>
      </c>
      <c r="K527" s="126" t="s">
        <v>398</v>
      </c>
      <c r="L527" s="160" t="s">
        <v>155</v>
      </c>
      <c r="M527" s="166" t="s">
        <v>422</v>
      </c>
      <c r="N527" s="99" t="s">
        <v>198</v>
      </c>
      <c r="O527" s="151" t="s">
        <v>946</v>
      </c>
      <c r="P527" s="166" t="s">
        <v>560</v>
      </c>
      <c r="Q527" s="128" t="s">
        <v>764</v>
      </c>
      <c r="R527" s="166" t="s">
        <v>217</v>
      </c>
      <c r="S527" s="162" t="str">
        <f>MID(PAA[[#This Row],[Meta Proyecto de Inversión]],1,4)</f>
        <v>8173</v>
      </c>
      <c r="T527" s="162" t="str">
        <f>MID(PAA[[#This Row],[Meta Proyecto de Inversión]],6,1)</f>
        <v>8</v>
      </c>
      <c r="U527" s="168" t="str">
        <f>IFERROR(VLOOKUP(N527,TD!$B$50:$F$54,2,0)," ")</f>
        <v>O230117</v>
      </c>
      <c r="V527" s="168" t="str">
        <f>IFERROR(VLOOKUP(N527,TD!$B$50:$F$54,3,0)," ")</f>
        <v>4503</v>
      </c>
      <c r="W527" s="168">
        <f>IFERROR(VLOOKUP(N527,TD!$B$50:$F$54,4,0)," ")</f>
        <v>20240255</v>
      </c>
      <c r="X527" s="166">
        <v>14</v>
      </c>
      <c r="Y527" s="168" t="str">
        <f>IFERROR(VLOOKUP(X527,TD!$J$51:$K$64,2,0)," ")</f>
        <v xml:space="preserve">Infraestructura física misional construida mantenida y dotada </v>
      </c>
      <c r="Z527" s="164" t="str">
        <f>CONCATENATE(X527,"-",Y527)</f>
        <v xml:space="preserve">14-Infraestructura física misional construida mantenida y dotada </v>
      </c>
      <c r="AA527" s="166" t="s">
        <v>226</v>
      </c>
      <c r="AB527" s="168" t="str">
        <f>IFERROR(VLOOKUP(AA527,TD!$N$51:$O$66,2,0)," ")</f>
        <v>Estaciones de bomberos construidas</v>
      </c>
      <c r="AC527" s="164" t="str">
        <f>CONCATENATE(AA527,"_",AB527)</f>
        <v>015_Estaciones de bomberos construidas</v>
      </c>
      <c r="AD527" s="164" t="str">
        <f>CONCATENATE(Z527," ",AC527)</f>
        <v>14-Infraestructura física misional construida mantenida y dotada  015_Estaciones de bomberos construidas</v>
      </c>
      <c r="AE527" s="168" t="str">
        <f>CONCATENATE(U527,V527,W527,X527,AA527)</f>
        <v>O23011745032024025514015</v>
      </c>
      <c r="AF527" s="168" t="str">
        <f>IFERROR(VLOOKUP(AD527,TD!$J$66:$K$89,2,0)," ")</f>
        <v>PM/0131/0114/45030150255</v>
      </c>
      <c r="AG527" s="118" t="s">
        <v>94</v>
      </c>
      <c r="AH527" s="179" t="s">
        <v>193</v>
      </c>
      <c r="AI527" s="169" t="str">
        <f>CONCATENATE(PAA[[#This Row],[Id Interno]],"-",PAA[[#This Row],[tipo de Contrato (TH talento humano - B/S bienes y/o servicios)]],"-",S527,"-",T527,"-",PAA[[#This Row],[Objeto de la contratación]])</f>
        <v>20260514-BS-8173-8-Adecuación de la estación Nueva Estación de la UAE Cuerpo Oficial de Bomberos de Bogotá – SGC</v>
      </c>
    </row>
    <row r="528" spans="2:35" ht="112" x14ac:dyDescent="0.35">
      <c r="B528" s="99">
        <v>20260515</v>
      </c>
      <c r="C528" s="99" t="s">
        <v>954</v>
      </c>
      <c r="D528" s="99" t="s">
        <v>100</v>
      </c>
      <c r="E528" s="99" t="s">
        <v>402</v>
      </c>
      <c r="F528" s="99" t="s">
        <v>131</v>
      </c>
      <c r="G528" s="129" t="s">
        <v>379</v>
      </c>
      <c r="H528" s="153">
        <v>10</v>
      </c>
      <c r="I528" s="167">
        <v>0</v>
      </c>
      <c r="J528" s="118">
        <v>225000000</v>
      </c>
      <c r="K528" s="126" t="s">
        <v>398</v>
      </c>
      <c r="L528" s="160" t="s">
        <v>155</v>
      </c>
      <c r="M528" s="166" t="s">
        <v>422</v>
      </c>
      <c r="N528" s="99" t="s">
        <v>198</v>
      </c>
      <c r="O528" s="151" t="s">
        <v>946</v>
      </c>
      <c r="P528" s="166" t="s">
        <v>560</v>
      </c>
      <c r="Q528" s="128" t="s">
        <v>765</v>
      </c>
      <c r="R528" s="166" t="s">
        <v>217</v>
      </c>
      <c r="S528" s="162" t="str">
        <f>MID(PAA[[#This Row],[Meta Proyecto de Inversión]],1,4)</f>
        <v>8173</v>
      </c>
      <c r="T528" s="162" t="str">
        <f>MID(PAA[[#This Row],[Meta Proyecto de Inversión]],6,1)</f>
        <v>8</v>
      </c>
      <c r="U528" s="168" t="str">
        <f>IFERROR(VLOOKUP(N528,TD!$B$50:$F$54,2,0)," ")</f>
        <v>O230117</v>
      </c>
      <c r="V528" s="168" t="str">
        <f>IFERROR(VLOOKUP(N528,TD!$B$50:$F$54,3,0)," ")</f>
        <v>4503</v>
      </c>
      <c r="W528" s="168">
        <f>IFERROR(VLOOKUP(N528,TD!$B$50:$F$54,4,0)," ")</f>
        <v>20240255</v>
      </c>
      <c r="X528" s="166">
        <v>14</v>
      </c>
      <c r="Y528" s="168" t="str">
        <f>IFERROR(VLOOKUP(X528,TD!$J$51:$K$64,2,0)," ")</f>
        <v xml:space="preserve">Infraestructura física misional construida mantenida y dotada </v>
      </c>
      <c r="Z528" s="164" t="str">
        <f>CONCATENATE(X528,"-",Y528)</f>
        <v xml:space="preserve">14-Infraestructura física misional construida mantenida y dotada </v>
      </c>
      <c r="AA528" s="166" t="s">
        <v>226</v>
      </c>
      <c r="AB528" s="168" t="str">
        <f>IFERROR(VLOOKUP(AA528,TD!$N$51:$O$66,2,0)," ")</f>
        <v>Estaciones de bomberos construidas</v>
      </c>
      <c r="AC528" s="164" t="str">
        <f>CONCATENATE(AA528,"_",AB528)</f>
        <v>015_Estaciones de bomberos construidas</v>
      </c>
      <c r="AD528" s="164" t="str">
        <f>CONCATENATE(Z528," ",AC528)</f>
        <v>14-Infraestructura física misional construida mantenida y dotada  015_Estaciones de bomberos construidas</v>
      </c>
      <c r="AE528" s="168" t="str">
        <f>CONCATENATE(U528,V528,W528,X528,AA528)</f>
        <v>O23011745032024025514015</v>
      </c>
      <c r="AF528" s="168" t="str">
        <f>IFERROR(VLOOKUP(AD528,TD!$J$66:$K$89,2,0)," ")</f>
        <v>PM/0131/0114/45030150255</v>
      </c>
      <c r="AG528" s="118" t="s">
        <v>94</v>
      </c>
      <c r="AH528" s="179" t="s">
        <v>193</v>
      </c>
      <c r="AI528" s="169" t="str">
        <f>CONCATENATE(PAA[[#This Row],[Id Interno]],"-",PAA[[#This Row],[tipo de Contrato (TH talento humano - B/S bienes y/o servicios)]],"-",S528,"-",T528,"-",PAA[[#This Row],[Objeto de la contratación]])</f>
        <v>20260515-BS-8173-8-Interventoría técnica, administrativa, financiera, contable, jurídica y ambiental para la Adecuación de la Nueva Estación de bomberos de la UAE Cuerpo Oficial de Bomberos de Bogotá – SGC</v>
      </c>
    </row>
    <row r="529" spans="2:35" ht="28" x14ac:dyDescent="0.35">
      <c r="B529" s="99">
        <v>20260516</v>
      </c>
      <c r="C529" s="99" t="s">
        <v>955</v>
      </c>
      <c r="D529" s="99" t="s">
        <v>78</v>
      </c>
      <c r="E529" s="99" t="s">
        <v>402</v>
      </c>
      <c r="F529" s="99" t="s">
        <v>97</v>
      </c>
      <c r="G529" s="129" t="s">
        <v>379</v>
      </c>
      <c r="H529" s="153">
        <v>15</v>
      </c>
      <c r="I529" s="167">
        <v>0</v>
      </c>
      <c r="J529" s="118">
        <v>900000000</v>
      </c>
      <c r="K529" s="126" t="s">
        <v>398</v>
      </c>
      <c r="L529" s="160" t="s">
        <v>155</v>
      </c>
      <c r="M529" s="166" t="s">
        <v>422</v>
      </c>
      <c r="N529" s="99" t="s">
        <v>198</v>
      </c>
      <c r="O529" s="151" t="s">
        <v>946</v>
      </c>
      <c r="P529" s="166" t="s">
        <v>560</v>
      </c>
      <c r="Q529" s="128" t="s">
        <v>764</v>
      </c>
      <c r="R529" s="166" t="s">
        <v>216</v>
      </c>
      <c r="S529" s="162" t="str">
        <f>MID(PAA[[#This Row],[Meta Proyecto de Inversión]],1,4)</f>
        <v>8173</v>
      </c>
      <c r="T529" s="162" t="str">
        <f>MID(PAA[[#This Row],[Meta Proyecto de Inversión]],6,1)</f>
        <v>7</v>
      </c>
      <c r="U529" s="168" t="str">
        <f>IFERROR(VLOOKUP(N529,TD!$B$50:$F$54,2,0)," ")</f>
        <v>O230117</v>
      </c>
      <c r="V529" s="168" t="str">
        <f>IFERROR(VLOOKUP(N529,TD!$B$50:$F$54,3,0)," ")</f>
        <v>4503</v>
      </c>
      <c r="W529" s="168">
        <f>IFERROR(VLOOKUP(N529,TD!$B$50:$F$54,4,0)," ")</f>
        <v>20240255</v>
      </c>
      <c r="X529" s="166">
        <v>14</v>
      </c>
      <c r="Y529" s="168" t="str">
        <f>IFERROR(VLOOKUP(X529,TD!$J$51:$K$64,2,0)," ")</f>
        <v xml:space="preserve">Infraestructura física misional construida mantenida y dotada </v>
      </c>
      <c r="Z529" s="164" t="str">
        <f>CONCATENATE(X529,"-",Y529)</f>
        <v xml:space="preserve">14-Infraestructura física misional construida mantenida y dotada </v>
      </c>
      <c r="AA529" s="166" t="s">
        <v>225</v>
      </c>
      <c r="AB529" s="168" t="str">
        <f>IFERROR(VLOOKUP(AA529,TD!$N$51:$O$66,2,0)," ")</f>
        <v>Estaciones de bomberos adecuadas</v>
      </c>
      <c r="AC529" s="164" t="str">
        <f>CONCATENATE(AA529,"_",AB529)</f>
        <v>014_Estaciones de bomberos adecuadas</v>
      </c>
      <c r="AD529" s="164" t="str">
        <f>CONCATENATE(Z529," ",AC529)</f>
        <v>14-Infraestructura física misional construida mantenida y dotada  014_Estaciones de bomberos adecuadas</v>
      </c>
      <c r="AE529" s="168" t="str">
        <f>CONCATENATE(U529,V529,W529,X529,AA529)</f>
        <v>O23011745032024025514014</v>
      </c>
      <c r="AF529" s="168" t="str">
        <f>IFERROR(VLOOKUP(AD529,TD!$J$66:$K$89,2,0)," ")</f>
        <v>PM/0131/0114/45030140255</v>
      </c>
      <c r="AG529" s="118" t="s">
        <v>94</v>
      </c>
      <c r="AH529" s="179" t="s">
        <v>193</v>
      </c>
      <c r="AI529" s="169" t="str">
        <f>CONCATENATE(PAA[[#This Row],[Id Interno]],"-",PAA[[#This Row],[tipo de Contrato (TH talento humano - B/S bienes y/o servicios)]],"-",S529,"-",T529,"-",PAA[[#This Row],[Objeto de la contratación]])</f>
        <v>20260516-BS-8173-7-Adecuación de la estación de Bomberos Chapinero B1- de la UAE Cuerpo Oficial de Bomberos de Bogotá – SGC</v>
      </c>
    </row>
    <row r="530" spans="2:35" ht="42" x14ac:dyDescent="0.35">
      <c r="B530" s="99">
        <v>20260517</v>
      </c>
      <c r="C530" s="99" t="s">
        <v>956</v>
      </c>
      <c r="D530" s="99" t="s">
        <v>100</v>
      </c>
      <c r="E530" s="99" t="s">
        <v>402</v>
      </c>
      <c r="F530" s="99" t="s">
        <v>131</v>
      </c>
      <c r="G530" s="129" t="s">
        <v>379</v>
      </c>
      <c r="H530" s="153">
        <v>15</v>
      </c>
      <c r="I530" s="167">
        <v>0</v>
      </c>
      <c r="J530" s="118">
        <v>225000000</v>
      </c>
      <c r="K530" s="126" t="s">
        <v>398</v>
      </c>
      <c r="L530" s="160" t="s">
        <v>155</v>
      </c>
      <c r="M530" s="166" t="s">
        <v>422</v>
      </c>
      <c r="N530" s="99" t="s">
        <v>198</v>
      </c>
      <c r="O530" s="151" t="s">
        <v>946</v>
      </c>
      <c r="P530" s="166" t="s">
        <v>560</v>
      </c>
      <c r="Q530" s="128" t="s">
        <v>765</v>
      </c>
      <c r="R530" s="166" t="s">
        <v>216</v>
      </c>
      <c r="S530" s="162" t="str">
        <f>MID(PAA[[#This Row],[Meta Proyecto de Inversión]],1,4)</f>
        <v>8173</v>
      </c>
      <c r="T530" s="162" t="str">
        <f>MID(PAA[[#This Row],[Meta Proyecto de Inversión]],6,1)</f>
        <v>7</v>
      </c>
      <c r="U530" s="168" t="str">
        <f>IFERROR(VLOOKUP(N530,TD!$B$50:$F$54,2,0)," ")</f>
        <v>O230117</v>
      </c>
      <c r="V530" s="168" t="str">
        <f>IFERROR(VLOOKUP(N530,TD!$B$50:$F$54,3,0)," ")</f>
        <v>4503</v>
      </c>
      <c r="W530" s="168">
        <f>IFERROR(VLOOKUP(N530,TD!$B$50:$F$54,4,0)," ")</f>
        <v>20240255</v>
      </c>
      <c r="X530" s="166">
        <v>14</v>
      </c>
      <c r="Y530" s="168" t="str">
        <f>IFERROR(VLOOKUP(X530,TD!$J$51:$K$64,2,0)," ")</f>
        <v xml:space="preserve">Infraestructura física misional construida mantenida y dotada </v>
      </c>
      <c r="Z530" s="164" t="str">
        <f>CONCATENATE(X530,"-",Y530)</f>
        <v xml:space="preserve">14-Infraestructura física misional construida mantenida y dotada </v>
      </c>
      <c r="AA530" s="166" t="s">
        <v>225</v>
      </c>
      <c r="AB530" s="168" t="str">
        <f>IFERROR(VLOOKUP(AA530,TD!$N$51:$O$66,2,0)," ")</f>
        <v>Estaciones de bomberos adecuadas</v>
      </c>
      <c r="AC530" s="164" t="str">
        <f>CONCATENATE(AA530,"_",AB530)</f>
        <v>014_Estaciones de bomberos adecuadas</v>
      </c>
      <c r="AD530" s="164" t="str">
        <f>CONCATENATE(Z530," ",AC530)</f>
        <v>14-Infraestructura física misional construida mantenida y dotada  014_Estaciones de bomberos adecuadas</v>
      </c>
      <c r="AE530" s="168" t="str">
        <f>CONCATENATE(U530,V530,W530,X530,AA530)</f>
        <v>O23011745032024025514014</v>
      </c>
      <c r="AF530" s="168" t="str">
        <f>IFERROR(VLOOKUP(AD530,TD!$J$66:$K$89,2,0)," ")</f>
        <v>PM/0131/0114/45030140255</v>
      </c>
      <c r="AG530" s="118" t="s">
        <v>94</v>
      </c>
      <c r="AH530" s="166" t="s">
        <v>193</v>
      </c>
      <c r="AI530" s="169" t="str">
        <f>CONCATENATE(PAA[[#This Row],[Id Interno]],"-",PAA[[#This Row],[tipo de Contrato (TH talento humano - B/S bienes y/o servicios)]],"-",S530,"-",T530,"-",PAA[[#This Row],[Objeto de la contratación]])</f>
        <v>20260517-BS-8173-7-Interventoría técnica, administrativa, financiera, contable, jurídica y ambiental para la Adecuación de la estación de Bomberos Chapinero B1- de la UAE Cuerpo Oficial de Bomberos de Bogotá – SGC</v>
      </c>
    </row>
    <row r="531" spans="2:35" ht="42" x14ac:dyDescent="0.35">
      <c r="B531" s="23">
        <v>20260518</v>
      </c>
      <c r="C531" s="99" t="s">
        <v>745</v>
      </c>
      <c r="D531" s="23" t="s">
        <v>83</v>
      </c>
      <c r="E531" s="23" t="s">
        <v>402</v>
      </c>
      <c r="F531" s="23" t="s">
        <v>89</v>
      </c>
      <c r="G531" s="129" t="s">
        <v>376</v>
      </c>
      <c r="H531" s="136">
        <v>11</v>
      </c>
      <c r="I531" s="161">
        <v>0</v>
      </c>
      <c r="J531" s="127">
        <v>297000000</v>
      </c>
      <c r="K531" s="88" t="s">
        <v>398</v>
      </c>
      <c r="L531" s="159" t="s">
        <v>155</v>
      </c>
      <c r="M531" s="162" t="s">
        <v>422</v>
      </c>
      <c r="N531" s="23" t="s">
        <v>330</v>
      </c>
      <c r="O531" s="151" t="s">
        <v>945</v>
      </c>
      <c r="P531" s="162" t="s">
        <v>161</v>
      </c>
      <c r="Q531" s="53" t="s">
        <v>780</v>
      </c>
      <c r="R531" s="162" t="s">
        <v>331</v>
      </c>
      <c r="S531" s="162" t="str">
        <f>MID(PAA[[#This Row],[Meta Proyecto de Inversión]],1,4)</f>
        <v>No a</v>
      </c>
      <c r="T531" s="162" t="str">
        <f>MID(PAA[[#This Row],[Meta Proyecto de Inversión]],6,1)</f>
        <v>l</v>
      </c>
      <c r="U531" s="163" t="str">
        <f>IFERROR(VLOOKUP(N531,TD!$B$50:$F$54,2,0)," ")</f>
        <v>NA</v>
      </c>
      <c r="V531" s="163" t="str">
        <f>IFERROR(VLOOKUP(N531,TD!$B$50:$F$54,3,0)," ")</f>
        <v>NA</v>
      </c>
      <c r="W531" s="163" t="str">
        <f>IFERROR(VLOOKUP(N531,TD!$B$50:$F$54,4,0)," ")</f>
        <v>NA</v>
      </c>
      <c r="X531" s="162" t="s">
        <v>335</v>
      </c>
      <c r="Y531" s="163" t="str">
        <f>IFERROR(VLOOKUP(X531,TD!$J$51:$K$64,2,0)," ")</f>
        <v>N/A</v>
      </c>
      <c r="Z531" s="164" t="str">
        <f>CONCATENATE(X531,"-",Y531)</f>
        <v>N/A-N/A</v>
      </c>
      <c r="AA531" s="162" t="s">
        <v>335</v>
      </c>
      <c r="AB531" s="163" t="str">
        <f>IFERROR(VLOOKUP(AA531,TD!$N$51:$O$66,2,0)," ")</f>
        <v>N/A</v>
      </c>
      <c r="AC531" s="164" t="str">
        <f>CONCATENATE(AA531,"_",AB531)</f>
        <v>N/A_N/A</v>
      </c>
      <c r="AD531" s="164" t="str">
        <f>CONCATENATE(Z531," ",AC531)</f>
        <v>N/A-N/A N/A_N/A</v>
      </c>
      <c r="AE531" s="163" t="str">
        <f>CONCATENATE(U531,V531,W531,X531,AA531)</f>
        <v>NANANAN/AN/A</v>
      </c>
      <c r="AF531" s="163" t="str">
        <f>IFERROR(VLOOKUP(AD531,TD!$J$66:$K$89,2,0)," ")</f>
        <v>N/A</v>
      </c>
      <c r="AG531" s="118" t="s">
        <v>332</v>
      </c>
      <c r="AH531" s="170" t="s">
        <v>193</v>
      </c>
      <c r="AI531" s="165" t="str">
        <f>CONCATENATE(PAA[[#This Row],[Id Interno]],"-",PAA[[#This Row],[tipo de Contrato (TH talento humano - B/S bienes y/o servicios)]],"-",S531,"-",T531,"-",PAA[[#This Row],[Objeto de la contratación]])</f>
        <v>20260518-BS-No a-l-Contratar el servicio de saneamiento ambiental, corte de césped, jardinería, poda y tala de árboles para las sedes (predios y/o estaciones) de la Unidad Administrativa Especial Cuerpo Oficial de Bomberos de Bogotá – SGC</v>
      </c>
    </row>
    <row r="532" spans="2:35" ht="56" x14ac:dyDescent="0.35">
      <c r="B532" s="23">
        <v>20260519</v>
      </c>
      <c r="C532" s="99" t="s">
        <v>746</v>
      </c>
      <c r="D532" s="23" t="s">
        <v>92</v>
      </c>
      <c r="E532" s="23" t="s">
        <v>402</v>
      </c>
      <c r="F532" s="23" t="s">
        <v>89</v>
      </c>
      <c r="G532" s="129" t="s">
        <v>377</v>
      </c>
      <c r="H532" s="136">
        <v>8</v>
      </c>
      <c r="I532" s="161">
        <v>0</v>
      </c>
      <c r="J532" s="127">
        <v>30000000</v>
      </c>
      <c r="K532" s="88" t="s">
        <v>398</v>
      </c>
      <c r="L532" s="159" t="s">
        <v>155</v>
      </c>
      <c r="M532" s="162" t="s">
        <v>422</v>
      </c>
      <c r="N532" s="23" t="s">
        <v>330</v>
      </c>
      <c r="O532" s="151" t="s">
        <v>945</v>
      </c>
      <c r="P532" s="162" t="s">
        <v>161</v>
      </c>
      <c r="Q532" s="53" t="s">
        <v>781</v>
      </c>
      <c r="R532" s="162" t="s">
        <v>331</v>
      </c>
      <c r="S532" s="162" t="str">
        <f>MID(PAA[[#This Row],[Meta Proyecto de Inversión]],1,4)</f>
        <v>No a</v>
      </c>
      <c r="T532" s="162" t="str">
        <f>MID(PAA[[#This Row],[Meta Proyecto de Inversión]],6,1)</f>
        <v>l</v>
      </c>
      <c r="U532" s="163" t="str">
        <f>IFERROR(VLOOKUP(N532,TD!$B$50:$F$54,2,0)," ")</f>
        <v>NA</v>
      </c>
      <c r="V532" s="163" t="str">
        <f>IFERROR(VLOOKUP(N532,TD!$B$50:$F$54,3,0)," ")</f>
        <v>NA</v>
      </c>
      <c r="W532" s="163" t="str">
        <f>IFERROR(VLOOKUP(N532,TD!$B$50:$F$54,4,0)," ")</f>
        <v>NA</v>
      </c>
      <c r="X532" s="162" t="s">
        <v>335</v>
      </c>
      <c r="Y532" s="163" t="str">
        <f>IFERROR(VLOOKUP(X532,TD!$J$51:$K$64,2,0)," ")</f>
        <v>N/A</v>
      </c>
      <c r="Z532" s="164" t="str">
        <f>CONCATENATE(X532,"-",Y532)</f>
        <v>N/A-N/A</v>
      </c>
      <c r="AA532" s="162" t="s">
        <v>335</v>
      </c>
      <c r="AB532" s="163" t="str">
        <f>IFERROR(VLOOKUP(AA532,TD!$N$51:$O$66,2,0)," ")</f>
        <v>N/A</v>
      </c>
      <c r="AC532" s="164" t="str">
        <f>CONCATENATE(AA532,"_",AB532)</f>
        <v>N/A_N/A</v>
      </c>
      <c r="AD532" s="164" t="str">
        <f>CONCATENATE(Z532," ",AC532)</f>
        <v>N/A-N/A N/A_N/A</v>
      </c>
      <c r="AE532" s="163" t="str">
        <f>CONCATENATE(U532,V532,W532,X532,AA532)</f>
        <v>NANANAN/AN/A</v>
      </c>
      <c r="AF532" s="163" t="str">
        <f>IFERROR(VLOOKUP(AD532,TD!$J$66:$K$89,2,0)," ")</f>
        <v>N/A</v>
      </c>
      <c r="AG532" s="118" t="s">
        <v>332</v>
      </c>
      <c r="AH532" s="162" t="s">
        <v>193</v>
      </c>
      <c r="AI532" s="165" t="str">
        <f>CONCATENATE(PAA[[#This Row],[Id Interno]],"-",PAA[[#This Row],[tipo de Contrato (TH talento humano - B/S bienes y/o servicios)]],"-",S532,"-",T532,"-",PAA[[#This Row],[Objeto de la contratación]])</f>
        <v>20260519-BS-No a-l-Prestar el servicio de recolección y disposición final de los residuos sanitarios y aguas no tratadas de las instalaciones de la Unidad Administrativa Especial Cuerpo Oficial de Bomberos de Bogotá – SGC</v>
      </c>
    </row>
    <row r="533" spans="2:35" ht="28" x14ac:dyDescent="0.35">
      <c r="B533" s="23">
        <v>20260520</v>
      </c>
      <c r="C533" s="99" t="s">
        <v>747</v>
      </c>
      <c r="D533" s="23" t="s">
        <v>92</v>
      </c>
      <c r="E533" s="23" t="s">
        <v>402</v>
      </c>
      <c r="F533" s="23" t="s">
        <v>146</v>
      </c>
      <c r="G533" s="129" t="s">
        <v>376</v>
      </c>
      <c r="H533" s="136">
        <v>10</v>
      </c>
      <c r="I533" s="161">
        <v>0</v>
      </c>
      <c r="J533" s="127">
        <v>24000000</v>
      </c>
      <c r="K533" s="88" t="s">
        <v>398</v>
      </c>
      <c r="L533" s="159" t="s">
        <v>155</v>
      </c>
      <c r="M533" s="162" t="s">
        <v>422</v>
      </c>
      <c r="N533" s="23" t="s">
        <v>330</v>
      </c>
      <c r="O533" s="151" t="s">
        <v>945</v>
      </c>
      <c r="P533" s="162" t="s">
        <v>161</v>
      </c>
      <c r="Q533" s="53" t="s">
        <v>782</v>
      </c>
      <c r="R533" s="162" t="s">
        <v>331</v>
      </c>
      <c r="S533" s="162" t="str">
        <f>MID(PAA[[#This Row],[Meta Proyecto de Inversión]],1,4)</f>
        <v>No a</v>
      </c>
      <c r="T533" s="162" t="str">
        <f>MID(PAA[[#This Row],[Meta Proyecto de Inversión]],6,1)</f>
        <v>l</v>
      </c>
      <c r="U533" s="163" t="str">
        <f>IFERROR(VLOOKUP(N533,TD!$B$50:$F$54,2,0)," ")</f>
        <v>NA</v>
      </c>
      <c r="V533" s="163" t="str">
        <f>IFERROR(VLOOKUP(N533,TD!$B$50:$F$54,3,0)," ")</f>
        <v>NA</v>
      </c>
      <c r="W533" s="163" t="str">
        <f>IFERROR(VLOOKUP(N533,TD!$B$50:$F$54,4,0)," ")</f>
        <v>NA</v>
      </c>
      <c r="X533" s="162" t="s">
        <v>335</v>
      </c>
      <c r="Y533" s="163" t="str">
        <f>IFERROR(VLOOKUP(X533,TD!$J$51:$K$64,2,0)," ")</f>
        <v>N/A</v>
      </c>
      <c r="Z533" s="164" t="str">
        <f>CONCATENATE(X533,"-",Y533)</f>
        <v>N/A-N/A</v>
      </c>
      <c r="AA533" s="162" t="s">
        <v>335</v>
      </c>
      <c r="AB533" s="163" t="str">
        <f>IFERROR(VLOOKUP(AA533,TD!$N$51:$O$66,2,0)," ")</f>
        <v>N/A</v>
      </c>
      <c r="AC533" s="164" t="str">
        <f>CONCATENATE(AA533,"_",AB533)</f>
        <v>N/A_N/A</v>
      </c>
      <c r="AD533" s="164" t="str">
        <f>CONCATENATE(Z533," ",AC533)</f>
        <v>N/A-N/A N/A_N/A</v>
      </c>
      <c r="AE533" s="163" t="str">
        <f>CONCATENATE(U533,V533,W533,X533,AA533)</f>
        <v>NANANAN/AN/A</v>
      </c>
      <c r="AF533" s="163" t="str">
        <f>IFERROR(VLOOKUP(AD533,TD!$J$66:$K$89,2,0)," ")</f>
        <v>N/A</v>
      </c>
      <c r="AG533" s="118" t="s">
        <v>332</v>
      </c>
      <c r="AH533" s="170" t="s">
        <v>193</v>
      </c>
      <c r="AI533" s="165" t="str">
        <f>CONCATENATE(PAA[[#This Row],[Id Interno]],"-",PAA[[#This Row],[tipo de Contrato (TH talento humano - B/S bienes y/o servicios)]],"-",S533,"-",T533,"-",PAA[[#This Row],[Objeto de la contratación]])</f>
        <v>20260520-BS-No a-l-Prestar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v>
      </c>
    </row>
    <row r="534" spans="2:35" ht="56" x14ac:dyDescent="0.35">
      <c r="B534" s="23">
        <v>20260521</v>
      </c>
      <c r="C534" s="99" t="s">
        <v>748</v>
      </c>
      <c r="D534" s="23" t="s">
        <v>114</v>
      </c>
      <c r="E534" s="23" t="s">
        <v>402</v>
      </c>
      <c r="F534" s="23" t="s">
        <v>89</v>
      </c>
      <c r="G534" s="129" t="s">
        <v>373</v>
      </c>
      <c r="H534" s="136">
        <v>1</v>
      </c>
      <c r="I534" s="161">
        <v>0</v>
      </c>
      <c r="J534" s="127">
        <v>17698013</v>
      </c>
      <c r="K534" s="88" t="s">
        <v>398</v>
      </c>
      <c r="L534" s="159" t="s">
        <v>155</v>
      </c>
      <c r="M534" s="162" t="s">
        <v>422</v>
      </c>
      <c r="N534" s="23" t="s">
        <v>330</v>
      </c>
      <c r="O534" s="151" t="s">
        <v>945</v>
      </c>
      <c r="P534" s="162" t="s">
        <v>161</v>
      </c>
      <c r="Q534" s="53" t="s">
        <v>783</v>
      </c>
      <c r="R534" s="162" t="s">
        <v>331</v>
      </c>
      <c r="S534" s="162" t="str">
        <f>MID(PAA[[#This Row],[Meta Proyecto de Inversión]],1,4)</f>
        <v>No a</v>
      </c>
      <c r="T534" s="162" t="str">
        <f>MID(PAA[[#This Row],[Meta Proyecto de Inversión]],6,1)</f>
        <v>l</v>
      </c>
      <c r="U534" s="163" t="str">
        <f>IFERROR(VLOOKUP(N534,TD!$B$50:$F$54,2,0)," ")</f>
        <v>NA</v>
      </c>
      <c r="V534" s="163" t="str">
        <f>IFERROR(VLOOKUP(N534,TD!$B$50:$F$54,3,0)," ")</f>
        <v>NA</v>
      </c>
      <c r="W534" s="163" t="str">
        <f>IFERROR(VLOOKUP(N534,TD!$B$50:$F$54,4,0)," ")</f>
        <v>NA</v>
      </c>
      <c r="X534" s="162" t="s">
        <v>335</v>
      </c>
      <c r="Y534" s="163" t="str">
        <f>IFERROR(VLOOKUP(X534,TD!$J$51:$K$64,2,0)," ")</f>
        <v>N/A</v>
      </c>
      <c r="Z534" s="164" t="str">
        <f>CONCATENATE(X534,"-",Y534)</f>
        <v>N/A-N/A</v>
      </c>
      <c r="AA534" s="162" t="s">
        <v>335</v>
      </c>
      <c r="AB534" s="163" t="str">
        <f>IFERROR(VLOOKUP(AA534,TD!$N$51:$O$66,2,0)," ")</f>
        <v>N/A</v>
      </c>
      <c r="AC534" s="164" t="str">
        <f>CONCATENATE(AA534,"_",AB534)</f>
        <v>N/A_N/A</v>
      </c>
      <c r="AD534" s="164" t="str">
        <f>CONCATENATE(Z534," ",AC534)</f>
        <v>N/A-N/A N/A_N/A</v>
      </c>
      <c r="AE534" s="163" t="str">
        <f>CONCATENATE(U534,V534,W534,X534,AA534)</f>
        <v>NANANAN/AN/A</v>
      </c>
      <c r="AF534" s="163" t="str">
        <f>IFERROR(VLOOKUP(AD534,TD!$J$66:$K$89,2,0)," ")</f>
        <v>N/A</v>
      </c>
      <c r="AG534" s="118" t="s">
        <v>332</v>
      </c>
      <c r="AH534" s="162" t="s">
        <v>194</v>
      </c>
      <c r="AI534" s="165" t="str">
        <f>CONCATENATE(PAA[[#This Row],[Id Interno]],"-",PAA[[#This Row],[tipo de Contrato (TH talento humano - B/S bienes y/o servicios)]],"-",S534,"-",T534,"-",PAA[[#This Row],[Objeto de la contratación]])</f>
        <v>20260521-BS-No a-l-Adición No. 1 y prórroga No. 2 al contrato 196 de 2025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v>
      </c>
    </row>
    <row r="535" spans="2:35" ht="42" x14ac:dyDescent="0.35">
      <c r="B535" s="23">
        <v>20260522</v>
      </c>
      <c r="C535" s="99" t="s">
        <v>749</v>
      </c>
      <c r="D535" s="23" t="s">
        <v>114</v>
      </c>
      <c r="E535" s="23" t="s">
        <v>402</v>
      </c>
      <c r="F535" s="23" t="s">
        <v>89</v>
      </c>
      <c r="G535" s="129" t="s">
        <v>375</v>
      </c>
      <c r="H535" s="136">
        <v>8</v>
      </c>
      <c r="I535" s="161">
        <v>0</v>
      </c>
      <c r="J535" s="127">
        <v>88070951</v>
      </c>
      <c r="K535" s="88" t="s">
        <v>398</v>
      </c>
      <c r="L535" s="159" t="s">
        <v>155</v>
      </c>
      <c r="M535" s="162" t="s">
        <v>422</v>
      </c>
      <c r="N535" s="23" t="s">
        <v>330</v>
      </c>
      <c r="O535" s="151" t="s">
        <v>945</v>
      </c>
      <c r="P535" s="162" t="s">
        <v>161</v>
      </c>
      <c r="Q535" s="53" t="s">
        <v>783</v>
      </c>
      <c r="R535" s="162" t="s">
        <v>331</v>
      </c>
      <c r="S535" s="162" t="str">
        <f>MID(PAA[[#This Row],[Meta Proyecto de Inversión]],1,4)</f>
        <v>No a</v>
      </c>
      <c r="T535" s="162" t="str">
        <f>MID(PAA[[#This Row],[Meta Proyecto de Inversión]],6,1)</f>
        <v>l</v>
      </c>
      <c r="U535" s="163" t="str">
        <f>IFERROR(VLOOKUP(N535,TD!$B$50:$F$54,2,0)," ")</f>
        <v>NA</v>
      </c>
      <c r="V535" s="163" t="str">
        <f>IFERROR(VLOOKUP(N535,TD!$B$50:$F$54,3,0)," ")</f>
        <v>NA</v>
      </c>
      <c r="W535" s="163" t="str">
        <f>IFERROR(VLOOKUP(N535,TD!$B$50:$F$54,4,0)," ")</f>
        <v>NA</v>
      </c>
      <c r="X535" s="162" t="s">
        <v>335</v>
      </c>
      <c r="Y535" s="163" t="str">
        <f>IFERROR(VLOOKUP(X535,TD!$J$51:$K$64,2,0)," ")</f>
        <v>N/A</v>
      </c>
      <c r="Z535" s="164" t="str">
        <f>CONCATENATE(X535,"-",Y535)</f>
        <v>N/A-N/A</v>
      </c>
      <c r="AA535" s="162" t="s">
        <v>335</v>
      </c>
      <c r="AB535" s="163" t="str">
        <f>IFERROR(VLOOKUP(AA535,TD!$N$51:$O$66,2,0)," ")</f>
        <v>N/A</v>
      </c>
      <c r="AC535" s="164" t="str">
        <f>CONCATENATE(AA535,"_",AB535)</f>
        <v>N/A_N/A</v>
      </c>
      <c r="AD535" s="164" t="str">
        <f>CONCATENATE(Z535," ",AC535)</f>
        <v>N/A-N/A N/A_N/A</v>
      </c>
      <c r="AE535" s="163" t="str">
        <f>CONCATENATE(U535,V535,W535,X535,AA535)</f>
        <v>NANANAN/AN/A</v>
      </c>
      <c r="AF535" s="163" t="str">
        <f>IFERROR(VLOOKUP(AD535,TD!$J$66:$K$89,2,0)," ")</f>
        <v>N/A</v>
      </c>
      <c r="AG535" s="118" t="s">
        <v>332</v>
      </c>
      <c r="AH535" s="170" t="s">
        <v>193</v>
      </c>
      <c r="AI535" s="165" t="str">
        <f>CONCATENATE(PAA[[#This Row],[Id Interno]],"-",PAA[[#This Row],[tipo de Contrato (TH talento humano - B/S bienes y/o servicios)]],"-",S535,"-",T535,"-",PAA[[#This Row],[Objeto de la contratación]])</f>
        <v>20260522-BS-No a-l-Prestar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v>
      </c>
    </row>
    <row r="536" spans="2:35" ht="56" x14ac:dyDescent="0.35">
      <c r="B536" s="23">
        <v>20260523</v>
      </c>
      <c r="C536" s="99" t="s">
        <v>732</v>
      </c>
      <c r="D536" s="23" t="s">
        <v>114</v>
      </c>
      <c r="E536" s="23" t="s">
        <v>402</v>
      </c>
      <c r="F536" s="23" t="s">
        <v>89</v>
      </c>
      <c r="G536" s="129" t="s">
        <v>374</v>
      </c>
      <c r="H536" s="136">
        <v>10</v>
      </c>
      <c r="I536" s="161">
        <v>0</v>
      </c>
      <c r="J536" s="127">
        <v>755000000</v>
      </c>
      <c r="K536" s="88" t="s">
        <v>398</v>
      </c>
      <c r="L536" s="159" t="s">
        <v>155</v>
      </c>
      <c r="M536" s="162" t="s">
        <v>422</v>
      </c>
      <c r="N536" s="23" t="s">
        <v>330</v>
      </c>
      <c r="O536" s="151" t="s">
        <v>945</v>
      </c>
      <c r="P536" s="162" t="s">
        <v>161</v>
      </c>
      <c r="Q536" s="53" t="s">
        <v>767</v>
      </c>
      <c r="R536" s="162" t="s">
        <v>331</v>
      </c>
      <c r="S536" s="162" t="str">
        <f>MID(PAA[[#This Row],[Meta Proyecto de Inversión]],1,4)</f>
        <v>No a</v>
      </c>
      <c r="T536" s="162" t="str">
        <f>MID(PAA[[#This Row],[Meta Proyecto de Inversión]],6,1)</f>
        <v>l</v>
      </c>
      <c r="U536" s="163" t="str">
        <f>IFERROR(VLOOKUP(N536,TD!$B$50:$F$54,2,0)," ")</f>
        <v>NA</v>
      </c>
      <c r="V536" s="163" t="str">
        <f>IFERROR(VLOOKUP(N536,TD!$B$50:$F$54,3,0)," ")</f>
        <v>NA</v>
      </c>
      <c r="W536" s="163" t="str">
        <f>IFERROR(VLOOKUP(N536,TD!$B$50:$F$54,4,0)," ")</f>
        <v>NA</v>
      </c>
      <c r="X536" s="162" t="s">
        <v>335</v>
      </c>
      <c r="Y536" s="163" t="str">
        <f>IFERROR(VLOOKUP(X536,TD!$J$51:$K$64,2,0)," ")</f>
        <v>N/A</v>
      </c>
      <c r="Z536" s="164" t="str">
        <f>CONCATENATE(X536,"-",Y536)</f>
        <v>N/A-N/A</v>
      </c>
      <c r="AA536" s="162" t="s">
        <v>335</v>
      </c>
      <c r="AB536" s="163" t="str">
        <f>IFERROR(VLOOKUP(AA536,TD!$N$51:$O$66,2,0)," ")</f>
        <v>N/A</v>
      </c>
      <c r="AC536" s="164" t="str">
        <f>CONCATENATE(AA536,"_",AB536)</f>
        <v>N/A_N/A</v>
      </c>
      <c r="AD536" s="164" t="str">
        <f>CONCATENATE(Z536," ",AC536)</f>
        <v>N/A-N/A N/A_N/A</v>
      </c>
      <c r="AE536" s="163" t="str">
        <f>CONCATENATE(U536,V536,W536,X536,AA536)</f>
        <v>NANANAN/AN/A</v>
      </c>
      <c r="AF536" s="163" t="str">
        <f>IFERROR(VLOOKUP(AD536,TD!$J$66:$K$89,2,0)," ")</f>
        <v>N/A</v>
      </c>
      <c r="AG536" s="118" t="s">
        <v>332</v>
      </c>
      <c r="AH536" s="170" t="s">
        <v>193</v>
      </c>
      <c r="AI536" s="165" t="str">
        <f>CONCATENATE(PAA[[#This Row],[Id Interno]],"-",PAA[[#This Row],[tipo de Contrato (TH talento humano - B/S bienes y/o servicios)]],"-",S536,"-",T536,"-",PAA[[#This Row],[Objeto de la contratación]])</f>
        <v>20260523-BS-No a-l-Contratar la prestación del servicio de aseo y cafetería incluido insumos para la Unidad Administrativa Especial Cuerpo Oficial de Bomberos Bogotá -SGC</v>
      </c>
    </row>
    <row r="537" spans="2:35" ht="140" x14ac:dyDescent="0.35">
      <c r="B537" s="23">
        <v>20260524</v>
      </c>
      <c r="C537" s="99" t="s">
        <v>732</v>
      </c>
      <c r="D537" s="23" t="s">
        <v>114</v>
      </c>
      <c r="E537" s="23" t="s">
        <v>402</v>
      </c>
      <c r="F537" s="23" t="s">
        <v>89</v>
      </c>
      <c r="G537" s="129" t="s">
        <v>374</v>
      </c>
      <c r="H537" s="136">
        <v>10</v>
      </c>
      <c r="I537" s="161">
        <v>0</v>
      </c>
      <c r="J537" s="127">
        <v>388000000</v>
      </c>
      <c r="K537" s="88" t="s">
        <v>398</v>
      </c>
      <c r="L537" s="159" t="s">
        <v>155</v>
      </c>
      <c r="M537" s="162" t="s">
        <v>422</v>
      </c>
      <c r="N537" s="23" t="s">
        <v>330</v>
      </c>
      <c r="O537" s="151" t="s">
        <v>945</v>
      </c>
      <c r="P537" s="162" t="s">
        <v>161</v>
      </c>
      <c r="Q537" s="53" t="s">
        <v>767</v>
      </c>
      <c r="R537" s="162" t="s">
        <v>331</v>
      </c>
      <c r="S537" s="162" t="str">
        <f>MID(PAA[[#This Row],[Meta Proyecto de Inversión]],1,4)</f>
        <v>No a</v>
      </c>
      <c r="T537" s="162" t="str">
        <f>MID(PAA[[#This Row],[Meta Proyecto de Inversión]],6,1)</f>
        <v>l</v>
      </c>
      <c r="U537" s="163" t="str">
        <f>IFERROR(VLOOKUP(N537,TD!$B$50:$F$54,2,0)," ")</f>
        <v>NA</v>
      </c>
      <c r="V537" s="163" t="str">
        <f>IFERROR(VLOOKUP(N537,TD!$B$50:$F$54,3,0)," ")</f>
        <v>NA</v>
      </c>
      <c r="W537" s="163" t="str">
        <f>IFERROR(VLOOKUP(N537,TD!$B$50:$F$54,4,0)," ")</f>
        <v>NA</v>
      </c>
      <c r="X537" s="162" t="s">
        <v>335</v>
      </c>
      <c r="Y537" s="163" t="str">
        <f>IFERROR(VLOOKUP(X537,TD!$J$51:$K$64,2,0)," ")</f>
        <v>N/A</v>
      </c>
      <c r="Z537" s="164" t="str">
        <f>CONCATENATE(X537,"-",Y537)</f>
        <v>N/A-N/A</v>
      </c>
      <c r="AA537" s="162" t="s">
        <v>335</v>
      </c>
      <c r="AB537" s="163" t="str">
        <f>IFERROR(VLOOKUP(AA537,TD!$N$51:$O$66,2,0)," ")</f>
        <v>N/A</v>
      </c>
      <c r="AC537" s="164" t="str">
        <f>CONCATENATE(AA537,"_",AB537)</f>
        <v>N/A_N/A</v>
      </c>
      <c r="AD537" s="164" t="str">
        <f>CONCATENATE(Z537," ",AC537)</f>
        <v>N/A-N/A N/A_N/A</v>
      </c>
      <c r="AE537" s="163" t="str">
        <f>CONCATENATE(U537,V537,W537,X537,AA537)</f>
        <v>NANANAN/AN/A</v>
      </c>
      <c r="AF537" s="163" t="str">
        <f>IFERROR(VLOOKUP(AD537,TD!$J$66:$K$89,2,0)," ")</f>
        <v>N/A</v>
      </c>
      <c r="AG537" s="118" t="s">
        <v>332</v>
      </c>
      <c r="AH537" s="170" t="s">
        <v>193</v>
      </c>
      <c r="AI537" s="165" t="str">
        <f>CONCATENATE(PAA[[#This Row],[Id Interno]],"-",PAA[[#This Row],[tipo de Contrato (TH talento humano - B/S bienes y/o servicios)]],"-",S537,"-",T537,"-",PAA[[#This Row],[Objeto de la contratación]])</f>
        <v>20260524-BS-No a-l-Contratar la prestación del servicio de aseo y cafetería incluido insumos para la Unidad Administrativa Especial Cuerpo Oficial de Bomberos Bogotá -SGC</v>
      </c>
    </row>
    <row r="538" spans="2:35" ht="70" x14ac:dyDescent="0.35">
      <c r="B538" s="23">
        <v>20260525</v>
      </c>
      <c r="C538" s="99" t="s">
        <v>750</v>
      </c>
      <c r="D538" s="23" t="s">
        <v>88</v>
      </c>
      <c r="E538" s="23" t="s">
        <v>402</v>
      </c>
      <c r="F538" s="23" t="s">
        <v>111</v>
      </c>
      <c r="G538" s="129" t="s">
        <v>376</v>
      </c>
      <c r="H538" s="136">
        <v>8</v>
      </c>
      <c r="I538" s="161">
        <v>0</v>
      </c>
      <c r="J538" s="127">
        <v>85000000</v>
      </c>
      <c r="K538" s="88" t="s">
        <v>398</v>
      </c>
      <c r="L538" s="159" t="s">
        <v>155</v>
      </c>
      <c r="M538" s="162" t="s">
        <v>422</v>
      </c>
      <c r="N538" s="23" t="s">
        <v>330</v>
      </c>
      <c r="O538" s="151" t="s">
        <v>945</v>
      </c>
      <c r="P538" s="162" t="s">
        <v>161</v>
      </c>
      <c r="Q538" s="53" t="s">
        <v>784</v>
      </c>
      <c r="R538" s="162" t="s">
        <v>331</v>
      </c>
      <c r="S538" s="162" t="str">
        <f>MID(PAA[[#This Row],[Meta Proyecto de Inversión]],1,4)</f>
        <v>No a</v>
      </c>
      <c r="T538" s="162" t="str">
        <f>MID(PAA[[#This Row],[Meta Proyecto de Inversión]],6,1)</f>
        <v>l</v>
      </c>
      <c r="U538" s="163" t="str">
        <f>IFERROR(VLOOKUP(N538,TD!$B$50:$F$54,2,0)," ")</f>
        <v>NA</v>
      </c>
      <c r="V538" s="163" t="str">
        <f>IFERROR(VLOOKUP(N538,TD!$B$50:$F$54,3,0)," ")</f>
        <v>NA</v>
      </c>
      <c r="W538" s="163" t="str">
        <f>IFERROR(VLOOKUP(N538,TD!$B$50:$F$54,4,0)," ")</f>
        <v>NA</v>
      </c>
      <c r="X538" s="162" t="s">
        <v>335</v>
      </c>
      <c r="Y538" s="163" t="str">
        <f>IFERROR(VLOOKUP(X538,TD!$J$51:$K$64,2,0)," ")</f>
        <v>N/A</v>
      </c>
      <c r="Z538" s="164" t="str">
        <f>CONCATENATE(X538,"-",Y538)</f>
        <v>N/A-N/A</v>
      </c>
      <c r="AA538" s="162" t="s">
        <v>335</v>
      </c>
      <c r="AB538" s="163" t="str">
        <f>IFERROR(VLOOKUP(AA538,TD!$N$51:$O$66,2,0)," ")</f>
        <v>N/A</v>
      </c>
      <c r="AC538" s="164" t="str">
        <f>CONCATENATE(AA538,"_",AB538)</f>
        <v>N/A_N/A</v>
      </c>
      <c r="AD538" s="164" t="str">
        <f>CONCATENATE(Z538," ",AC538)</f>
        <v>N/A-N/A N/A_N/A</v>
      </c>
      <c r="AE538" s="163" t="str">
        <f>CONCATENATE(U538,V538,W538,X538,AA538)</f>
        <v>NANANAN/AN/A</v>
      </c>
      <c r="AF538" s="163" t="str">
        <f>IFERROR(VLOOKUP(AD538,TD!$J$66:$K$89,2,0)," ")</f>
        <v>N/A</v>
      </c>
      <c r="AG538" s="118" t="s">
        <v>332</v>
      </c>
      <c r="AH538" s="170" t="s">
        <v>193</v>
      </c>
      <c r="AI538" s="165" t="str">
        <f>CONCATENATE(PAA[[#This Row],[Id Interno]],"-",PAA[[#This Row],[tipo de Contrato (TH talento humano - B/S bienes y/o servicios)]],"-",S538,"-",T538,"-",PAA[[#This Row],[Objeto de la contratación]])</f>
        <v>20260525-BS-No a-l-Suministro  de implementos  de  papelería y oficina para las dependencias  para la Unidad Administrativa Especial Cuerpo Oficial de Bomberos Bogotá -SGC</v>
      </c>
    </row>
    <row r="539" spans="2:35" ht="56" x14ac:dyDescent="0.35">
      <c r="B539" s="23">
        <v>20260526</v>
      </c>
      <c r="C539" s="121" t="s">
        <v>751</v>
      </c>
      <c r="D539" s="130" t="s">
        <v>88</v>
      </c>
      <c r="E539" s="23" t="s">
        <v>402</v>
      </c>
      <c r="F539" s="130" t="s">
        <v>111</v>
      </c>
      <c r="G539" s="131" t="s">
        <v>376</v>
      </c>
      <c r="H539" s="137">
        <v>8</v>
      </c>
      <c r="I539" s="161">
        <v>0</v>
      </c>
      <c r="J539" s="132">
        <v>205000000</v>
      </c>
      <c r="K539" s="133" t="s">
        <v>398</v>
      </c>
      <c r="L539" s="177" t="s">
        <v>155</v>
      </c>
      <c r="M539" s="173" t="s">
        <v>422</v>
      </c>
      <c r="N539" s="130" t="s">
        <v>330</v>
      </c>
      <c r="O539" s="151" t="s">
        <v>945</v>
      </c>
      <c r="P539" s="173" t="s">
        <v>161</v>
      </c>
      <c r="Q539" s="134" t="s">
        <v>785</v>
      </c>
      <c r="R539" s="173" t="s">
        <v>331</v>
      </c>
      <c r="S539" s="173" t="str">
        <f>MID(PAA[[#This Row],[Meta Proyecto de Inversión]],1,4)</f>
        <v>No a</v>
      </c>
      <c r="T539" s="173" t="str">
        <f>MID(PAA[[#This Row],[Meta Proyecto de Inversión]],6,1)</f>
        <v>l</v>
      </c>
      <c r="U539" s="178" t="str">
        <f>IFERROR(VLOOKUP(N539,TD!$B$50:$F$54,2,0)," ")</f>
        <v>NA</v>
      </c>
      <c r="V539" s="178" t="str">
        <f>IFERROR(VLOOKUP(N539,TD!$B$50:$F$54,3,0)," ")</f>
        <v>NA</v>
      </c>
      <c r="W539" s="178" t="str">
        <f>IFERROR(VLOOKUP(N539,TD!$B$50:$F$54,4,0)," ")</f>
        <v>NA</v>
      </c>
      <c r="X539" s="173" t="s">
        <v>335</v>
      </c>
      <c r="Y539" s="163" t="str">
        <f>IFERROR(VLOOKUP(X539,TD!$J$51:$K$64,2,0)," ")</f>
        <v>N/A</v>
      </c>
      <c r="Z539" s="175" t="str">
        <f>CONCATENATE(X539,"-",Y539)</f>
        <v>N/A-N/A</v>
      </c>
      <c r="AA539" s="173" t="s">
        <v>335</v>
      </c>
      <c r="AB539" s="163" t="str">
        <f>IFERROR(VLOOKUP(AA539,TD!$N$51:$O$66,2,0)," ")</f>
        <v>N/A</v>
      </c>
      <c r="AC539" s="175" t="str">
        <f>CONCATENATE(AA539,"_",AB539)</f>
        <v>N/A_N/A</v>
      </c>
      <c r="AD539" s="175" t="str">
        <f>CONCATENATE(Z539," ",AC539)</f>
        <v>N/A-N/A N/A_N/A</v>
      </c>
      <c r="AE539" s="178" t="str">
        <f>CONCATENATE(U539,V539,W539,X539,AA539)</f>
        <v>NANANAN/AN/A</v>
      </c>
      <c r="AF539" s="163" t="str">
        <f>IFERROR(VLOOKUP(AD539,TD!$J$66:$K$89,2,0)," ")</f>
        <v>N/A</v>
      </c>
      <c r="AG539" s="135" t="s">
        <v>332</v>
      </c>
      <c r="AH539" s="180" t="s">
        <v>193</v>
      </c>
      <c r="AI539" s="165" t="str">
        <f>CONCATENATE(PAA[[#This Row],[Id Interno]],"-",PAA[[#This Row],[tipo de Contrato (TH talento humano - B/S bienes y/o servicios)]],"-",S539,"-",T539,"-",PAA[[#This Row],[Objeto de la contratación]])</f>
        <v>20260526-BS-No a-l-Suministro de insumos para las impresoras de las dependencias  para la Unidad Administrativa Especial Cuerpo Oficial de Bomberos Bogotá -SGC</v>
      </c>
    </row>
    <row r="540" spans="2:35" ht="56" x14ac:dyDescent="0.35">
      <c r="B540" s="23">
        <v>20260527</v>
      </c>
      <c r="C540" s="99" t="s">
        <v>666</v>
      </c>
      <c r="D540" s="23" t="s">
        <v>78</v>
      </c>
      <c r="E540" s="23" t="s">
        <v>402</v>
      </c>
      <c r="F540" s="23" t="s">
        <v>89</v>
      </c>
      <c r="G540" s="129" t="s">
        <v>373</v>
      </c>
      <c r="H540" s="136">
        <v>12</v>
      </c>
      <c r="I540" s="161">
        <v>0</v>
      </c>
      <c r="J540" s="127">
        <v>1000000000</v>
      </c>
      <c r="K540" s="88" t="s">
        <v>398</v>
      </c>
      <c r="L540" s="159" t="s">
        <v>155</v>
      </c>
      <c r="M540" s="162" t="s">
        <v>422</v>
      </c>
      <c r="N540" s="23" t="s">
        <v>330</v>
      </c>
      <c r="O540" s="151" t="s">
        <v>945</v>
      </c>
      <c r="P540" s="162" t="s">
        <v>161</v>
      </c>
      <c r="Q540" s="53" t="s">
        <v>763</v>
      </c>
      <c r="R540" s="162" t="s">
        <v>331</v>
      </c>
      <c r="S540" s="162" t="str">
        <f>MID(PAA[[#This Row],[Meta Proyecto de Inversión]],1,4)</f>
        <v>No a</v>
      </c>
      <c r="T540" s="162" t="str">
        <f>MID(PAA[[#This Row],[Meta Proyecto de Inversión]],6,1)</f>
        <v>l</v>
      </c>
      <c r="U540" s="163" t="str">
        <f>IFERROR(VLOOKUP(N540,TD!$B$50:$F$54,2,0)," ")</f>
        <v>NA</v>
      </c>
      <c r="V540" s="163" t="str">
        <f>IFERROR(VLOOKUP(N540,TD!$B$50:$F$54,3,0)," ")</f>
        <v>NA</v>
      </c>
      <c r="W540" s="163" t="str">
        <f>IFERROR(VLOOKUP(N540,TD!$B$50:$F$54,4,0)," ")</f>
        <v>NA</v>
      </c>
      <c r="X540" s="162" t="s">
        <v>335</v>
      </c>
      <c r="Y540" s="163" t="str">
        <f>IFERROR(VLOOKUP(X540,TD!$J$51:$K$64,2,0)," ")</f>
        <v>N/A</v>
      </c>
      <c r="Z540" s="164" t="str">
        <f>CONCATENATE(X540,"-",Y540)</f>
        <v>N/A-N/A</v>
      </c>
      <c r="AA540" s="162" t="s">
        <v>335</v>
      </c>
      <c r="AB540" s="163" t="str">
        <f>IFERROR(VLOOKUP(AA540,TD!$N$51:$O$66,2,0)," ")</f>
        <v>N/A</v>
      </c>
      <c r="AC540" s="164" t="str">
        <f>CONCATENATE(AA540,"_",AB540)</f>
        <v>N/A_N/A</v>
      </c>
      <c r="AD540" s="164" t="str">
        <f>CONCATENATE(Z540," ",AC540)</f>
        <v>N/A-N/A N/A_N/A</v>
      </c>
      <c r="AE540" s="163" t="str">
        <f>CONCATENATE(U540,V540,W540,X540,AA540)</f>
        <v>NANANAN/AN/A</v>
      </c>
      <c r="AF540" s="163" t="str">
        <f>IFERROR(VLOOKUP(AD540,TD!$J$66:$K$89,2,0)," ")</f>
        <v>N/A</v>
      </c>
      <c r="AG540" s="118" t="s">
        <v>332</v>
      </c>
      <c r="AH540" s="170" t="s">
        <v>193</v>
      </c>
      <c r="AI540" s="165" t="str">
        <f>CONCATENATE(PAA[[#This Row],[Id Interno]],"-",PAA[[#This Row],[tipo de Contrato (TH talento humano - B/S bienes y/o servicios)]],"-",S540,"-",T540,"-",PAA[[#This Row],[Objeto de la contratación]])</f>
        <v>20260527-BS-No a-l-Prestar el servicio de vigilancia y seguridad privada en la modalidad de vigilancia fija, según especificaciones técnicas, en las instalaciones donde la UAE Especial Cuerpo Oficial de Bomberos requiera-SGC</v>
      </c>
    </row>
    <row r="541" spans="2:35" ht="56" x14ac:dyDescent="0.35">
      <c r="B541" s="99">
        <v>20260528</v>
      </c>
      <c r="C541" s="99" t="s">
        <v>752</v>
      </c>
      <c r="D541" s="99" t="s">
        <v>92</v>
      </c>
      <c r="E541" s="99" t="s">
        <v>402</v>
      </c>
      <c r="F541" s="99" t="s">
        <v>111</v>
      </c>
      <c r="G541" s="129" t="s">
        <v>375</v>
      </c>
      <c r="H541" s="153">
        <v>7</v>
      </c>
      <c r="I541" s="167">
        <v>0</v>
      </c>
      <c r="J541" s="118">
        <v>48900000</v>
      </c>
      <c r="K541" s="126" t="s">
        <v>398</v>
      </c>
      <c r="L541" s="160" t="s">
        <v>155</v>
      </c>
      <c r="M541" s="166" t="s">
        <v>422</v>
      </c>
      <c r="N541" s="99" t="s">
        <v>330</v>
      </c>
      <c r="O541" s="151" t="s">
        <v>945</v>
      </c>
      <c r="P541" s="166" t="s">
        <v>161</v>
      </c>
      <c r="Q541" s="128" t="s">
        <v>770</v>
      </c>
      <c r="R541" s="166" t="s">
        <v>331</v>
      </c>
      <c r="S541" s="162" t="str">
        <f>MID(PAA[[#This Row],[Meta Proyecto de Inversión]],1,4)</f>
        <v>No a</v>
      </c>
      <c r="T541" s="162" t="str">
        <f>MID(PAA[[#This Row],[Meta Proyecto de Inversión]],6,1)</f>
        <v>l</v>
      </c>
      <c r="U541" s="168" t="str">
        <f>IFERROR(VLOOKUP(N541,TD!$B$50:$F$54,2,0)," ")</f>
        <v>NA</v>
      </c>
      <c r="V541" s="168" t="str">
        <f>IFERROR(VLOOKUP(N541,TD!$B$50:$F$54,3,0)," ")</f>
        <v>NA</v>
      </c>
      <c r="W541" s="168" t="str">
        <f>IFERROR(VLOOKUP(N541,TD!$B$50:$F$54,4,0)," ")</f>
        <v>NA</v>
      </c>
      <c r="X541" s="166" t="s">
        <v>335</v>
      </c>
      <c r="Y541" s="168" t="str">
        <f>IFERROR(VLOOKUP(X541,TD!$J$51:$K$64,2,0)," ")</f>
        <v>N/A</v>
      </c>
      <c r="Z541" s="164" t="str">
        <f>CONCATENATE(X541,"-",Y541)</f>
        <v>N/A-N/A</v>
      </c>
      <c r="AA541" s="166" t="s">
        <v>335</v>
      </c>
      <c r="AB541" s="168" t="str">
        <f>IFERROR(VLOOKUP(AA541,TD!$N$51:$O$66,2,0)," ")</f>
        <v>N/A</v>
      </c>
      <c r="AC541" s="164" t="str">
        <f>CONCATENATE(AA541,"_",AB541)</f>
        <v>N/A_N/A</v>
      </c>
      <c r="AD541" s="164" t="str">
        <f>CONCATENATE(Z541," ",AC541)</f>
        <v>N/A-N/A N/A_N/A</v>
      </c>
      <c r="AE541" s="168" t="str">
        <f>CONCATENATE(U541,V541,W541,X541,AA541)</f>
        <v>NANANAN/AN/A</v>
      </c>
      <c r="AF541" s="168" t="str">
        <f>IFERROR(VLOOKUP(AD541,TD!$J$66:$K$89,2,0)," ")</f>
        <v>N/A</v>
      </c>
      <c r="AG541" s="118" t="s">
        <v>332</v>
      </c>
      <c r="AH541" s="179" t="s">
        <v>193</v>
      </c>
      <c r="AI541" s="169" t="str">
        <f>CONCATENATE(PAA[[#This Row],[Id Interno]],"-",PAA[[#This Row],[tipo de Contrato (TH talento humano - B/S bienes y/o servicios)]],"-",S541,"-",T541,"-",PAA[[#This Row],[Objeto de la contratación]])</f>
        <v>20260528-BS-No a-l-Suministro de insumos para lavandería-SGC</v>
      </c>
    </row>
    <row r="542" spans="2:35" ht="56" x14ac:dyDescent="0.35">
      <c r="B542" s="23">
        <v>20260529</v>
      </c>
      <c r="C542" s="99" t="s">
        <v>753</v>
      </c>
      <c r="D542" s="23" t="s">
        <v>105</v>
      </c>
      <c r="E542" s="23" t="s">
        <v>402</v>
      </c>
      <c r="F542" s="23" t="s">
        <v>106</v>
      </c>
      <c r="G542" s="129" t="s">
        <v>373</v>
      </c>
      <c r="H542" s="136">
        <v>12</v>
      </c>
      <c r="I542" s="161">
        <v>0</v>
      </c>
      <c r="J542" s="127">
        <v>178000000</v>
      </c>
      <c r="K542" s="88" t="s">
        <v>398</v>
      </c>
      <c r="L542" s="159" t="s">
        <v>155</v>
      </c>
      <c r="M542" s="162" t="s">
        <v>422</v>
      </c>
      <c r="N542" s="23" t="s">
        <v>330</v>
      </c>
      <c r="O542" s="151" t="s">
        <v>945</v>
      </c>
      <c r="P542" s="162" t="s">
        <v>161</v>
      </c>
      <c r="Q542" s="53" t="s">
        <v>786</v>
      </c>
      <c r="R542" s="162" t="s">
        <v>331</v>
      </c>
      <c r="S542" s="162" t="str">
        <f>MID(PAA[[#This Row],[Meta Proyecto de Inversión]],1,4)</f>
        <v>No a</v>
      </c>
      <c r="T542" s="162" t="str">
        <f>MID(PAA[[#This Row],[Meta Proyecto de Inversión]],6,1)</f>
        <v>l</v>
      </c>
      <c r="U542" s="163" t="str">
        <f>IFERROR(VLOOKUP(N542,TD!$B$50:$F$54,2,0)," ")</f>
        <v>NA</v>
      </c>
      <c r="V542" s="163" t="str">
        <f>IFERROR(VLOOKUP(N542,TD!$B$50:$F$54,3,0)," ")</f>
        <v>NA</v>
      </c>
      <c r="W542" s="163" t="str">
        <f>IFERROR(VLOOKUP(N542,TD!$B$50:$F$54,4,0)," ")</f>
        <v>NA</v>
      </c>
      <c r="X542" s="162" t="s">
        <v>335</v>
      </c>
      <c r="Y542" s="163" t="str">
        <f>IFERROR(VLOOKUP(X542,TD!$J$51:$K$64,2,0)," ")</f>
        <v>N/A</v>
      </c>
      <c r="Z542" s="164" t="str">
        <f>CONCATENATE(X542,"-",Y542)</f>
        <v>N/A-N/A</v>
      </c>
      <c r="AA542" s="162" t="s">
        <v>335</v>
      </c>
      <c r="AB542" s="163" t="str">
        <f>IFERROR(VLOOKUP(AA542,TD!$N$51:$O$66,2,0)," ")</f>
        <v>N/A</v>
      </c>
      <c r="AC542" s="164" t="str">
        <f>CONCATENATE(AA542,"_",AB542)</f>
        <v>N/A_N/A</v>
      </c>
      <c r="AD542" s="164" t="str">
        <f>CONCATENATE(Z542," ",AC542)</f>
        <v>N/A-N/A N/A_N/A</v>
      </c>
      <c r="AE542" s="163" t="str">
        <f>CONCATENATE(U542,V542,W542,X542,AA542)</f>
        <v>NANANAN/AN/A</v>
      </c>
      <c r="AF542" s="163" t="str">
        <f>IFERROR(VLOOKUP(AD542,TD!$J$66:$K$89,2,0)," ")</f>
        <v>N/A</v>
      </c>
      <c r="AG542" s="118" t="s">
        <v>332</v>
      </c>
      <c r="AH542" s="170" t="s">
        <v>193</v>
      </c>
      <c r="AI542" s="165" t="str">
        <f>CONCATENATE(PAA[[#This Row],[Id Interno]],"-",PAA[[#This Row],[tipo de Contrato (TH talento humano - B/S bienes y/o servicios)]],"-",S542,"-",T542,"-",PAA[[#This Row],[Objeto de la contratación]])</f>
        <v>20260529-BS-No a-l-Arrendamiento de instalaciones estación Ferias-SGC</v>
      </c>
    </row>
    <row r="543" spans="2:35" ht="56" x14ac:dyDescent="0.35">
      <c r="B543" s="23">
        <v>20260530</v>
      </c>
      <c r="C543" s="99" t="s">
        <v>754</v>
      </c>
      <c r="D543" s="23" t="s">
        <v>105</v>
      </c>
      <c r="E543" s="23" t="s">
        <v>402</v>
      </c>
      <c r="F543" s="23" t="s">
        <v>136</v>
      </c>
      <c r="G543" s="129" t="s">
        <v>377</v>
      </c>
      <c r="H543" s="136">
        <v>2</v>
      </c>
      <c r="I543" s="161">
        <v>0</v>
      </c>
      <c r="J543" s="127">
        <v>2200000</v>
      </c>
      <c r="K543" s="88" t="s">
        <v>398</v>
      </c>
      <c r="L543" s="159" t="s">
        <v>155</v>
      </c>
      <c r="M543" s="162" t="s">
        <v>422</v>
      </c>
      <c r="N543" s="23" t="s">
        <v>330</v>
      </c>
      <c r="O543" s="151" t="s">
        <v>945</v>
      </c>
      <c r="P543" s="162" t="s">
        <v>161</v>
      </c>
      <c r="Q543" s="53" t="s">
        <v>787</v>
      </c>
      <c r="R543" s="162" t="s">
        <v>331</v>
      </c>
      <c r="S543" s="162" t="str">
        <f>MID(PAA[[#This Row],[Meta Proyecto de Inversión]],1,4)</f>
        <v>No a</v>
      </c>
      <c r="T543" s="162" t="str">
        <f>MID(PAA[[#This Row],[Meta Proyecto de Inversión]],6,1)</f>
        <v>l</v>
      </c>
      <c r="U543" s="163" t="str">
        <f>IFERROR(VLOOKUP(N543,TD!$B$50:$F$54,2,0)," ")</f>
        <v>NA</v>
      </c>
      <c r="V543" s="163" t="str">
        <f>IFERROR(VLOOKUP(N543,TD!$B$50:$F$54,3,0)," ")</f>
        <v>NA</v>
      </c>
      <c r="W543" s="163" t="str">
        <f>IFERROR(VLOOKUP(N543,TD!$B$50:$F$54,4,0)," ")</f>
        <v>NA</v>
      </c>
      <c r="X543" s="162" t="s">
        <v>335</v>
      </c>
      <c r="Y543" s="163" t="str">
        <f>IFERROR(VLOOKUP(X543,TD!$J$51:$K$64,2,0)," ")</f>
        <v>N/A</v>
      </c>
      <c r="Z543" s="164" t="str">
        <f>CONCATENATE(X543,"-",Y543)</f>
        <v>N/A-N/A</v>
      </c>
      <c r="AA543" s="162" t="s">
        <v>335</v>
      </c>
      <c r="AB543" s="163" t="str">
        <f>IFERROR(VLOOKUP(AA543,TD!$N$51:$O$66,2,0)," ")</f>
        <v>N/A</v>
      </c>
      <c r="AC543" s="164" t="str">
        <f>CONCATENATE(AA543,"_",AB543)</f>
        <v>N/A_N/A</v>
      </c>
      <c r="AD543" s="164" t="str">
        <f>CONCATENATE(Z543," ",AC543)</f>
        <v>N/A-N/A N/A_N/A</v>
      </c>
      <c r="AE543" s="163" t="str">
        <f>CONCATENATE(U543,V543,W543,X543,AA543)</f>
        <v>NANANAN/AN/A</v>
      </c>
      <c r="AF543" s="163" t="str">
        <f>IFERROR(VLOOKUP(AD543,TD!$J$66:$K$89,2,0)," ")</f>
        <v>N/A</v>
      </c>
      <c r="AG543" s="118" t="s">
        <v>332</v>
      </c>
      <c r="AH543" s="170" t="s">
        <v>194</v>
      </c>
      <c r="AI543" s="165" t="str">
        <f>CONCATENATE(PAA[[#This Row],[Id Interno]],"-",PAA[[#This Row],[tipo de Contrato (TH talento humano - B/S bienes y/o servicios)]],"-",S543,"-",T543,"-",PAA[[#This Row],[Objeto de la contratación]])</f>
        <v>20260530-BS-No a-l-Adición y prórroga No. 1 al contrato 491 de 2025 que tiene como objeto “Mantenimiento ascensor nueva Estación de Bomberos de Fontibón-SGC</v>
      </c>
    </row>
    <row r="544" spans="2:35" ht="84" x14ac:dyDescent="0.35">
      <c r="B544" s="23">
        <v>20260531</v>
      </c>
      <c r="C544" s="99" t="s">
        <v>755</v>
      </c>
      <c r="D544" s="23" t="s">
        <v>105</v>
      </c>
      <c r="E544" s="23" t="s">
        <v>402</v>
      </c>
      <c r="F544" s="23" t="s">
        <v>136</v>
      </c>
      <c r="G544" s="129" t="s">
        <v>380</v>
      </c>
      <c r="H544" s="136">
        <v>6</v>
      </c>
      <c r="I544" s="161">
        <v>0</v>
      </c>
      <c r="J544" s="127">
        <v>11700000</v>
      </c>
      <c r="K544" s="88" t="s">
        <v>398</v>
      </c>
      <c r="L544" s="159" t="s">
        <v>155</v>
      </c>
      <c r="M544" s="162" t="s">
        <v>422</v>
      </c>
      <c r="N544" s="23" t="s">
        <v>330</v>
      </c>
      <c r="O544" s="151" t="s">
        <v>945</v>
      </c>
      <c r="P544" s="162" t="s">
        <v>161</v>
      </c>
      <c r="Q544" s="53" t="s">
        <v>787</v>
      </c>
      <c r="R544" s="162" t="s">
        <v>331</v>
      </c>
      <c r="S544" s="162" t="str">
        <f>MID(PAA[[#This Row],[Meta Proyecto de Inversión]],1,4)</f>
        <v>No a</v>
      </c>
      <c r="T544" s="162" t="str">
        <f>MID(PAA[[#This Row],[Meta Proyecto de Inversión]],6,1)</f>
        <v>l</v>
      </c>
      <c r="U544" s="163" t="str">
        <f>IFERROR(VLOOKUP(N544,TD!$B$50:$F$54,2,0)," ")</f>
        <v>NA</v>
      </c>
      <c r="V544" s="163" t="str">
        <f>IFERROR(VLOOKUP(N544,TD!$B$50:$F$54,3,0)," ")</f>
        <v>NA</v>
      </c>
      <c r="W544" s="163" t="str">
        <f>IFERROR(VLOOKUP(N544,TD!$B$50:$F$54,4,0)," ")</f>
        <v>NA</v>
      </c>
      <c r="X544" s="162" t="s">
        <v>335</v>
      </c>
      <c r="Y544" s="163" t="str">
        <f>IFERROR(VLOOKUP(X544,TD!$J$51:$K$64,2,0)," ")</f>
        <v>N/A</v>
      </c>
      <c r="Z544" s="164" t="str">
        <f>CONCATENATE(X544,"-",Y544)</f>
        <v>N/A-N/A</v>
      </c>
      <c r="AA544" s="162" t="s">
        <v>335</v>
      </c>
      <c r="AB544" s="163" t="str">
        <f>IFERROR(VLOOKUP(AA544,TD!$N$51:$O$66,2,0)," ")</f>
        <v>N/A</v>
      </c>
      <c r="AC544" s="164" t="str">
        <f>CONCATENATE(AA544,"_",AB544)</f>
        <v>N/A_N/A</v>
      </c>
      <c r="AD544" s="164" t="str">
        <f>CONCATENATE(Z544," ",AC544)</f>
        <v>N/A-N/A N/A_N/A</v>
      </c>
      <c r="AE544" s="163" t="str">
        <f>CONCATENATE(U544,V544,W544,X544,AA544)</f>
        <v>NANANAN/AN/A</v>
      </c>
      <c r="AF544" s="163" t="str">
        <f>IFERROR(VLOOKUP(AD544,TD!$J$66:$K$89,2,0)," ")</f>
        <v>N/A</v>
      </c>
      <c r="AG544" s="118" t="s">
        <v>332</v>
      </c>
      <c r="AH544" s="170" t="s">
        <v>193</v>
      </c>
      <c r="AI544" s="165" t="str">
        <f>CONCATENATE(PAA[[#This Row],[Id Interno]],"-",PAA[[#This Row],[tipo de Contrato (TH talento humano - B/S bienes y/o servicios)]],"-",S544,"-",T544,"-",PAA[[#This Row],[Objeto de la contratación]])</f>
        <v>20260531-BS-No a-l-Mantenimiento correctivo y preventivo con suministro de repuestos para el ascensor estación de bomberos Fontibón B6 -SGC</v>
      </c>
    </row>
    <row r="545" spans="2:35" ht="56" x14ac:dyDescent="0.35">
      <c r="B545" s="23">
        <v>20260532</v>
      </c>
      <c r="C545" s="99" t="s">
        <v>756</v>
      </c>
      <c r="D545" s="23" t="s">
        <v>105</v>
      </c>
      <c r="E545" s="23" t="s">
        <v>402</v>
      </c>
      <c r="F545" s="23" t="s">
        <v>136</v>
      </c>
      <c r="G545" s="129" t="s">
        <v>376</v>
      </c>
      <c r="H545" s="136">
        <v>2</v>
      </c>
      <c r="I545" s="161">
        <v>0</v>
      </c>
      <c r="J545" s="127">
        <v>9235000</v>
      </c>
      <c r="K545" s="88" t="s">
        <v>398</v>
      </c>
      <c r="L545" s="159" t="s">
        <v>155</v>
      </c>
      <c r="M545" s="162" t="s">
        <v>422</v>
      </c>
      <c r="N545" s="23" t="s">
        <v>330</v>
      </c>
      <c r="O545" s="151" t="s">
        <v>945</v>
      </c>
      <c r="P545" s="162" t="s">
        <v>161</v>
      </c>
      <c r="Q545" s="53" t="s">
        <v>787</v>
      </c>
      <c r="R545" s="162" t="s">
        <v>331</v>
      </c>
      <c r="S545" s="162" t="str">
        <f>MID(PAA[[#This Row],[Meta Proyecto de Inversión]],1,4)</f>
        <v>No a</v>
      </c>
      <c r="T545" s="162" t="str">
        <f>MID(PAA[[#This Row],[Meta Proyecto de Inversión]],6,1)</f>
        <v>l</v>
      </c>
      <c r="U545" s="163" t="str">
        <f>IFERROR(VLOOKUP(N545,TD!$B$50:$F$54,2,0)," ")</f>
        <v>NA</v>
      </c>
      <c r="V545" s="163" t="str">
        <f>IFERROR(VLOOKUP(N545,TD!$B$50:$F$54,3,0)," ")</f>
        <v>NA</v>
      </c>
      <c r="W545" s="163" t="str">
        <f>IFERROR(VLOOKUP(N545,TD!$B$50:$F$54,4,0)," ")</f>
        <v>NA</v>
      </c>
      <c r="X545" s="162" t="s">
        <v>335</v>
      </c>
      <c r="Y545" s="163" t="str">
        <f>IFERROR(VLOOKUP(X545,TD!$J$51:$K$64,2,0)," ")</f>
        <v>N/A</v>
      </c>
      <c r="Z545" s="164" t="str">
        <f>CONCATENATE(X545,"-",Y545)</f>
        <v>N/A-N/A</v>
      </c>
      <c r="AA545" s="162" t="s">
        <v>335</v>
      </c>
      <c r="AB545" s="163" t="str">
        <f>IFERROR(VLOOKUP(AA545,TD!$N$51:$O$66,2,0)," ")</f>
        <v>N/A</v>
      </c>
      <c r="AC545" s="164" t="str">
        <f>CONCATENATE(AA545,"_",AB545)</f>
        <v>N/A_N/A</v>
      </c>
      <c r="AD545" s="164" t="str">
        <f>CONCATENATE(Z545," ",AC545)</f>
        <v>N/A-N/A N/A_N/A</v>
      </c>
      <c r="AE545" s="163" t="str">
        <f>CONCATENATE(U545,V545,W545,X545,AA545)</f>
        <v>NANANAN/AN/A</v>
      </c>
      <c r="AF545" s="163" t="str">
        <f>IFERROR(VLOOKUP(AD545,TD!$J$66:$K$89,2,0)," ")</f>
        <v>N/A</v>
      </c>
      <c r="AG545" s="118" t="s">
        <v>332</v>
      </c>
      <c r="AH545" s="170" t="s">
        <v>194</v>
      </c>
      <c r="AI545" s="165" t="str">
        <f>CONCATENATE(PAA[[#This Row],[Id Interno]],"-",PAA[[#This Row],[tipo de Contrato (TH talento humano - B/S bienes y/o servicios)]],"-",S545,"-",T545,"-",PAA[[#This Row],[Objeto de la contratación]])</f>
        <v>20260532-BS-No a-l-Adición y prórroga No. 1 al contrato 586 de 2025 que tiene como objeto “Mantenimiento correctivo y preventivo con suministro de repuestos para los ascensores edificio comando-SGC</v>
      </c>
    </row>
    <row r="546" spans="2:35" ht="56" x14ac:dyDescent="0.35">
      <c r="B546" s="23">
        <v>20260533</v>
      </c>
      <c r="C546" s="99" t="s">
        <v>757</v>
      </c>
      <c r="D546" s="23" t="s">
        <v>105</v>
      </c>
      <c r="E546" s="23" t="s">
        <v>402</v>
      </c>
      <c r="F546" s="23" t="s">
        <v>136</v>
      </c>
      <c r="G546" s="129" t="s">
        <v>380</v>
      </c>
      <c r="H546" s="136">
        <v>7</v>
      </c>
      <c r="I546" s="161">
        <v>0</v>
      </c>
      <c r="J546" s="127">
        <v>21565000</v>
      </c>
      <c r="K546" s="88" t="s">
        <v>398</v>
      </c>
      <c r="L546" s="159" t="s">
        <v>155</v>
      </c>
      <c r="M546" s="162" t="s">
        <v>422</v>
      </c>
      <c r="N546" s="23" t="s">
        <v>330</v>
      </c>
      <c r="O546" s="151" t="s">
        <v>945</v>
      </c>
      <c r="P546" s="162" t="s">
        <v>161</v>
      </c>
      <c r="Q546" s="53" t="s">
        <v>787</v>
      </c>
      <c r="R546" s="162" t="s">
        <v>331</v>
      </c>
      <c r="S546" s="162" t="str">
        <f>MID(PAA[[#This Row],[Meta Proyecto de Inversión]],1,4)</f>
        <v>No a</v>
      </c>
      <c r="T546" s="162" t="str">
        <f>MID(PAA[[#This Row],[Meta Proyecto de Inversión]],6,1)</f>
        <v>l</v>
      </c>
      <c r="U546" s="163" t="str">
        <f>IFERROR(VLOOKUP(N546,TD!$B$50:$F$54,2,0)," ")</f>
        <v>NA</v>
      </c>
      <c r="V546" s="163" t="str">
        <f>IFERROR(VLOOKUP(N546,TD!$B$50:$F$54,3,0)," ")</f>
        <v>NA</v>
      </c>
      <c r="W546" s="163" t="str">
        <f>IFERROR(VLOOKUP(N546,TD!$B$50:$F$54,4,0)," ")</f>
        <v>NA</v>
      </c>
      <c r="X546" s="162" t="s">
        <v>335</v>
      </c>
      <c r="Y546" s="163" t="str">
        <f>IFERROR(VLOOKUP(X546,TD!$J$51:$K$64,2,0)," ")</f>
        <v>N/A</v>
      </c>
      <c r="Z546" s="164" t="str">
        <f>CONCATENATE(X546,"-",Y546)</f>
        <v>N/A-N/A</v>
      </c>
      <c r="AA546" s="162" t="s">
        <v>335</v>
      </c>
      <c r="AB546" s="163" t="str">
        <f>IFERROR(VLOOKUP(AA546,TD!$N$51:$O$66,2,0)," ")</f>
        <v>N/A</v>
      </c>
      <c r="AC546" s="164" t="str">
        <f>CONCATENATE(AA546,"_",AB546)</f>
        <v>N/A_N/A</v>
      </c>
      <c r="AD546" s="164" t="str">
        <f>CONCATENATE(Z546," ",AC546)</f>
        <v>N/A-N/A N/A_N/A</v>
      </c>
      <c r="AE546" s="163" t="str">
        <f>CONCATENATE(U546,V546,W546,X546,AA546)</f>
        <v>NANANAN/AN/A</v>
      </c>
      <c r="AF546" s="163" t="str">
        <f>IFERROR(VLOOKUP(AD546,TD!$J$66:$K$89,2,0)," ")</f>
        <v>N/A</v>
      </c>
      <c r="AG546" s="118" t="s">
        <v>332</v>
      </c>
      <c r="AH546" s="170" t="s">
        <v>193</v>
      </c>
      <c r="AI546" s="165" t="str">
        <f>CONCATENATE(PAA[[#This Row],[Id Interno]],"-",PAA[[#This Row],[tipo de Contrato (TH talento humano - B/S bienes y/o servicios)]],"-",S546,"-",T546,"-",PAA[[#This Row],[Objeto de la contratación]])</f>
        <v>20260533-BS-No a-l-Mantenimiento correctivo y preventivo con suministro de repuestos para los ascensores edificio comando-SGC</v>
      </c>
    </row>
    <row r="547" spans="2:35" ht="56" x14ac:dyDescent="0.35">
      <c r="B547" s="23">
        <v>20260534</v>
      </c>
      <c r="C547" s="99" t="s">
        <v>758</v>
      </c>
      <c r="D547" s="23" t="s">
        <v>105</v>
      </c>
      <c r="E547" s="23" t="s">
        <v>402</v>
      </c>
      <c r="F547" s="23" t="s">
        <v>136</v>
      </c>
      <c r="G547" s="129" t="s">
        <v>376</v>
      </c>
      <c r="H547" s="136">
        <v>2</v>
      </c>
      <c r="I547" s="161">
        <v>0</v>
      </c>
      <c r="J547" s="127">
        <v>3000000</v>
      </c>
      <c r="K547" s="88" t="s">
        <v>398</v>
      </c>
      <c r="L547" s="159" t="s">
        <v>155</v>
      </c>
      <c r="M547" s="162" t="s">
        <v>422</v>
      </c>
      <c r="N547" s="23" t="s">
        <v>330</v>
      </c>
      <c r="O547" s="151" t="s">
        <v>945</v>
      </c>
      <c r="P547" s="162" t="s">
        <v>161</v>
      </c>
      <c r="Q547" s="53" t="s">
        <v>787</v>
      </c>
      <c r="R547" s="162" t="s">
        <v>331</v>
      </c>
      <c r="S547" s="162" t="str">
        <f>MID(PAA[[#This Row],[Meta Proyecto de Inversión]],1,4)</f>
        <v>No a</v>
      </c>
      <c r="T547" s="162" t="str">
        <f>MID(PAA[[#This Row],[Meta Proyecto de Inversión]],6,1)</f>
        <v>l</v>
      </c>
      <c r="U547" s="163" t="str">
        <f>IFERROR(VLOOKUP(N547,TD!$B$50:$F$54,2,0)," ")</f>
        <v>NA</v>
      </c>
      <c r="V547" s="163" t="str">
        <f>IFERROR(VLOOKUP(N547,TD!$B$50:$F$54,3,0)," ")</f>
        <v>NA</v>
      </c>
      <c r="W547" s="163" t="str">
        <f>IFERROR(VLOOKUP(N547,TD!$B$50:$F$54,4,0)," ")</f>
        <v>NA</v>
      </c>
      <c r="X547" s="162" t="s">
        <v>335</v>
      </c>
      <c r="Y547" s="163" t="str">
        <f>IFERROR(VLOOKUP(X547,TD!$J$51:$K$64,2,0)," ")</f>
        <v>N/A</v>
      </c>
      <c r="Z547" s="164" t="str">
        <f>CONCATENATE(X547,"-",Y547)</f>
        <v>N/A-N/A</v>
      </c>
      <c r="AA547" s="162" t="s">
        <v>335</v>
      </c>
      <c r="AB547" s="163" t="str">
        <f>IFERROR(VLOOKUP(AA547,TD!$N$51:$O$66,2,0)," ")</f>
        <v>N/A</v>
      </c>
      <c r="AC547" s="164" t="str">
        <f>CONCATENATE(AA547,"_",AB547)</f>
        <v>N/A_N/A</v>
      </c>
      <c r="AD547" s="164" t="str">
        <f>CONCATENATE(Z547," ",AC547)</f>
        <v>N/A-N/A N/A_N/A</v>
      </c>
      <c r="AE547" s="163" t="str">
        <f>CONCATENATE(U547,V547,W547,X547,AA547)</f>
        <v>NANANAN/AN/A</v>
      </c>
      <c r="AF547" s="163" t="str">
        <f>IFERROR(VLOOKUP(AD547,TD!$J$66:$K$89,2,0)," ")</f>
        <v>N/A</v>
      </c>
      <c r="AG547" s="118" t="s">
        <v>332</v>
      </c>
      <c r="AH547" s="170" t="s">
        <v>194</v>
      </c>
      <c r="AI547" s="165" t="str">
        <f>CONCATENATE(PAA[[#This Row],[Id Interno]],"-",PAA[[#This Row],[tipo de Contrato (TH talento humano - B/S bienes y/o servicios)]],"-",S547,"-",T547,"-",PAA[[#This Row],[Objeto de la contratación]])</f>
        <v>20260534-BS-No a-l-Adición y prórroga No. 1 al contrato 638 de 2025 que tiene como objeto “Mantenimiento correctivo y preventivo con suministro de repuestos ascensor estación de bomberos Bellavista B-9 - SGC</v>
      </c>
    </row>
    <row r="548" spans="2:35" ht="56" x14ac:dyDescent="0.35">
      <c r="B548" s="23">
        <v>20260535</v>
      </c>
      <c r="C548" s="99" t="s">
        <v>759</v>
      </c>
      <c r="D548" s="23" t="s">
        <v>105</v>
      </c>
      <c r="E548" s="23" t="s">
        <v>402</v>
      </c>
      <c r="F548" s="23" t="s">
        <v>136</v>
      </c>
      <c r="G548" s="129" t="s">
        <v>380</v>
      </c>
      <c r="H548" s="136">
        <v>7</v>
      </c>
      <c r="I548" s="161">
        <v>0</v>
      </c>
      <c r="J548" s="127">
        <v>10800000</v>
      </c>
      <c r="K548" s="88" t="s">
        <v>398</v>
      </c>
      <c r="L548" s="159" t="s">
        <v>155</v>
      </c>
      <c r="M548" s="162" t="s">
        <v>422</v>
      </c>
      <c r="N548" s="23" t="s">
        <v>330</v>
      </c>
      <c r="O548" s="151" t="s">
        <v>945</v>
      </c>
      <c r="P548" s="162" t="s">
        <v>161</v>
      </c>
      <c r="Q548" s="53" t="s">
        <v>787</v>
      </c>
      <c r="R548" s="162" t="s">
        <v>331</v>
      </c>
      <c r="S548" s="162" t="str">
        <f>MID(PAA[[#This Row],[Meta Proyecto de Inversión]],1,4)</f>
        <v>No a</v>
      </c>
      <c r="T548" s="162" t="str">
        <f>MID(PAA[[#This Row],[Meta Proyecto de Inversión]],6,1)</f>
        <v>l</v>
      </c>
      <c r="U548" s="163" t="str">
        <f>IFERROR(VLOOKUP(N548,TD!$B$50:$F$54,2,0)," ")</f>
        <v>NA</v>
      </c>
      <c r="V548" s="163" t="str">
        <f>IFERROR(VLOOKUP(N548,TD!$B$50:$F$54,3,0)," ")</f>
        <v>NA</v>
      </c>
      <c r="W548" s="163" t="str">
        <f>IFERROR(VLOOKUP(N548,TD!$B$50:$F$54,4,0)," ")</f>
        <v>NA</v>
      </c>
      <c r="X548" s="162" t="s">
        <v>335</v>
      </c>
      <c r="Y548" s="163" t="str">
        <f>IFERROR(VLOOKUP(X548,TD!$J$51:$K$64,2,0)," ")</f>
        <v>N/A</v>
      </c>
      <c r="Z548" s="164" t="str">
        <f>CONCATENATE(X548,"-",Y548)</f>
        <v>N/A-N/A</v>
      </c>
      <c r="AA548" s="162" t="s">
        <v>335</v>
      </c>
      <c r="AB548" s="163" t="str">
        <f>IFERROR(VLOOKUP(AA548,TD!$N$51:$O$66,2,0)," ")</f>
        <v>N/A</v>
      </c>
      <c r="AC548" s="164" t="str">
        <f>CONCATENATE(AA548,"_",AB548)</f>
        <v>N/A_N/A</v>
      </c>
      <c r="AD548" s="164" t="str">
        <f>CONCATENATE(Z548," ",AC548)</f>
        <v>N/A-N/A N/A_N/A</v>
      </c>
      <c r="AE548" s="163" t="str">
        <f>CONCATENATE(U548,V548,W548,X548,AA548)</f>
        <v>NANANAN/AN/A</v>
      </c>
      <c r="AF548" s="163" t="str">
        <f>IFERROR(VLOOKUP(AD548,TD!$J$66:$K$89,2,0)," ")</f>
        <v>N/A</v>
      </c>
      <c r="AG548" s="118" t="s">
        <v>332</v>
      </c>
      <c r="AH548" s="170" t="s">
        <v>193</v>
      </c>
      <c r="AI548" s="165" t="str">
        <f>CONCATENATE(PAA[[#This Row],[Id Interno]],"-",PAA[[#This Row],[tipo de Contrato (TH talento humano - B/S bienes y/o servicios)]],"-",S548,"-",T548,"-",PAA[[#This Row],[Objeto de la contratación]])</f>
        <v>20260535-BS-No a-l-Mantenimiento correctivo y preventivo con suministro de repuestos ascensor estación de bomberos Bellavista B-9 - SGC</v>
      </c>
    </row>
    <row r="549" spans="2:35" ht="56" x14ac:dyDescent="0.35">
      <c r="B549" s="23">
        <v>20260536</v>
      </c>
      <c r="C549" s="99" t="s">
        <v>760</v>
      </c>
      <c r="D549" s="23" t="s">
        <v>92</v>
      </c>
      <c r="E549" s="23" t="s">
        <v>402</v>
      </c>
      <c r="F549" s="23" t="s">
        <v>89</v>
      </c>
      <c r="G549" s="129" t="s">
        <v>381</v>
      </c>
      <c r="H549" s="136">
        <v>2</v>
      </c>
      <c r="I549" s="161">
        <v>0</v>
      </c>
      <c r="J549" s="127">
        <v>1500000</v>
      </c>
      <c r="K549" s="88" t="s">
        <v>398</v>
      </c>
      <c r="L549" s="159" t="s">
        <v>155</v>
      </c>
      <c r="M549" s="162" t="s">
        <v>422</v>
      </c>
      <c r="N549" s="23" t="s">
        <v>330</v>
      </c>
      <c r="O549" s="151" t="s">
        <v>945</v>
      </c>
      <c r="P549" s="162" t="s">
        <v>161</v>
      </c>
      <c r="Q549" s="53" t="s">
        <v>788</v>
      </c>
      <c r="R549" s="162" t="s">
        <v>331</v>
      </c>
      <c r="S549" s="162" t="str">
        <f>MID(PAA[[#This Row],[Meta Proyecto de Inversión]],1,4)</f>
        <v>No a</v>
      </c>
      <c r="T549" s="162" t="str">
        <f>MID(PAA[[#This Row],[Meta Proyecto de Inversión]],6,1)</f>
        <v>l</v>
      </c>
      <c r="U549" s="163" t="str">
        <f>IFERROR(VLOOKUP(N549,TD!$B$50:$F$54,2,0)," ")</f>
        <v>NA</v>
      </c>
      <c r="V549" s="163" t="str">
        <f>IFERROR(VLOOKUP(N549,TD!$B$50:$F$54,3,0)," ")</f>
        <v>NA</v>
      </c>
      <c r="W549" s="163" t="str">
        <f>IFERROR(VLOOKUP(N549,TD!$B$50:$F$54,4,0)," ")</f>
        <v>NA</v>
      </c>
      <c r="X549" s="162" t="s">
        <v>335</v>
      </c>
      <c r="Y549" s="163" t="str">
        <f>IFERROR(VLOOKUP(X549,TD!$J$51:$K$64,2,0)," ")</f>
        <v>N/A</v>
      </c>
      <c r="Z549" s="164" t="str">
        <f>CONCATENATE(X549,"-",Y549)</f>
        <v>N/A-N/A</v>
      </c>
      <c r="AA549" s="162" t="s">
        <v>335</v>
      </c>
      <c r="AB549" s="163" t="str">
        <f>IFERROR(VLOOKUP(AA549,TD!$N$51:$O$66,2,0)," ")</f>
        <v>N/A</v>
      </c>
      <c r="AC549" s="164" t="str">
        <f>CONCATENATE(AA549,"_",AB549)</f>
        <v>N/A_N/A</v>
      </c>
      <c r="AD549" s="164" t="str">
        <f>CONCATENATE(Z549," ",AC549)</f>
        <v>N/A-N/A N/A_N/A</v>
      </c>
      <c r="AE549" s="163" t="str">
        <f>CONCATENATE(U549,V549,W549,X549,AA549)</f>
        <v>NANANAN/AN/A</v>
      </c>
      <c r="AF549" s="163" t="str">
        <f>IFERROR(VLOOKUP(AD549,TD!$J$66:$K$89,2,0)," ")</f>
        <v>N/A</v>
      </c>
      <c r="AG549" s="118" t="s">
        <v>332</v>
      </c>
      <c r="AH549" s="170" t="s">
        <v>193</v>
      </c>
      <c r="AI549" s="165" t="str">
        <f>CONCATENATE(PAA[[#This Row],[Id Interno]],"-",PAA[[#This Row],[tipo de Contrato (TH talento humano - B/S bienes y/o servicios)]],"-",S549,"-",T549,"-",PAA[[#This Row],[Objeto de la contratación]])</f>
        <v>20260536-BS-No a-l-Prestación del servicio para inspección y certificación correspondientes a los sistemas de transporte vertical (ascensores) a cargo de la Unidad Administrativa Especial Cuerpo Oficial de Bomberos Bogotá D.C – SGC</v>
      </c>
    </row>
    <row r="550" spans="2:35" ht="70" x14ac:dyDescent="0.35">
      <c r="B550" s="23">
        <v>20260537</v>
      </c>
      <c r="C550" s="99" t="s">
        <v>761</v>
      </c>
      <c r="D550" s="23" t="s">
        <v>78</v>
      </c>
      <c r="E550" s="23" t="s">
        <v>402</v>
      </c>
      <c r="F550" s="23" t="s">
        <v>133</v>
      </c>
      <c r="G550" s="129" t="s">
        <v>376</v>
      </c>
      <c r="H550" s="136">
        <v>12</v>
      </c>
      <c r="I550" s="161">
        <v>0</v>
      </c>
      <c r="J550" s="127">
        <v>6415727800</v>
      </c>
      <c r="K550" s="88" t="s">
        <v>398</v>
      </c>
      <c r="L550" s="159" t="s">
        <v>155</v>
      </c>
      <c r="M550" s="162" t="s">
        <v>422</v>
      </c>
      <c r="N550" s="23" t="s">
        <v>330</v>
      </c>
      <c r="O550" s="151" t="s">
        <v>945</v>
      </c>
      <c r="P550" s="162" t="s">
        <v>161</v>
      </c>
      <c r="Q550" s="53" t="s">
        <v>789</v>
      </c>
      <c r="R550" s="162" t="s">
        <v>331</v>
      </c>
      <c r="S550" s="162" t="str">
        <f>MID(PAA[[#This Row],[Meta Proyecto de Inversión]],1,4)</f>
        <v>No a</v>
      </c>
      <c r="T550" s="162" t="str">
        <f>MID(PAA[[#This Row],[Meta Proyecto de Inversión]],6,1)</f>
        <v>l</v>
      </c>
      <c r="U550" s="163" t="str">
        <f>IFERROR(VLOOKUP(N550,TD!$B$50:$F$54,2,0)," ")</f>
        <v>NA</v>
      </c>
      <c r="V550" s="163" t="str">
        <f>IFERROR(VLOOKUP(N550,TD!$B$50:$F$54,3,0)," ")</f>
        <v>NA</v>
      </c>
      <c r="W550" s="163" t="str">
        <f>IFERROR(VLOOKUP(N550,TD!$B$50:$F$54,4,0)," ")</f>
        <v>NA</v>
      </c>
      <c r="X550" s="162" t="s">
        <v>335</v>
      </c>
      <c r="Y550" s="163" t="str">
        <f>IFERROR(VLOOKUP(X550,TD!$J$51:$K$64,2,0)," ")</f>
        <v>N/A</v>
      </c>
      <c r="Z550" s="164" t="str">
        <f>CONCATENATE(X550,"-",Y550)</f>
        <v>N/A-N/A</v>
      </c>
      <c r="AA550" s="162" t="s">
        <v>335</v>
      </c>
      <c r="AB550" s="163" t="str">
        <f>IFERROR(VLOOKUP(AA550,TD!$N$51:$O$66,2,0)," ")</f>
        <v>N/A</v>
      </c>
      <c r="AC550" s="164" t="str">
        <f>CONCATENATE(AA550,"_",AB550)</f>
        <v>N/A_N/A</v>
      </c>
      <c r="AD550" s="164" t="str">
        <f>CONCATENATE(Z550," ",AC550)</f>
        <v>N/A-N/A N/A_N/A</v>
      </c>
      <c r="AE550" s="163" t="str">
        <f>CONCATENATE(U550,V550,W550,X550,AA550)</f>
        <v>NANANAN/AN/A</v>
      </c>
      <c r="AF550" s="163" t="str">
        <f>IFERROR(VLOOKUP(AD550,TD!$J$66:$K$89,2,0)," ")</f>
        <v>N/A</v>
      </c>
      <c r="AG550" s="118" t="s">
        <v>332</v>
      </c>
      <c r="AH550" s="170" t="s">
        <v>193</v>
      </c>
      <c r="AI550" s="165" t="str">
        <f>CONCATENATE(PAA[[#This Row],[Id Interno]],"-",PAA[[#This Row],[tipo de Contrato (TH talento humano - B/S bienes y/o servicios)]],"-",S550,"-",T550,"-",PAA[[#This Row],[Objeto de la contratación]])</f>
        <v>20260537-BS-No a-l-Seleccionar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v>
      </c>
    </row>
    <row r="551" spans="2:35" ht="70" x14ac:dyDescent="0.35">
      <c r="B551" s="23">
        <v>20260538</v>
      </c>
      <c r="C551" s="99" t="s">
        <v>687</v>
      </c>
      <c r="D551" s="23" t="s">
        <v>105</v>
      </c>
      <c r="E551" s="23" t="s">
        <v>363</v>
      </c>
      <c r="F551" s="23" t="s">
        <v>144</v>
      </c>
      <c r="G551" s="129" t="s">
        <v>373</v>
      </c>
      <c r="H551" s="136">
        <v>11</v>
      </c>
      <c r="I551" s="161">
        <v>0</v>
      </c>
      <c r="J551" s="127">
        <v>56772000</v>
      </c>
      <c r="K551" s="88" t="s">
        <v>398</v>
      </c>
      <c r="L551" s="159" t="s">
        <v>155</v>
      </c>
      <c r="M551" s="162" t="s">
        <v>422</v>
      </c>
      <c r="N551" s="23" t="s">
        <v>197</v>
      </c>
      <c r="O551" s="151" t="s">
        <v>945</v>
      </c>
      <c r="P551" s="162" t="s">
        <v>348</v>
      </c>
      <c r="Q551" s="53" t="s">
        <v>766</v>
      </c>
      <c r="R551" s="162" t="s">
        <v>208</v>
      </c>
      <c r="S551" s="162" t="str">
        <f>MID(PAA[[#This Row],[Meta Proyecto de Inversión]],1,4)</f>
        <v>8126</v>
      </c>
      <c r="T551" s="162" t="str">
        <f>MID(PAA[[#This Row],[Meta Proyecto de Inversión]],6,1)</f>
        <v>9</v>
      </c>
      <c r="U551" s="163" t="str">
        <f>IFERROR(VLOOKUP(N551,TD!$B$50:$F$54,2,0)," ")</f>
        <v>O230117</v>
      </c>
      <c r="V551" s="163" t="str">
        <f>IFERROR(VLOOKUP(N551,TD!$B$50:$F$54,3,0)," ")</f>
        <v>4599</v>
      </c>
      <c r="W551" s="163">
        <f>IFERROR(VLOOKUP(N551,TD!$B$50:$F$54,4,0)," ")</f>
        <v>20240207</v>
      </c>
      <c r="X551" s="162" t="s">
        <v>174</v>
      </c>
      <c r="Y551" s="163" t="str">
        <f>IFERROR(VLOOKUP(X551,TD!$J$51:$K$64,2,0)," ")</f>
        <v>Infraestructura física, mantenimiento y dotación (Sedes construidas, mantenidas reforzadas)</v>
      </c>
      <c r="Z551" s="164" t="str">
        <f>CONCATENATE(X551,"-",Y551)</f>
        <v>08-Infraestructura física, mantenimiento y dotación (Sedes construidas, mantenidas reforzadas)</v>
      </c>
      <c r="AA551" s="162" t="s">
        <v>227</v>
      </c>
      <c r="AB551" s="163" t="str">
        <f>IFERROR(VLOOKUP(AA551,TD!$N$51:$O$66,2,0)," ")</f>
        <v>Sedes mantenidas</v>
      </c>
      <c r="AC551" s="164" t="str">
        <f>CONCATENATE(AA551,"_",AB551)</f>
        <v>016_Sedes mantenidas</v>
      </c>
      <c r="AD551" s="164" t="str">
        <f>CONCATENATE(Z551," ",AC551)</f>
        <v>08-Infraestructura física, mantenimiento y dotación (Sedes construidas, mantenidas reforzadas) 016_Sedes mantenidas</v>
      </c>
      <c r="AE551" s="163" t="str">
        <f>CONCATENATE(U551,V551,W551,X551,AA551)</f>
        <v>O23011745992024020708016</v>
      </c>
      <c r="AF551" s="163" t="str">
        <f>IFERROR(VLOOKUP(AD551,TD!$J$66:$K$89,2,0)," ")</f>
        <v>PM/0131/0108/45990160207</v>
      </c>
      <c r="AG551" s="118" t="s">
        <v>385</v>
      </c>
      <c r="AH551" s="170" t="s">
        <v>193</v>
      </c>
      <c r="AI551" s="165" t="str">
        <f>CONCATENATE(PAA[[#This Row],[Id Interno]],"-",PAA[[#This Row],[tipo de Contrato (TH talento humano - B/S bienes y/o servicios)]],"-",S551,"-",T551,"-",PAA[[#This Row],[Objeto de la contratación]])</f>
        <v>20260538-TH-8126-9-Prestación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552" spans="2:35" ht="70" x14ac:dyDescent="0.35">
      <c r="B552" s="23">
        <v>20260539</v>
      </c>
      <c r="C552" s="99" t="s">
        <v>762</v>
      </c>
      <c r="D552" s="23" t="s">
        <v>101</v>
      </c>
      <c r="E552" s="23" t="s">
        <v>402</v>
      </c>
      <c r="F552" s="23" t="s">
        <v>92</v>
      </c>
      <c r="G552" s="129" t="s">
        <v>375</v>
      </c>
      <c r="H552" s="136">
        <v>3</v>
      </c>
      <c r="I552" s="161">
        <v>0</v>
      </c>
      <c r="J552" s="127">
        <v>62000000</v>
      </c>
      <c r="K552" s="88" t="s">
        <v>398</v>
      </c>
      <c r="L552" s="159" t="s">
        <v>155</v>
      </c>
      <c r="M552" s="162" t="s">
        <v>422</v>
      </c>
      <c r="N552" s="23" t="s">
        <v>198</v>
      </c>
      <c r="O552" s="151" t="s">
        <v>946</v>
      </c>
      <c r="P552" s="162" t="s">
        <v>348</v>
      </c>
      <c r="Q552" s="53" t="s">
        <v>790</v>
      </c>
      <c r="R552" s="162" t="s">
        <v>351</v>
      </c>
      <c r="S552" s="162" t="str">
        <f>MID(PAA[[#This Row],[Meta Proyecto de Inversión]],1,4)</f>
        <v>8173</v>
      </c>
      <c r="T552" s="162" t="str">
        <f>MID(PAA[[#This Row],[Meta Proyecto de Inversión]],6,1)</f>
        <v>1</v>
      </c>
      <c r="U552" s="163" t="str">
        <f>IFERROR(VLOOKUP(N552,TD!$B$50:$F$54,2,0)," ")</f>
        <v>O230117</v>
      </c>
      <c r="V552" s="163" t="str">
        <f>IFERROR(VLOOKUP(N552,TD!$B$50:$F$54,3,0)," ")</f>
        <v>4503</v>
      </c>
      <c r="W552" s="163">
        <f>IFERROR(VLOOKUP(N552,TD!$B$50:$F$54,4,0)," ")</f>
        <v>20240255</v>
      </c>
      <c r="X552" s="162">
        <v>14</v>
      </c>
      <c r="Y552" s="163" t="str">
        <f>IFERROR(VLOOKUP(X552,TD!$J$51:$K$64,2,0)," ")</f>
        <v xml:space="preserve">Infraestructura física misional construida mantenida y dotada </v>
      </c>
      <c r="Z552" s="164" t="str">
        <f>CONCATENATE(X552,"-",Y552)</f>
        <v xml:space="preserve">14-Infraestructura física misional construida mantenida y dotada </v>
      </c>
      <c r="AA552" s="162" t="s">
        <v>225</v>
      </c>
      <c r="AB552" s="163" t="str">
        <f>IFERROR(VLOOKUP(AA552,TD!$N$51:$O$66,2,0)," ")</f>
        <v>Estaciones de bomberos adecuadas</v>
      </c>
      <c r="AC552" s="164" t="str">
        <f>CONCATENATE(AA552,"_",AB552)</f>
        <v>014_Estaciones de bomberos adecuadas</v>
      </c>
      <c r="AD552" s="164" t="str">
        <f>CONCATENATE(Z552," ",AC552)</f>
        <v>14-Infraestructura física misional construida mantenida y dotada  014_Estaciones de bomberos adecuadas</v>
      </c>
      <c r="AE552" s="163" t="str">
        <f>CONCATENATE(U552,V552,W552,X552,AA552)</f>
        <v>O23011745032024025514014</v>
      </c>
      <c r="AF552" s="163" t="str">
        <f>IFERROR(VLOOKUP(AD552,TD!$J$66:$K$89,2,0)," ")</f>
        <v>PM/0131/0114/45030140255</v>
      </c>
      <c r="AG552" s="118" t="s">
        <v>80</v>
      </c>
      <c r="AH552" s="170" t="s">
        <v>193</v>
      </c>
      <c r="AI552" s="165" t="str">
        <f>CONCATENATE(PAA[[#This Row],[Id Interno]],"-",PAA[[#This Row],[tipo de Contrato (TH talento humano - B/S bienes y/o servicios)]],"-",S552,"-",T552,"-",PAA[[#This Row],[Objeto de la contratación]])</f>
        <v>20260539-BS-8173-1-Adquirir máquinas de grabado láser para el plaqueteo y/o marcación de los bienes devolutivos de la UAECOB, con el fin de garantizar el correcto control del inventario mediante rótulos duraderos y resistentes-SGC</v>
      </c>
    </row>
    <row r="553" spans="2:35" ht="56" x14ac:dyDescent="0.35">
      <c r="B553" s="23">
        <v>20260540</v>
      </c>
      <c r="C553" s="99" t="s">
        <v>791</v>
      </c>
      <c r="D553" s="23" t="s">
        <v>105</v>
      </c>
      <c r="E553" s="23" t="s">
        <v>363</v>
      </c>
      <c r="F553" s="23" t="s">
        <v>144</v>
      </c>
      <c r="G553" s="129" t="s">
        <v>374</v>
      </c>
      <c r="H553" s="136">
        <v>11</v>
      </c>
      <c r="I553" s="136">
        <v>0</v>
      </c>
      <c r="J553" s="127">
        <v>61600000</v>
      </c>
      <c r="K553" s="88" t="s">
        <v>398</v>
      </c>
      <c r="L553" s="159" t="s">
        <v>45</v>
      </c>
      <c r="M553" s="162" t="s">
        <v>401</v>
      </c>
      <c r="N553" s="23" t="s">
        <v>197</v>
      </c>
      <c r="O553" s="151" t="s">
        <v>945</v>
      </c>
      <c r="P553" s="162" t="s">
        <v>348</v>
      </c>
      <c r="Q553" s="53">
        <v>80111600</v>
      </c>
      <c r="R553" s="162" t="s">
        <v>208</v>
      </c>
      <c r="S553" s="162" t="str">
        <f>MID(PAA[[#This Row],[Meta Proyecto de Inversión]],1,4)</f>
        <v>8126</v>
      </c>
      <c r="T553" s="162" t="str">
        <f>MID(PAA[[#This Row],[Meta Proyecto de Inversión]],6,1)</f>
        <v>9</v>
      </c>
      <c r="U553" s="163" t="str">
        <f>IFERROR(VLOOKUP(N553,TD!$B$50:$F$54,2,0)," ")</f>
        <v>O230117</v>
      </c>
      <c r="V553" s="163" t="str">
        <f>IFERROR(VLOOKUP(N553,TD!$B$50:$F$54,3,0)," ")</f>
        <v>4599</v>
      </c>
      <c r="W553" s="163">
        <f>IFERROR(VLOOKUP(N553,TD!$B$50:$F$54,4,0)," ")</f>
        <v>20240207</v>
      </c>
      <c r="X553" s="162" t="s">
        <v>174</v>
      </c>
      <c r="Y553" s="163" t="str">
        <f>IFERROR(VLOOKUP(X553,TD!$J$51:$K$64,2,0)," ")</f>
        <v>Infraestructura física, mantenimiento y dotación (Sedes construidas, mantenidas reforzadas)</v>
      </c>
      <c r="Z553" s="164" t="str">
        <f>CONCATENATE(X553,"-",Y553)</f>
        <v>08-Infraestructura física, mantenimiento y dotación (Sedes construidas, mantenidas reforzadas)</v>
      </c>
      <c r="AA553" s="162" t="s">
        <v>227</v>
      </c>
      <c r="AB553" s="163" t="str">
        <f>IFERROR(VLOOKUP(AA553,TD!$N$51:$O$66,2,0)," ")</f>
        <v>Sedes mantenidas</v>
      </c>
      <c r="AC553" s="164" t="str">
        <f>CONCATENATE(AA553,"_",AB553)</f>
        <v>016_Sedes mantenidas</v>
      </c>
      <c r="AD553" s="164" t="str">
        <f>CONCATENATE(Z553," ",AC553)</f>
        <v>08-Infraestructura física, mantenimiento y dotación (Sedes construidas, mantenidas reforzadas) 016_Sedes mantenidas</v>
      </c>
      <c r="AE553" s="163" t="str">
        <f>CONCATENATE(U553,V553,W553,X553,AA553)</f>
        <v>O23011745992024020708016</v>
      </c>
      <c r="AF553" s="163" t="str">
        <f>IFERROR(VLOOKUP(AD553,TD!$J$66:$K$89,2,0)," ")</f>
        <v>PM/0131/0108/45990160207</v>
      </c>
      <c r="AG553" s="118" t="s">
        <v>385</v>
      </c>
      <c r="AH553" s="170" t="s">
        <v>193</v>
      </c>
      <c r="AI553" s="165" t="str">
        <f>CONCATENATE(PAA[[#This Row],[Id Interno]],"-",PAA[[#This Row],[tipo de Contrato (TH talento humano - B/S bienes y/o servicios)]],"-",S553,"-",T553,"-",PAA[[#This Row],[Objeto de la contratación]])</f>
        <v>20260540-TH-8126-9-Prestación de servicios profesionales jurídicos en virtud de las funciones asignadas a la Dirección General de la UAECOB, para apoyar los procesos contractuales y actividades administrativas requeridas.</v>
      </c>
    </row>
    <row r="554" spans="2:35" ht="84" x14ac:dyDescent="0.35">
      <c r="B554" s="23">
        <v>20260541</v>
      </c>
      <c r="C554" s="99" t="s">
        <v>792</v>
      </c>
      <c r="D554" s="23" t="s">
        <v>105</v>
      </c>
      <c r="E554" s="23" t="s">
        <v>363</v>
      </c>
      <c r="F554" s="23" t="s">
        <v>144</v>
      </c>
      <c r="G554" s="129" t="s">
        <v>374</v>
      </c>
      <c r="H554" s="136">
        <v>11</v>
      </c>
      <c r="I554" s="136">
        <v>0</v>
      </c>
      <c r="J554" s="127">
        <v>88000000</v>
      </c>
      <c r="K554" s="88" t="s">
        <v>398</v>
      </c>
      <c r="L554" s="159" t="s">
        <v>45</v>
      </c>
      <c r="M554" s="162" t="s">
        <v>401</v>
      </c>
      <c r="N554" s="23" t="s">
        <v>197</v>
      </c>
      <c r="O554" s="151" t="s">
        <v>945</v>
      </c>
      <c r="P554" s="162" t="s">
        <v>348</v>
      </c>
      <c r="Q554" s="53">
        <v>80111600</v>
      </c>
      <c r="R554" s="162" t="s">
        <v>208</v>
      </c>
      <c r="S554" s="162" t="str">
        <f>MID(PAA[[#This Row],[Meta Proyecto de Inversión]],1,4)</f>
        <v>8126</v>
      </c>
      <c r="T554" s="162" t="str">
        <f>MID(PAA[[#This Row],[Meta Proyecto de Inversión]],6,1)</f>
        <v>9</v>
      </c>
      <c r="U554" s="163" t="str">
        <f>IFERROR(VLOOKUP(N554,TD!$B$50:$F$54,2,0)," ")</f>
        <v>O230117</v>
      </c>
      <c r="V554" s="163" t="str">
        <f>IFERROR(VLOOKUP(N554,TD!$B$50:$F$54,3,0)," ")</f>
        <v>4599</v>
      </c>
      <c r="W554" s="163">
        <f>IFERROR(VLOOKUP(N554,TD!$B$50:$F$54,4,0)," ")</f>
        <v>20240207</v>
      </c>
      <c r="X554" s="162" t="s">
        <v>174</v>
      </c>
      <c r="Y554" s="163" t="str">
        <f>IFERROR(VLOOKUP(X554,TD!$J$51:$K$64,2,0)," ")</f>
        <v>Infraestructura física, mantenimiento y dotación (Sedes construidas, mantenidas reforzadas)</v>
      </c>
      <c r="Z554" s="164" t="str">
        <f>CONCATENATE(X554,"-",Y554)</f>
        <v>08-Infraestructura física, mantenimiento y dotación (Sedes construidas, mantenidas reforzadas)</v>
      </c>
      <c r="AA554" s="162" t="s">
        <v>227</v>
      </c>
      <c r="AB554" s="163" t="str">
        <f>IFERROR(VLOOKUP(AA554,TD!$N$51:$O$66,2,0)," ")</f>
        <v>Sedes mantenidas</v>
      </c>
      <c r="AC554" s="164" t="str">
        <f>CONCATENATE(AA554,"_",AB554)</f>
        <v>016_Sedes mantenidas</v>
      </c>
      <c r="AD554" s="164" t="str">
        <f>CONCATENATE(Z554," ",AC554)</f>
        <v>08-Infraestructura física, mantenimiento y dotación (Sedes construidas, mantenidas reforzadas) 016_Sedes mantenidas</v>
      </c>
      <c r="AE554" s="163" t="str">
        <f>CONCATENATE(U554,V554,W554,X554,AA554)</f>
        <v>O23011745992024020708016</v>
      </c>
      <c r="AF554" s="163" t="str">
        <f>IFERROR(VLOOKUP(AD554,TD!$J$66:$K$89,2,0)," ")</f>
        <v>PM/0131/0108/45990160207</v>
      </c>
      <c r="AG554" s="118" t="s">
        <v>385</v>
      </c>
      <c r="AH554" s="170" t="s">
        <v>193</v>
      </c>
      <c r="AI554" s="165" t="str">
        <f>CONCATENATE(PAA[[#This Row],[Id Interno]],"-",PAA[[#This Row],[tipo de Contrato (TH talento humano - B/S bienes y/o servicios)]],"-",S554,"-",T554,"-",PAA[[#This Row],[Objeto de la contratación]])</f>
        <v>20260541-TH-8126-9-Prestar servicios profesionales a la Dirección General en actividades de articulación interinstitucional entre las diferentes dependencias, entidades del sector, y demás que estén relacionadas con la misionalidad de la UAECOB.</v>
      </c>
    </row>
    <row r="555" spans="2:35" ht="70" x14ac:dyDescent="0.35">
      <c r="B555" s="23">
        <v>20260542</v>
      </c>
      <c r="C555" s="99" t="s">
        <v>793</v>
      </c>
      <c r="D555" s="23" t="s">
        <v>105</v>
      </c>
      <c r="E555" s="23" t="s">
        <v>363</v>
      </c>
      <c r="F555" s="23" t="s">
        <v>144</v>
      </c>
      <c r="G555" s="129" t="s">
        <v>374</v>
      </c>
      <c r="H555" s="136">
        <v>11</v>
      </c>
      <c r="I555" s="136">
        <v>0</v>
      </c>
      <c r="J555" s="127">
        <v>55700000</v>
      </c>
      <c r="K555" s="88" t="s">
        <v>398</v>
      </c>
      <c r="L555" s="159" t="s">
        <v>45</v>
      </c>
      <c r="M555" s="162" t="s">
        <v>401</v>
      </c>
      <c r="N555" s="23" t="s">
        <v>197</v>
      </c>
      <c r="O555" s="151" t="s">
        <v>945</v>
      </c>
      <c r="P555" s="162" t="s">
        <v>348</v>
      </c>
      <c r="Q555" s="53">
        <v>80111600</v>
      </c>
      <c r="R555" s="162" t="s">
        <v>208</v>
      </c>
      <c r="S555" s="162" t="str">
        <f>MID(PAA[[#This Row],[Meta Proyecto de Inversión]],1,4)</f>
        <v>8126</v>
      </c>
      <c r="T555" s="162" t="str">
        <f>MID(PAA[[#This Row],[Meta Proyecto de Inversión]],6,1)</f>
        <v>9</v>
      </c>
      <c r="U555" s="163" t="str">
        <f>IFERROR(VLOOKUP(N555,TD!$B$50:$F$54,2,0)," ")</f>
        <v>O230117</v>
      </c>
      <c r="V555" s="163" t="str">
        <f>IFERROR(VLOOKUP(N555,TD!$B$50:$F$54,3,0)," ")</f>
        <v>4599</v>
      </c>
      <c r="W555" s="163">
        <f>IFERROR(VLOOKUP(N555,TD!$B$50:$F$54,4,0)," ")</f>
        <v>20240207</v>
      </c>
      <c r="X555" s="162" t="s">
        <v>174</v>
      </c>
      <c r="Y555" s="163" t="str">
        <f>IFERROR(VLOOKUP(X555,TD!$J$51:$K$64,2,0)," ")</f>
        <v>Infraestructura física, mantenimiento y dotación (Sedes construidas, mantenidas reforzadas)</v>
      </c>
      <c r="Z555" s="164" t="str">
        <f>CONCATENATE(X555,"-",Y555)</f>
        <v>08-Infraestructura física, mantenimiento y dotación (Sedes construidas, mantenidas reforzadas)</v>
      </c>
      <c r="AA555" s="162" t="s">
        <v>227</v>
      </c>
      <c r="AB555" s="163" t="str">
        <f>IFERROR(VLOOKUP(AA555,TD!$N$51:$O$66,2,0)," ")</f>
        <v>Sedes mantenidas</v>
      </c>
      <c r="AC555" s="164" t="str">
        <f>CONCATENATE(AA555,"_",AB555)</f>
        <v>016_Sedes mantenidas</v>
      </c>
      <c r="AD555" s="164" t="str">
        <f>CONCATENATE(Z555," ",AC555)</f>
        <v>08-Infraestructura física, mantenimiento y dotación (Sedes construidas, mantenidas reforzadas) 016_Sedes mantenidas</v>
      </c>
      <c r="AE555" s="163" t="str">
        <f>CONCATENATE(U555,V555,W555,X555,AA555)</f>
        <v>O23011745992024020708016</v>
      </c>
      <c r="AF555" s="163" t="str">
        <f>IFERROR(VLOOKUP(AD555,TD!$J$66:$K$89,2,0)," ")</f>
        <v>PM/0131/0108/45990160207</v>
      </c>
      <c r="AG555" s="118" t="s">
        <v>385</v>
      </c>
      <c r="AH555" s="170" t="s">
        <v>193</v>
      </c>
      <c r="AI555" s="165" t="str">
        <f>CONCATENATE(PAA[[#This Row],[Id Interno]],"-",PAA[[#This Row],[tipo de Contrato (TH talento humano - B/S bienes y/o servicios)]],"-",S555,"-",T555,"-",PAA[[#This Row],[Objeto de la contratación]])</f>
        <v>20260542-TH-8126-9-Prestar servicios profesionales especializados en el desarrollo de las actividades y de los diferentes procesos que tiene a su cargo y bajo su seguimiento la Dirección General de la UAE Cuerpo Oficial de Bomberos de Bogotá.</v>
      </c>
    </row>
    <row r="556" spans="2:35" ht="70" x14ac:dyDescent="0.35">
      <c r="B556" s="23">
        <v>20260543</v>
      </c>
      <c r="C556" s="99" t="s">
        <v>794</v>
      </c>
      <c r="D556" s="23" t="s">
        <v>105</v>
      </c>
      <c r="E556" s="23" t="s">
        <v>363</v>
      </c>
      <c r="F556" s="23" t="s">
        <v>144</v>
      </c>
      <c r="G556" s="129" t="s">
        <v>374</v>
      </c>
      <c r="H556" s="136">
        <v>11</v>
      </c>
      <c r="I556" s="136">
        <v>0</v>
      </c>
      <c r="J556" s="127">
        <v>111100000</v>
      </c>
      <c r="K556" s="88" t="s">
        <v>398</v>
      </c>
      <c r="L556" s="159" t="s">
        <v>45</v>
      </c>
      <c r="M556" s="162" t="s">
        <v>401</v>
      </c>
      <c r="N556" s="23" t="s">
        <v>197</v>
      </c>
      <c r="O556" s="151" t="s">
        <v>945</v>
      </c>
      <c r="P556" s="162" t="s">
        <v>348</v>
      </c>
      <c r="Q556" s="53">
        <v>80111600</v>
      </c>
      <c r="R556" s="162" t="s">
        <v>208</v>
      </c>
      <c r="S556" s="162" t="str">
        <f>MID(PAA[[#This Row],[Meta Proyecto de Inversión]],1,4)</f>
        <v>8126</v>
      </c>
      <c r="T556" s="162" t="str">
        <f>MID(PAA[[#This Row],[Meta Proyecto de Inversión]],6,1)</f>
        <v>9</v>
      </c>
      <c r="U556" s="163" t="str">
        <f>IFERROR(VLOOKUP(N556,TD!$B$50:$F$54,2,0)," ")</f>
        <v>O230117</v>
      </c>
      <c r="V556" s="163" t="str">
        <f>IFERROR(VLOOKUP(N556,TD!$B$50:$F$54,3,0)," ")</f>
        <v>4599</v>
      </c>
      <c r="W556" s="163">
        <f>IFERROR(VLOOKUP(N556,TD!$B$50:$F$54,4,0)," ")</f>
        <v>20240207</v>
      </c>
      <c r="X556" s="162" t="s">
        <v>174</v>
      </c>
      <c r="Y556" s="163" t="str">
        <f>IFERROR(VLOOKUP(X556,TD!$J$51:$K$64,2,0)," ")</f>
        <v>Infraestructura física, mantenimiento y dotación (Sedes construidas, mantenidas reforzadas)</v>
      </c>
      <c r="Z556" s="164" t="str">
        <f>CONCATENATE(X556,"-",Y556)</f>
        <v>08-Infraestructura física, mantenimiento y dotación (Sedes construidas, mantenidas reforzadas)</v>
      </c>
      <c r="AA556" s="162" t="s">
        <v>227</v>
      </c>
      <c r="AB556" s="163" t="str">
        <f>IFERROR(VLOOKUP(AA556,TD!$N$51:$O$66,2,0)," ")</f>
        <v>Sedes mantenidas</v>
      </c>
      <c r="AC556" s="164" t="str">
        <f>CONCATENATE(AA556,"_",AB556)</f>
        <v>016_Sedes mantenidas</v>
      </c>
      <c r="AD556" s="164" t="str">
        <f>CONCATENATE(Z556," ",AC556)</f>
        <v>08-Infraestructura física, mantenimiento y dotación (Sedes construidas, mantenidas reforzadas) 016_Sedes mantenidas</v>
      </c>
      <c r="AE556" s="163" t="str">
        <f>CONCATENATE(U556,V556,W556,X556,AA556)</f>
        <v>O23011745992024020708016</v>
      </c>
      <c r="AF556" s="163" t="str">
        <f>IFERROR(VLOOKUP(AD556,TD!$J$66:$K$89,2,0)," ")</f>
        <v>PM/0131/0108/45990160207</v>
      </c>
      <c r="AG556" s="118" t="s">
        <v>385</v>
      </c>
      <c r="AH556" s="170" t="s">
        <v>193</v>
      </c>
      <c r="AI556" s="165" t="str">
        <f>CONCATENATE(PAA[[#This Row],[Id Interno]],"-",PAA[[#This Row],[tipo de Contrato (TH talento humano - B/S bienes y/o servicios)]],"-",S556,"-",T556,"-",PAA[[#This Row],[Objeto de la contratación]])</f>
        <v>20260543-TH-8126-9-Prestar servicios profesionales jurídicos en el desarrollo de las actividades y de los diferentes procesos de la Dirección General de la UAE Cuerpo Oficial de Bomberos de Bogotá</v>
      </c>
    </row>
    <row r="557" spans="2:35" ht="70" x14ac:dyDescent="0.35">
      <c r="B557" s="23">
        <v>20260544</v>
      </c>
      <c r="C557" s="99" t="s">
        <v>795</v>
      </c>
      <c r="D557" s="23" t="s">
        <v>105</v>
      </c>
      <c r="E557" s="23" t="s">
        <v>363</v>
      </c>
      <c r="F557" s="23" t="s">
        <v>144</v>
      </c>
      <c r="G557" s="129" t="s">
        <v>374</v>
      </c>
      <c r="H557" s="136">
        <v>11</v>
      </c>
      <c r="I557" s="136">
        <v>0</v>
      </c>
      <c r="J557" s="127">
        <v>61600000</v>
      </c>
      <c r="K557" s="88" t="s">
        <v>398</v>
      </c>
      <c r="L557" s="159" t="s">
        <v>45</v>
      </c>
      <c r="M557" s="162" t="s">
        <v>401</v>
      </c>
      <c r="N557" s="23" t="s">
        <v>197</v>
      </c>
      <c r="O557" s="151" t="s">
        <v>945</v>
      </c>
      <c r="P557" s="162" t="s">
        <v>348</v>
      </c>
      <c r="Q557" s="53">
        <v>80111600</v>
      </c>
      <c r="R557" s="162" t="s">
        <v>208</v>
      </c>
      <c r="S557" s="162" t="str">
        <f>MID(PAA[[#This Row],[Meta Proyecto de Inversión]],1,4)</f>
        <v>8126</v>
      </c>
      <c r="T557" s="162" t="str">
        <f>MID(PAA[[#This Row],[Meta Proyecto de Inversión]],6,1)</f>
        <v>9</v>
      </c>
      <c r="U557" s="163" t="str">
        <f>IFERROR(VLOOKUP(N557,TD!$B$50:$F$54,2,0)," ")</f>
        <v>O230117</v>
      </c>
      <c r="V557" s="163" t="str">
        <f>IFERROR(VLOOKUP(N557,TD!$B$50:$F$54,3,0)," ")</f>
        <v>4599</v>
      </c>
      <c r="W557" s="163">
        <f>IFERROR(VLOOKUP(N557,TD!$B$50:$F$54,4,0)," ")</f>
        <v>20240207</v>
      </c>
      <c r="X557" s="162" t="s">
        <v>174</v>
      </c>
      <c r="Y557" s="163" t="str">
        <f>IFERROR(VLOOKUP(X557,TD!$J$51:$K$64,2,0)," ")</f>
        <v>Infraestructura física, mantenimiento y dotación (Sedes construidas, mantenidas reforzadas)</v>
      </c>
      <c r="Z557" s="164" t="str">
        <f>CONCATENATE(X557,"-",Y557)</f>
        <v>08-Infraestructura física, mantenimiento y dotación (Sedes construidas, mantenidas reforzadas)</v>
      </c>
      <c r="AA557" s="162" t="s">
        <v>227</v>
      </c>
      <c r="AB557" s="163" t="str">
        <f>IFERROR(VLOOKUP(AA557,TD!$N$51:$O$66,2,0)," ")</f>
        <v>Sedes mantenidas</v>
      </c>
      <c r="AC557" s="164" t="str">
        <f>CONCATENATE(AA557,"_",AB557)</f>
        <v>016_Sedes mantenidas</v>
      </c>
      <c r="AD557" s="164" t="str">
        <f>CONCATENATE(Z557," ",AC557)</f>
        <v>08-Infraestructura física, mantenimiento y dotación (Sedes construidas, mantenidas reforzadas) 016_Sedes mantenidas</v>
      </c>
      <c r="AE557" s="163" t="str">
        <f>CONCATENATE(U557,V557,W557,X557,AA557)</f>
        <v>O23011745992024020708016</v>
      </c>
      <c r="AF557" s="163" t="str">
        <f>IFERROR(VLOOKUP(AD557,TD!$J$66:$K$89,2,0)," ")</f>
        <v>PM/0131/0108/45990160207</v>
      </c>
      <c r="AG557" s="118" t="s">
        <v>385</v>
      </c>
      <c r="AH557" s="170" t="s">
        <v>193</v>
      </c>
      <c r="AI557" s="165" t="str">
        <f>CONCATENATE(PAA[[#This Row],[Id Interno]],"-",PAA[[#This Row],[tipo de Contrato (TH talento humano - B/S bienes y/o servicios)]],"-",S557,"-",T557,"-",PAA[[#This Row],[Objeto de la contratación]])</f>
        <v>20260544-TH-8126-9-Prestar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v>
      </c>
    </row>
    <row r="558" spans="2:35" ht="70" x14ac:dyDescent="0.35">
      <c r="B558" s="23">
        <v>20260545</v>
      </c>
      <c r="C558" s="99" t="s">
        <v>796</v>
      </c>
      <c r="D558" s="23" t="s">
        <v>105</v>
      </c>
      <c r="E558" s="23" t="s">
        <v>363</v>
      </c>
      <c r="F558" s="23" t="s">
        <v>144</v>
      </c>
      <c r="G558" s="129" t="s">
        <v>374</v>
      </c>
      <c r="H558" s="136">
        <v>11</v>
      </c>
      <c r="I558" s="136">
        <v>0</v>
      </c>
      <c r="J558" s="127">
        <v>90750000</v>
      </c>
      <c r="K558" s="88" t="s">
        <v>398</v>
      </c>
      <c r="L558" s="159" t="s">
        <v>45</v>
      </c>
      <c r="M558" s="162" t="s">
        <v>401</v>
      </c>
      <c r="N558" s="23" t="s">
        <v>197</v>
      </c>
      <c r="O558" s="151" t="s">
        <v>945</v>
      </c>
      <c r="P558" s="162" t="s">
        <v>348</v>
      </c>
      <c r="Q558" s="53">
        <v>80111600</v>
      </c>
      <c r="R558" s="162" t="s">
        <v>208</v>
      </c>
      <c r="S558" s="162" t="str">
        <f>MID(PAA[[#This Row],[Meta Proyecto de Inversión]],1,4)</f>
        <v>8126</v>
      </c>
      <c r="T558" s="162" t="str">
        <f>MID(PAA[[#This Row],[Meta Proyecto de Inversión]],6,1)</f>
        <v>9</v>
      </c>
      <c r="U558" s="163" t="str">
        <f>IFERROR(VLOOKUP(N558,TD!$B$50:$F$54,2,0)," ")</f>
        <v>O230117</v>
      </c>
      <c r="V558" s="163" t="str">
        <f>IFERROR(VLOOKUP(N558,TD!$B$50:$F$54,3,0)," ")</f>
        <v>4599</v>
      </c>
      <c r="W558" s="163">
        <f>IFERROR(VLOOKUP(N558,TD!$B$50:$F$54,4,0)," ")</f>
        <v>20240207</v>
      </c>
      <c r="X558" s="162" t="s">
        <v>174</v>
      </c>
      <c r="Y558" s="163" t="str">
        <f>IFERROR(VLOOKUP(X558,TD!$J$51:$K$64,2,0)," ")</f>
        <v>Infraestructura física, mantenimiento y dotación (Sedes construidas, mantenidas reforzadas)</v>
      </c>
      <c r="Z558" s="164" t="str">
        <f>CONCATENATE(X558,"-",Y558)</f>
        <v>08-Infraestructura física, mantenimiento y dotación (Sedes construidas, mantenidas reforzadas)</v>
      </c>
      <c r="AA558" s="162" t="s">
        <v>227</v>
      </c>
      <c r="AB558" s="163" t="str">
        <f>IFERROR(VLOOKUP(AA558,TD!$N$51:$O$66,2,0)," ")</f>
        <v>Sedes mantenidas</v>
      </c>
      <c r="AC558" s="164" t="str">
        <f>CONCATENATE(AA558,"_",AB558)</f>
        <v>016_Sedes mantenidas</v>
      </c>
      <c r="AD558" s="164" t="str">
        <f>CONCATENATE(Z558," ",AC558)</f>
        <v>08-Infraestructura física, mantenimiento y dotación (Sedes construidas, mantenidas reforzadas) 016_Sedes mantenidas</v>
      </c>
      <c r="AE558" s="163" t="str">
        <f>CONCATENATE(U558,V558,W558,X558,AA558)</f>
        <v>O23011745992024020708016</v>
      </c>
      <c r="AF558" s="163" t="str">
        <f>IFERROR(VLOOKUP(AD558,TD!$J$66:$K$89,2,0)," ")</f>
        <v>PM/0131/0108/45990160207</v>
      </c>
      <c r="AG558" s="118" t="s">
        <v>385</v>
      </c>
      <c r="AH558" s="170" t="s">
        <v>193</v>
      </c>
      <c r="AI558" s="165" t="str">
        <f>CONCATENATE(PAA[[#This Row],[Id Interno]],"-",PAA[[#This Row],[tipo de Contrato (TH talento humano - B/S bienes y/o servicios)]],"-",S558,"-",T558,"-",PAA[[#This Row],[Objeto de la contratación]])</f>
        <v>20260545-TH-8126-9-Prestar servicios profesionales jurídicos en la Dirección General de la UAECOB en la revisión, gestión y seguimiento de temas a cargo de la dirección, contratación y estratégicos de la misionalidad de la Entidad</v>
      </c>
    </row>
    <row r="559" spans="2:35" ht="70" x14ac:dyDescent="0.35">
      <c r="B559" s="23">
        <v>20260546</v>
      </c>
      <c r="C559" s="99" t="s">
        <v>797</v>
      </c>
      <c r="D559" s="23" t="s">
        <v>105</v>
      </c>
      <c r="E559" s="23" t="s">
        <v>363</v>
      </c>
      <c r="F559" s="23" t="s">
        <v>145</v>
      </c>
      <c r="G559" s="129" t="s">
        <v>374</v>
      </c>
      <c r="H559" s="136">
        <v>11</v>
      </c>
      <c r="I559" s="136">
        <v>0</v>
      </c>
      <c r="J559" s="127">
        <v>50600000</v>
      </c>
      <c r="K559" s="88" t="s">
        <v>398</v>
      </c>
      <c r="L559" s="159" t="s">
        <v>45</v>
      </c>
      <c r="M559" s="162" t="s">
        <v>401</v>
      </c>
      <c r="N559" s="23" t="s">
        <v>197</v>
      </c>
      <c r="O559" s="151" t="s">
        <v>945</v>
      </c>
      <c r="P559" s="162" t="s">
        <v>348</v>
      </c>
      <c r="Q559" s="53">
        <v>80111600</v>
      </c>
      <c r="R559" s="162" t="s">
        <v>208</v>
      </c>
      <c r="S559" s="162" t="str">
        <f>MID(PAA[[#This Row],[Meta Proyecto de Inversión]],1,4)</f>
        <v>8126</v>
      </c>
      <c r="T559" s="162" t="str">
        <f>MID(PAA[[#This Row],[Meta Proyecto de Inversión]],6,1)</f>
        <v>9</v>
      </c>
      <c r="U559" s="163" t="str">
        <f>IFERROR(VLOOKUP(N559,TD!$B$50:$F$54,2,0)," ")</f>
        <v>O230117</v>
      </c>
      <c r="V559" s="163" t="str">
        <f>IFERROR(VLOOKUP(N559,TD!$B$50:$F$54,3,0)," ")</f>
        <v>4599</v>
      </c>
      <c r="W559" s="163">
        <f>IFERROR(VLOOKUP(N559,TD!$B$50:$F$54,4,0)," ")</f>
        <v>20240207</v>
      </c>
      <c r="X559" s="162" t="s">
        <v>174</v>
      </c>
      <c r="Y559" s="163" t="str">
        <f>IFERROR(VLOOKUP(X559,TD!$J$51:$K$64,2,0)," ")</f>
        <v>Infraestructura física, mantenimiento y dotación (Sedes construidas, mantenidas reforzadas)</v>
      </c>
      <c r="Z559" s="164" t="str">
        <f>CONCATENATE(X559,"-",Y559)</f>
        <v>08-Infraestructura física, mantenimiento y dotación (Sedes construidas, mantenidas reforzadas)</v>
      </c>
      <c r="AA559" s="162" t="s">
        <v>227</v>
      </c>
      <c r="AB559" s="163" t="str">
        <f>IFERROR(VLOOKUP(AA559,TD!$N$51:$O$66,2,0)," ")</f>
        <v>Sedes mantenidas</v>
      </c>
      <c r="AC559" s="164" t="str">
        <f>CONCATENATE(AA559,"_",AB559)</f>
        <v>016_Sedes mantenidas</v>
      </c>
      <c r="AD559" s="164" t="str">
        <f>CONCATENATE(Z559," ",AC559)</f>
        <v>08-Infraestructura física, mantenimiento y dotación (Sedes construidas, mantenidas reforzadas) 016_Sedes mantenidas</v>
      </c>
      <c r="AE559" s="163" t="str">
        <f>CONCATENATE(U559,V559,W559,X559,AA559)</f>
        <v>O23011745992024020708016</v>
      </c>
      <c r="AF559" s="163" t="str">
        <f>IFERROR(VLOOKUP(AD559,TD!$J$66:$K$89,2,0)," ")</f>
        <v>PM/0131/0108/45990160207</v>
      </c>
      <c r="AG559" s="118" t="s">
        <v>385</v>
      </c>
      <c r="AH559" s="170" t="s">
        <v>193</v>
      </c>
      <c r="AI559" s="165" t="str">
        <f>CONCATENATE(PAA[[#This Row],[Id Interno]],"-",PAA[[#This Row],[tipo de Contrato (TH talento humano - B/S bienes y/o servicios)]],"-",S559,"-",T559,"-",PAA[[#This Row],[Objeto de la contratación]])</f>
        <v>20260546-TH-8126-9-Prestar servicios de apoyo a la gestión en la UAECOB, en asuntos administrativos y asistenciales requeridos, especificamente en el seguimiento de la información.</v>
      </c>
    </row>
    <row r="560" spans="2:35" ht="70" x14ac:dyDescent="0.35">
      <c r="B560" s="23">
        <v>20260547</v>
      </c>
      <c r="C560" s="99" t="s">
        <v>798</v>
      </c>
      <c r="D560" s="23" t="s">
        <v>105</v>
      </c>
      <c r="E560" s="23" t="s">
        <v>363</v>
      </c>
      <c r="F560" s="23" t="s">
        <v>144</v>
      </c>
      <c r="G560" s="129" t="s">
        <v>374</v>
      </c>
      <c r="H560" s="136">
        <v>11</v>
      </c>
      <c r="I560" s="136">
        <v>0</v>
      </c>
      <c r="J560" s="127">
        <v>90750000</v>
      </c>
      <c r="K560" s="88" t="s">
        <v>398</v>
      </c>
      <c r="L560" s="159" t="s">
        <v>45</v>
      </c>
      <c r="M560" s="162" t="s">
        <v>401</v>
      </c>
      <c r="N560" s="23" t="s">
        <v>197</v>
      </c>
      <c r="O560" s="151" t="s">
        <v>945</v>
      </c>
      <c r="P560" s="162" t="s">
        <v>348</v>
      </c>
      <c r="Q560" s="53">
        <v>80111600</v>
      </c>
      <c r="R560" s="162" t="s">
        <v>208</v>
      </c>
      <c r="S560" s="162" t="str">
        <f>MID(PAA[[#This Row],[Meta Proyecto de Inversión]],1,4)</f>
        <v>8126</v>
      </c>
      <c r="T560" s="162" t="str">
        <f>MID(PAA[[#This Row],[Meta Proyecto de Inversión]],6,1)</f>
        <v>9</v>
      </c>
      <c r="U560" s="163" t="str">
        <f>IFERROR(VLOOKUP(N560,TD!$B$50:$F$54,2,0)," ")</f>
        <v>O230117</v>
      </c>
      <c r="V560" s="163" t="str">
        <f>IFERROR(VLOOKUP(N560,TD!$B$50:$F$54,3,0)," ")</f>
        <v>4599</v>
      </c>
      <c r="W560" s="163">
        <f>IFERROR(VLOOKUP(N560,TD!$B$50:$F$54,4,0)," ")</f>
        <v>20240207</v>
      </c>
      <c r="X560" s="162" t="s">
        <v>174</v>
      </c>
      <c r="Y560" s="163" t="str">
        <f>IFERROR(VLOOKUP(X560,TD!$J$51:$K$64,2,0)," ")</f>
        <v>Infraestructura física, mantenimiento y dotación (Sedes construidas, mantenidas reforzadas)</v>
      </c>
      <c r="Z560" s="164" t="str">
        <f>CONCATENATE(X560,"-",Y560)</f>
        <v>08-Infraestructura física, mantenimiento y dotación (Sedes construidas, mantenidas reforzadas)</v>
      </c>
      <c r="AA560" s="162" t="s">
        <v>227</v>
      </c>
      <c r="AB560" s="163" t="str">
        <f>IFERROR(VLOOKUP(AA560,TD!$N$51:$O$66,2,0)," ")</f>
        <v>Sedes mantenidas</v>
      </c>
      <c r="AC560" s="164" t="str">
        <f>CONCATENATE(AA560,"_",AB560)</f>
        <v>016_Sedes mantenidas</v>
      </c>
      <c r="AD560" s="164" t="str">
        <f>CONCATENATE(Z560," ",AC560)</f>
        <v>08-Infraestructura física, mantenimiento y dotación (Sedes construidas, mantenidas reforzadas) 016_Sedes mantenidas</v>
      </c>
      <c r="AE560" s="163" t="str">
        <f>CONCATENATE(U560,V560,W560,X560,AA560)</f>
        <v>O23011745992024020708016</v>
      </c>
      <c r="AF560" s="163" t="str">
        <f>IFERROR(VLOOKUP(AD560,TD!$J$66:$K$89,2,0)," ")</f>
        <v>PM/0131/0108/45990160207</v>
      </c>
      <c r="AG560" s="118" t="s">
        <v>385</v>
      </c>
      <c r="AH560" s="170" t="s">
        <v>193</v>
      </c>
      <c r="AI560" s="165" t="str">
        <f>CONCATENATE(PAA[[#This Row],[Id Interno]],"-",PAA[[#This Row],[tipo de Contrato (TH talento humano - B/S bienes y/o servicios)]],"-",S560,"-",T560,"-",PAA[[#This Row],[Objeto de la contratación]])</f>
        <v>20260547-TH-8126-9-Prestar servicios profesionales en el desarrollo de los diferentes procesos que tiene a su cargo la Dirección General de la UAE Cuerpo Oficial de Bomberos de Bogotá.</v>
      </c>
    </row>
    <row r="561" spans="2:35" ht="70" x14ac:dyDescent="0.35">
      <c r="B561" s="23">
        <v>20260548</v>
      </c>
      <c r="C561" s="99" t="s">
        <v>799</v>
      </c>
      <c r="D561" s="23" t="s">
        <v>105</v>
      </c>
      <c r="E561" s="23" t="s">
        <v>363</v>
      </c>
      <c r="F561" s="23" t="s">
        <v>145</v>
      </c>
      <c r="G561" s="129" t="s">
        <v>374</v>
      </c>
      <c r="H561" s="136">
        <v>11</v>
      </c>
      <c r="I561" s="136">
        <v>0</v>
      </c>
      <c r="J561" s="127">
        <v>43450000</v>
      </c>
      <c r="K561" s="88" t="s">
        <v>398</v>
      </c>
      <c r="L561" s="159" t="s">
        <v>45</v>
      </c>
      <c r="M561" s="162" t="s">
        <v>401</v>
      </c>
      <c r="N561" s="23" t="s">
        <v>197</v>
      </c>
      <c r="O561" s="151" t="s">
        <v>945</v>
      </c>
      <c r="P561" s="162" t="s">
        <v>348</v>
      </c>
      <c r="Q561" s="53">
        <v>80111600</v>
      </c>
      <c r="R561" s="162" t="s">
        <v>208</v>
      </c>
      <c r="S561" s="162" t="str">
        <f>MID(PAA[[#This Row],[Meta Proyecto de Inversión]],1,4)</f>
        <v>8126</v>
      </c>
      <c r="T561" s="162" t="str">
        <f>MID(PAA[[#This Row],[Meta Proyecto de Inversión]],6,1)</f>
        <v>9</v>
      </c>
      <c r="U561" s="163" t="str">
        <f>IFERROR(VLOOKUP(N561,TD!$B$50:$F$54,2,0)," ")</f>
        <v>O230117</v>
      </c>
      <c r="V561" s="163" t="str">
        <f>IFERROR(VLOOKUP(N561,TD!$B$50:$F$54,3,0)," ")</f>
        <v>4599</v>
      </c>
      <c r="W561" s="163">
        <f>IFERROR(VLOOKUP(N561,TD!$B$50:$F$54,4,0)," ")</f>
        <v>20240207</v>
      </c>
      <c r="X561" s="162" t="s">
        <v>174</v>
      </c>
      <c r="Y561" s="163" t="str">
        <f>IFERROR(VLOOKUP(X561,TD!$J$51:$K$64,2,0)," ")</f>
        <v>Infraestructura física, mantenimiento y dotación (Sedes construidas, mantenidas reforzadas)</v>
      </c>
      <c r="Z561" s="164" t="str">
        <f>CONCATENATE(X561,"-",Y561)</f>
        <v>08-Infraestructura física, mantenimiento y dotación (Sedes construidas, mantenidas reforzadas)</v>
      </c>
      <c r="AA561" s="162" t="s">
        <v>227</v>
      </c>
      <c r="AB561" s="163" t="str">
        <f>IFERROR(VLOOKUP(AA561,TD!$N$51:$O$66,2,0)," ")</f>
        <v>Sedes mantenidas</v>
      </c>
      <c r="AC561" s="164" t="str">
        <f>CONCATENATE(AA561,"_",AB561)</f>
        <v>016_Sedes mantenidas</v>
      </c>
      <c r="AD561" s="164" t="str">
        <f>CONCATENATE(Z561," ",AC561)</f>
        <v>08-Infraestructura física, mantenimiento y dotación (Sedes construidas, mantenidas reforzadas) 016_Sedes mantenidas</v>
      </c>
      <c r="AE561" s="163" t="str">
        <f>CONCATENATE(U561,V561,W561,X561,AA561)</f>
        <v>O23011745992024020708016</v>
      </c>
      <c r="AF561" s="163" t="str">
        <f>IFERROR(VLOOKUP(AD561,TD!$J$66:$K$89,2,0)," ")</f>
        <v>PM/0131/0108/45990160207</v>
      </c>
      <c r="AG561" s="118" t="s">
        <v>385</v>
      </c>
      <c r="AH561" s="170" t="s">
        <v>193</v>
      </c>
      <c r="AI561" s="165" t="str">
        <f>CONCATENATE(PAA[[#This Row],[Id Interno]],"-",PAA[[#This Row],[tipo de Contrato (TH talento humano - B/S bienes y/o servicios)]],"-",S561,"-",T561,"-",PAA[[#This Row],[Objeto de la contratación]])</f>
        <v>20260548-TH-8126-9-Prestar servicios como conductor a la UAECOB, para facilitar el transporte de recursos humanos y demás que le sean indicados en la Dirección General en concordancia al marco de sus funciones</v>
      </c>
    </row>
    <row r="562" spans="2:35" ht="70" x14ac:dyDescent="0.35">
      <c r="B562" s="23">
        <v>20260549</v>
      </c>
      <c r="C562" s="99" t="s">
        <v>800</v>
      </c>
      <c r="D562" s="23" t="s">
        <v>105</v>
      </c>
      <c r="E562" s="23" t="s">
        <v>363</v>
      </c>
      <c r="F562" s="23" t="s">
        <v>144</v>
      </c>
      <c r="G562" s="129" t="s">
        <v>374</v>
      </c>
      <c r="H562" s="136">
        <v>10</v>
      </c>
      <c r="I562" s="136">
        <v>0</v>
      </c>
      <c r="J562" s="127">
        <v>36000000</v>
      </c>
      <c r="K562" s="88" t="s">
        <v>398</v>
      </c>
      <c r="L562" s="159" t="s">
        <v>45</v>
      </c>
      <c r="M562" s="162" t="s">
        <v>401</v>
      </c>
      <c r="N562" s="23" t="s">
        <v>197</v>
      </c>
      <c r="O562" s="151" t="s">
        <v>945</v>
      </c>
      <c r="P562" s="162" t="s">
        <v>348</v>
      </c>
      <c r="Q562" s="53">
        <v>80111600</v>
      </c>
      <c r="R562" s="162" t="s">
        <v>208</v>
      </c>
      <c r="S562" s="162" t="str">
        <f>MID(PAA[[#This Row],[Meta Proyecto de Inversión]],1,4)</f>
        <v>8126</v>
      </c>
      <c r="T562" s="162" t="str">
        <f>MID(PAA[[#This Row],[Meta Proyecto de Inversión]],6,1)</f>
        <v>9</v>
      </c>
      <c r="U562" s="163" t="str">
        <f>IFERROR(VLOOKUP(N562,TD!$B$50:$F$54,2,0)," ")</f>
        <v>O230117</v>
      </c>
      <c r="V562" s="163" t="str">
        <f>IFERROR(VLOOKUP(N562,TD!$B$50:$F$54,3,0)," ")</f>
        <v>4599</v>
      </c>
      <c r="W562" s="163">
        <f>IFERROR(VLOOKUP(N562,TD!$B$50:$F$54,4,0)," ")</f>
        <v>20240207</v>
      </c>
      <c r="X562" s="162" t="s">
        <v>174</v>
      </c>
      <c r="Y562" s="163" t="str">
        <f>IFERROR(VLOOKUP(X562,TD!$J$51:$K$64,2,0)," ")</f>
        <v>Infraestructura física, mantenimiento y dotación (Sedes construidas, mantenidas reforzadas)</v>
      </c>
      <c r="Z562" s="164" t="str">
        <f>CONCATENATE(X562,"-",Y562)</f>
        <v>08-Infraestructura física, mantenimiento y dotación (Sedes construidas, mantenidas reforzadas)</v>
      </c>
      <c r="AA562" s="162" t="s">
        <v>227</v>
      </c>
      <c r="AB562" s="163" t="str">
        <f>IFERROR(VLOOKUP(AA562,TD!$N$51:$O$66,2,0)," ")</f>
        <v>Sedes mantenidas</v>
      </c>
      <c r="AC562" s="164" t="str">
        <f>CONCATENATE(AA562,"_",AB562)</f>
        <v>016_Sedes mantenidas</v>
      </c>
      <c r="AD562" s="164" t="str">
        <f>CONCATENATE(Z562," ",AC562)</f>
        <v>08-Infraestructura física, mantenimiento y dotación (Sedes construidas, mantenidas reforzadas) 016_Sedes mantenidas</v>
      </c>
      <c r="AE562" s="163" t="str">
        <f>CONCATENATE(U562,V562,W562,X562,AA562)</f>
        <v>O23011745992024020708016</v>
      </c>
      <c r="AF562" s="163" t="str">
        <f>IFERROR(VLOOKUP(AD562,TD!$J$66:$K$89,2,0)," ")</f>
        <v>PM/0131/0108/45990160207</v>
      </c>
      <c r="AG562" s="118" t="s">
        <v>385</v>
      </c>
      <c r="AH562" s="170" t="s">
        <v>193</v>
      </c>
      <c r="AI562" s="165" t="str">
        <f>CONCATENATE(PAA[[#This Row],[Id Interno]],"-",PAA[[#This Row],[tipo de Contrato (TH talento humano - B/S bienes y/o servicios)]],"-",S562,"-",T562,"-",PAA[[#This Row],[Objeto de la contratación]])</f>
        <v>20260549-TH-8126-9-Prestar servicios profesionales jurídicos en el desarrollo de las actividades estrategicas de la Dirección General de la UAE Cuerpo Oficial de Bomberos de Bogotá</v>
      </c>
    </row>
    <row r="563" spans="2:35" ht="70" x14ac:dyDescent="0.35">
      <c r="B563" s="23">
        <v>20260550</v>
      </c>
      <c r="C563" s="99" t="s">
        <v>801</v>
      </c>
      <c r="D563" s="23" t="s">
        <v>105</v>
      </c>
      <c r="E563" s="23" t="s">
        <v>363</v>
      </c>
      <c r="F563" s="23" t="s">
        <v>144</v>
      </c>
      <c r="G563" s="129" t="s">
        <v>374</v>
      </c>
      <c r="H563" s="136">
        <v>11</v>
      </c>
      <c r="I563" s="136">
        <v>0</v>
      </c>
      <c r="J563" s="127">
        <v>101200000</v>
      </c>
      <c r="K563" s="88" t="s">
        <v>398</v>
      </c>
      <c r="L563" s="159" t="s">
        <v>45</v>
      </c>
      <c r="M563" s="162" t="s">
        <v>401</v>
      </c>
      <c r="N563" s="23" t="s">
        <v>197</v>
      </c>
      <c r="O563" s="151" t="s">
        <v>945</v>
      </c>
      <c r="P563" s="162" t="s">
        <v>348</v>
      </c>
      <c r="Q563" s="53">
        <v>80111600</v>
      </c>
      <c r="R563" s="162" t="s">
        <v>208</v>
      </c>
      <c r="S563" s="162" t="str">
        <f>MID(PAA[[#This Row],[Meta Proyecto de Inversión]],1,4)</f>
        <v>8126</v>
      </c>
      <c r="T563" s="162" t="str">
        <f>MID(PAA[[#This Row],[Meta Proyecto de Inversión]],6,1)</f>
        <v>9</v>
      </c>
      <c r="U563" s="163" t="str">
        <f>IFERROR(VLOOKUP(N563,TD!$B$50:$F$54,2,0)," ")</f>
        <v>O230117</v>
      </c>
      <c r="V563" s="163" t="str">
        <f>IFERROR(VLOOKUP(N563,TD!$B$50:$F$54,3,0)," ")</f>
        <v>4599</v>
      </c>
      <c r="W563" s="163">
        <f>IFERROR(VLOOKUP(N563,TD!$B$50:$F$54,4,0)," ")</f>
        <v>20240207</v>
      </c>
      <c r="X563" s="162" t="s">
        <v>174</v>
      </c>
      <c r="Y563" s="163" t="str">
        <f>IFERROR(VLOOKUP(X563,TD!$J$51:$K$64,2,0)," ")</f>
        <v>Infraestructura física, mantenimiento y dotación (Sedes construidas, mantenidas reforzadas)</v>
      </c>
      <c r="Z563" s="164" t="str">
        <f>CONCATENATE(X563,"-",Y563)</f>
        <v>08-Infraestructura física, mantenimiento y dotación (Sedes construidas, mantenidas reforzadas)</v>
      </c>
      <c r="AA563" s="162" t="s">
        <v>227</v>
      </c>
      <c r="AB563" s="163" t="str">
        <f>IFERROR(VLOOKUP(AA563,TD!$N$51:$O$66,2,0)," ")</f>
        <v>Sedes mantenidas</v>
      </c>
      <c r="AC563" s="164" t="str">
        <f>CONCATENATE(AA563,"_",AB563)</f>
        <v>016_Sedes mantenidas</v>
      </c>
      <c r="AD563" s="164" t="str">
        <f>CONCATENATE(Z563," ",AC563)</f>
        <v>08-Infraestructura física, mantenimiento y dotación (Sedes construidas, mantenidas reforzadas) 016_Sedes mantenidas</v>
      </c>
      <c r="AE563" s="163" t="str">
        <f>CONCATENATE(U563,V563,W563,X563,AA563)</f>
        <v>O23011745992024020708016</v>
      </c>
      <c r="AF563" s="163" t="str">
        <f>IFERROR(VLOOKUP(AD563,TD!$J$66:$K$89,2,0)," ")</f>
        <v>PM/0131/0108/45990160207</v>
      </c>
      <c r="AG563" s="118" t="s">
        <v>385</v>
      </c>
      <c r="AH563" s="170" t="s">
        <v>193</v>
      </c>
      <c r="AI563" s="165" t="str">
        <f>CONCATENATE(PAA[[#This Row],[Id Interno]],"-",PAA[[#This Row],[tipo de Contrato (TH talento humano - B/S bienes y/o servicios)]],"-",S563,"-",T563,"-",PAA[[#This Row],[Objeto de la contratación]])</f>
        <v>20260550-TH-8126-9-Prestar servicios profesionales jurídicos en la Dirección General de la UAECOB en la revisión, gestión y seguimiento de temas de infraestructura, POT, plan maestro de equipamiento y procesos contractuales y estratégicos de la misionalidad de la Entidad</v>
      </c>
    </row>
    <row r="564" spans="2:35" ht="70" x14ac:dyDescent="0.35">
      <c r="B564" s="23">
        <v>20260551</v>
      </c>
      <c r="C564" s="99" t="s">
        <v>802</v>
      </c>
      <c r="D564" s="23" t="s">
        <v>105</v>
      </c>
      <c r="E564" s="23" t="s">
        <v>363</v>
      </c>
      <c r="F564" s="23" t="s">
        <v>144</v>
      </c>
      <c r="G564" s="129" t="s">
        <v>374</v>
      </c>
      <c r="H564" s="136">
        <v>11</v>
      </c>
      <c r="I564" s="136">
        <v>0</v>
      </c>
      <c r="J564" s="127">
        <v>90750000</v>
      </c>
      <c r="K564" s="88" t="s">
        <v>398</v>
      </c>
      <c r="L564" s="159" t="s">
        <v>45</v>
      </c>
      <c r="M564" s="162" t="s">
        <v>401</v>
      </c>
      <c r="N564" s="23" t="s">
        <v>197</v>
      </c>
      <c r="O564" s="151" t="s">
        <v>945</v>
      </c>
      <c r="P564" s="162" t="s">
        <v>348</v>
      </c>
      <c r="Q564" s="53">
        <v>80111600</v>
      </c>
      <c r="R564" s="162" t="s">
        <v>208</v>
      </c>
      <c r="S564" s="162" t="str">
        <f>MID(PAA[[#This Row],[Meta Proyecto de Inversión]],1,4)</f>
        <v>8126</v>
      </c>
      <c r="T564" s="162" t="str">
        <f>MID(PAA[[#This Row],[Meta Proyecto de Inversión]],6,1)</f>
        <v>9</v>
      </c>
      <c r="U564" s="163" t="str">
        <f>IFERROR(VLOOKUP(N564,TD!$B$50:$F$54,2,0)," ")</f>
        <v>O230117</v>
      </c>
      <c r="V564" s="163" t="str">
        <f>IFERROR(VLOOKUP(N564,TD!$B$50:$F$54,3,0)," ")</f>
        <v>4599</v>
      </c>
      <c r="W564" s="163">
        <f>IFERROR(VLOOKUP(N564,TD!$B$50:$F$54,4,0)," ")</f>
        <v>20240207</v>
      </c>
      <c r="X564" s="162" t="s">
        <v>174</v>
      </c>
      <c r="Y564" s="163" t="str">
        <f>IFERROR(VLOOKUP(X564,TD!$J$51:$K$64,2,0)," ")</f>
        <v>Infraestructura física, mantenimiento y dotación (Sedes construidas, mantenidas reforzadas)</v>
      </c>
      <c r="Z564" s="164" t="str">
        <f>CONCATENATE(X564,"-",Y564)</f>
        <v>08-Infraestructura física, mantenimiento y dotación (Sedes construidas, mantenidas reforzadas)</v>
      </c>
      <c r="AA564" s="162" t="s">
        <v>227</v>
      </c>
      <c r="AB564" s="163" t="str">
        <f>IFERROR(VLOOKUP(AA564,TD!$N$51:$O$66,2,0)," ")</f>
        <v>Sedes mantenidas</v>
      </c>
      <c r="AC564" s="164" t="str">
        <f>CONCATENATE(AA564,"_",AB564)</f>
        <v>016_Sedes mantenidas</v>
      </c>
      <c r="AD564" s="164" t="str">
        <f>CONCATENATE(Z564," ",AC564)</f>
        <v>08-Infraestructura física, mantenimiento y dotación (Sedes construidas, mantenidas reforzadas) 016_Sedes mantenidas</v>
      </c>
      <c r="AE564" s="163" t="str">
        <f>CONCATENATE(U564,V564,W564,X564,AA564)</f>
        <v>O23011745992024020708016</v>
      </c>
      <c r="AF564" s="163" t="str">
        <f>IFERROR(VLOOKUP(AD564,TD!$J$66:$K$89,2,0)," ")</f>
        <v>PM/0131/0108/45990160207</v>
      </c>
      <c r="AG564" s="118" t="s">
        <v>385</v>
      </c>
      <c r="AH564" s="170" t="s">
        <v>193</v>
      </c>
      <c r="AI564" s="165" t="str">
        <f>CONCATENATE(PAA[[#This Row],[Id Interno]],"-",PAA[[#This Row],[tipo de Contrato (TH talento humano - B/S bienes y/o servicios)]],"-",S564,"-",T564,"-",PAA[[#This Row],[Objeto de la contratación]])</f>
        <v>20260551-TH-8126-9-Prestar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v>
      </c>
    </row>
    <row r="565" spans="2:35" ht="70" x14ac:dyDescent="0.35">
      <c r="B565" s="23">
        <v>20260552</v>
      </c>
      <c r="C565" s="99" t="s">
        <v>803</v>
      </c>
      <c r="D565" s="23" t="s">
        <v>105</v>
      </c>
      <c r="E565" s="23" t="s">
        <v>363</v>
      </c>
      <c r="F565" s="23" t="s">
        <v>144</v>
      </c>
      <c r="G565" s="129" t="s">
        <v>374</v>
      </c>
      <c r="H565" s="136">
        <v>11</v>
      </c>
      <c r="I565" s="136">
        <v>0</v>
      </c>
      <c r="J565" s="127">
        <v>110000000</v>
      </c>
      <c r="K565" s="88" t="s">
        <v>398</v>
      </c>
      <c r="L565" s="159" t="s">
        <v>45</v>
      </c>
      <c r="M565" s="162" t="s">
        <v>401</v>
      </c>
      <c r="N565" s="23" t="s">
        <v>197</v>
      </c>
      <c r="O565" s="151" t="s">
        <v>945</v>
      </c>
      <c r="P565" s="162" t="s">
        <v>348</v>
      </c>
      <c r="Q565" s="53">
        <v>80111600</v>
      </c>
      <c r="R565" s="162" t="s">
        <v>208</v>
      </c>
      <c r="S565" s="162" t="str">
        <f>MID(PAA[[#This Row],[Meta Proyecto de Inversión]],1,4)</f>
        <v>8126</v>
      </c>
      <c r="T565" s="162" t="str">
        <f>MID(PAA[[#This Row],[Meta Proyecto de Inversión]],6,1)</f>
        <v>9</v>
      </c>
      <c r="U565" s="163" t="str">
        <f>IFERROR(VLOOKUP(N565,TD!$B$50:$F$54,2,0)," ")</f>
        <v>O230117</v>
      </c>
      <c r="V565" s="163" t="str">
        <f>IFERROR(VLOOKUP(N565,TD!$B$50:$F$54,3,0)," ")</f>
        <v>4599</v>
      </c>
      <c r="W565" s="163">
        <f>IFERROR(VLOOKUP(N565,TD!$B$50:$F$54,4,0)," ")</f>
        <v>20240207</v>
      </c>
      <c r="X565" s="162" t="s">
        <v>174</v>
      </c>
      <c r="Y565" s="163" t="str">
        <f>IFERROR(VLOOKUP(X565,TD!$J$51:$K$64,2,0)," ")</f>
        <v>Infraestructura física, mantenimiento y dotación (Sedes construidas, mantenidas reforzadas)</v>
      </c>
      <c r="Z565" s="164" t="str">
        <f>CONCATENATE(X565,"-",Y565)</f>
        <v>08-Infraestructura física, mantenimiento y dotación (Sedes construidas, mantenidas reforzadas)</v>
      </c>
      <c r="AA565" s="162" t="s">
        <v>227</v>
      </c>
      <c r="AB565" s="163" t="str">
        <f>IFERROR(VLOOKUP(AA565,TD!$N$51:$O$66,2,0)," ")</f>
        <v>Sedes mantenidas</v>
      </c>
      <c r="AC565" s="164" t="str">
        <f>CONCATENATE(AA565,"_",AB565)</f>
        <v>016_Sedes mantenidas</v>
      </c>
      <c r="AD565" s="164" t="str">
        <f>CONCATENATE(Z565," ",AC565)</f>
        <v>08-Infraestructura física, mantenimiento y dotación (Sedes construidas, mantenidas reforzadas) 016_Sedes mantenidas</v>
      </c>
      <c r="AE565" s="163" t="str">
        <f>CONCATENATE(U565,V565,W565,X565,AA565)</f>
        <v>O23011745992024020708016</v>
      </c>
      <c r="AF565" s="163" t="str">
        <f>IFERROR(VLOOKUP(AD565,TD!$J$66:$K$89,2,0)," ")</f>
        <v>PM/0131/0108/45990160207</v>
      </c>
      <c r="AG565" s="118" t="s">
        <v>385</v>
      </c>
      <c r="AH565" s="170" t="s">
        <v>193</v>
      </c>
      <c r="AI565" s="165" t="str">
        <f>CONCATENATE(PAA[[#This Row],[Id Interno]],"-",PAA[[#This Row],[tipo de Contrato (TH talento humano - B/S bienes y/o servicios)]],"-",S565,"-",T565,"-",PAA[[#This Row],[Objeto de la contratación]])</f>
        <v>20260552-TH-8126-9-Prestar servicios profesionales especializados en la Dirección General de la UAECOB en la organización y liderazgo de los asuntos relacionados con cooperación técnica internacional y articulación interinstitucional de conformidad a la misionalidad de la entidad.</v>
      </c>
    </row>
    <row r="566" spans="2:35" ht="70" x14ac:dyDescent="0.35">
      <c r="B566" s="23">
        <v>20260553</v>
      </c>
      <c r="C566" s="99" t="s">
        <v>804</v>
      </c>
      <c r="D566" s="23" t="s">
        <v>105</v>
      </c>
      <c r="E566" s="23" t="s">
        <v>363</v>
      </c>
      <c r="F566" s="23" t="s">
        <v>144</v>
      </c>
      <c r="G566" s="129" t="s">
        <v>374</v>
      </c>
      <c r="H566" s="136">
        <v>11</v>
      </c>
      <c r="I566" s="136">
        <v>0</v>
      </c>
      <c r="J566" s="127">
        <v>90750000</v>
      </c>
      <c r="K566" s="88" t="s">
        <v>398</v>
      </c>
      <c r="L566" s="159" t="s">
        <v>45</v>
      </c>
      <c r="M566" s="162" t="s">
        <v>401</v>
      </c>
      <c r="N566" s="23" t="s">
        <v>197</v>
      </c>
      <c r="O566" s="151" t="s">
        <v>945</v>
      </c>
      <c r="P566" s="162" t="s">
        <v>348</v>
      </c>
      <c r="Q566" s="53">
        <v>80111600</v>
      </c>
      <c r="R566" s="162" t="s">
        <v>208</v>
      </c>
      <c r="S566" s="162" t="str">
        <f>MID(PAA[[#This Row],[Meta Proyecto de Inversión]],1,4)</f>
        <v>8126</v>
      </c>
      <c r="T566" s="162" t="str">
        <f>MID(PAA[[#This Row],[Meta Proyecto de Inversión]],6,1)</f>
        <v>9</v>
      </c>
      <c r="U566" s="163" t="str">
        <f>IFERROR(VLOOKUP(N566,TD!$B$50:$F$54,2,0)," ")</f>
        <v>O230117</v>
      </c>
      <c r="V566" s="163" t="str">
        <f>IFERROR(VLOOKUP(N566,TD!$B$50:$F$54,3,0)," ")</f>
        <v>4599</v>
      </c>
      <c r="W566" s="163">
        <f>IFERROR(VLOOKUP(N566,TD!$B$50:$F$54,4,0)," ")</f>
        <v>20240207</v>
      </c>
      <c r="X566" s="162" t="s">
        <v>174</v>
      </c>
      <c r="Y566" s="163" t="str">
        <f>IFERROR(VLOOKUP(X566,TD!$J$51:$K$64,2,0)," ")</f>
        <v>Infraestructura física, mantenimiento y dotación (Sedes construidas, mantenidas reforzadas)</v>
      </c>
      <c r="Z566" s="164" t="str">
        <f>CONCATENATE(X566,"-",Y566)</f>
        <v>08-Infraestructura física, mantenimiento y dotación (Sedes construidas, mantenidas reforzadas)</v>
      </c>
      <c r="AA566" s="162" t="s">
        <v>227</v>
      </c>
      <c r="AB566" s="163" t="str">
        <f>IFERROR(VLOOKUP(AA566,TD!$N$51:$O$66,2,0)," ")</f>
        <v>Sedes mantenidas</v>
      </c>
      <c r="AC566" s="164" t="str">
        <f>CONCATENATE(AA566,"_",AB566)</f>
        <v>016_Sedes mantenidas</v>
      </c>
      <c r="AD566" s="164" t="str">
        <f>CONCATENATE(Z566," ",AC566)</f>
        <v>08-Infraestructura física, mantenimiento y dotación (Sedes construidas, mantenidas reforzadas) 016_Sedes mantenidas</v>
      </c>
      <c r="AE566" s="163" t="str">
        <f>CONCATENATE(U566,V566,W566,X566,AA566)</f>
        <v>O23011745992024020708016</v>
      </c>
      <c r="AF566" s="163" t="str">
        <f>IFERROR(VLOOKUP(AD566,TD!$J$66:$K$89,2,0)," ")</f>
        <v>PM/0131/0108/45990160207</v>
      </c>
      <c r="AG566" s="118" t="s">
        <v>385</v>
      </c>
      <c r="AH566" s="170" t="s">
        <v>193</v>
      </c>
      <c r="AI566" s="165" t="str">
        <f>CONCATENATE(PAA[[#This Row],[Id Interno]],"-",PAA[[#This Row],[tipo de Contrato (TH talento humano - B/S bienes y/o servicios)]],"-",S566,"-",T566,"-",PAA[[#This Row],[Objeto de la contratación]])</f>
        <v>20260553-TH-8126-9-Prestación de servicios profesionales para gestionar las actividades de articulación interinstitucional, protocolo y demás que le sean indicados en la Dirección General en concordancia al marco de sus funciones</v>
      </c>
    </row>
    <row r="567" spans="2:35" ht="70" x14ac:dyDescent="0.35">
      <c r="B567" s="23">
        <v>20260554</v>
      </c>
      <c r="C567" s="99" t="s">
        <v>805</v>
      </c>
      <c r="D567" s="23" t="s">
        <v>105</v>
      </c>
      <c r="E567" s="23" t="s">
        <v>363</v>
      </c>
      <c r="F567" s="23" t="s">
        <v>144</v>
      </c>
      <c r="G567" s="129" t="s">
        <v>374</v>
      </c>
      <c r="H567" s="136">
        <v>10</v>
      </c>
      <c r="I567" s="136">
        <v>0</v>
      </c>
      <c r="J567" s="127">
        <v>78300000</v>
      </c>
      <c r="K567" s="88" t="s">
        <v>398</v>
      </c>
      <c r="L567" s="159" t="s">
        <v>45</v>
      </c>
      <c r="M567" s="162" t="s">
        <v>401</v>
      </c>
      <c r="N567" s="23" t="s">
        <v>197</v>
      </c>
      <c r="O567" s="151" t="s">
        <v>945</v>
      </c>
      <c r="P567" s="162" t="s">
        <v>348</v>
      </c>
      <c r="Q567" s="53">
        <v>80111600</v>
      </c>
      <c r="R567" s="162" t="s">
        <v>208</v>
      </c>
      <c r="S567" s="162" t="str">
        <f>MID(PAA[[#This Row],[Meta Proyecto de Inversión]],1,4)</f>
        <v>8126</v>
      </c>
      <c r="T567" s="162" t="str">
        <f>MID(PAA[[#This Row],[Meta Proyecto de Inversión]],6,1)</f>
        <v>9</v>
      </c>
      <c r="U567" s="163" t="str">
        <f>IFERROR(VLOOKUP(N567,TD!$B$50:$F$54,2,0)," ")</f>
        <v>O230117</v>
      </c>
      <c r="V567" s="163" t="str">
        <f>IFERROR(VLOOKUP(N567,TD!$B$50:$F$54,3,0)," ")</f>
        <v>4599</v>
      </c>
      <c r="W567" s="163">
        <f>IFERROR(VLOOKUP(N567,TD!$B$50:$F$54,4,0)," ")</f>
        <v>20240207</v>
      </c>
      <c r="X567" s="162" t="s">
        <v>174</v>
      </c>
      <c r="Y567" s="163" t="str">
        <f>IFERROR(VLOOKUP(X567,TD!$J$51:$K$64,2,0)," ")</f>
        <v>Infraestructura física, mantenimiento y dotación (Sedes construidas, mantenidas reforzadas)</v>
      </c>
      <c r="Z567" s="164" t="str">
        <f>CONCATENATE(X567,"-",Y567)</f>
        <v>08-Infraestructura física, mantenimiento y dotación (Sedes construidas, mantenidas reforzadas)</v>
      </c>
      <c r="AA567" s="162" t="s">
        <v>227</v>
      </c>
      <c r="AB567" s="163" t="str">
        <f>IFERROR(VLOOKUP(AA567,TD!$N$51:$O$66,2,0)," ")</f>
        <v>Sedes mantenidas</v>
      </c>
      <c r="AC567" s="164" t="str">
        <f>CONCATENATE(AA567,"_",AB567)</f>
        <v>016_Sedes mantenidas</v>
      </c>
      <c r="AD567" s="164" t="str">
        <f>CONCATENATE(Z567," ",AC567)</f>
        <v>08-Infraestructura física, mantenimiento y dotación (Sedes construidas, mantenidas reforzadas) 016_Sedes mantenidas</v>
      </c>
      <c r="AE567" s="163" t="str">
        <f>CONCATENATE(U567,V567,W567,X567,AA567)</f>
        <v>O23011745992024020708016</v>
      </c>
      <c r="AF567" s="163" t="str">
        <f>IFERROR(VLOOKUP(AD567,TD!$J$66:$K$89,2,0)," ")</f>
        <v>PM/0131/0108/45990160207</v>
      </c>
      <c r="AG567" s="118" t="s">
        <v>385</v>
      </c>
      <c r="AH567" s="170" t="s">
        <v>193</v>
      </c>
      <c r="AI567" s="165" t="str">
        <f>CONCATENATE(PAA[[#This Row],[Id Interno]],"-",PAA[[#This Row],[tipo de Contrato (TH talento humano - B/S bienes y/o servicios)]],"-",S567,"-",T567,"-",PAA[[#This Row],[Objeto de la contratación]])</f>
        <v>20260554-TH-8126-9-Prestar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v>
      </c>
    </row>
    <row r="568" spans="2:35" ht="70" x14ac:dyDescent="0.35">
      <c r="B568" s="23">
        <v>20260555</v>
      </c>
      <c r="C568" s="99" t="s">
        <v>806</v>
      </c>
      <c r="D568" s="23" t="s">
        <v>105</v>
      </c>
      <c r="E568" s="23" t="s">
        <v>363</v>
      </c>
      <c r="F568" s="23" t="s">
        <v>144</v>
      </c>
      <c r="G568" s="129" t="s">
        <v>374</v>
      </c>
      <c r="H568" s="136">
        <v>10</v>
      </c>
      <c r="I568" s="136">
        <v>0</v>
      </c>
      <c r="J568" s="127">
        <v>107000000</v>
      </c>
      <c r="K568" s="88" t="s">
        <v>398</v>
      </c>
      <c r="L568" s="159" t="s">
        <v>150</v>
      </c>
      <c r="M568" s="162" t="s">
        <v>401</v>
      </c>
      <c r="N568" s="23" t="s">
        <v>197</v>
      </c>
      <c r="O568" s="151" t="s">
        <v>945</v>
      </c>
      <c r="P568" s="162" t="s">
        <v>348</v>
      </c>
      <c r="Q568" s="53">
        <v>80111600</v>
      </c>
      <c r="R568" s="162" t="s">
        <v>209</v>
      </c>
      <c r="S568" s="162" t="str">
        <f>MID(PAA[[#This Row],[Meta Proyecto de Inversión]],1,4)</f>
        <v>8126</v>
      </c>
      <c r="T568" s="162" t="str">
        <f>MID(PAA[[#This Row],[Meta Proyecto de Inversión]],6,1)</f>
        <v>1</v>
      </c>
      <c r="U568" s="163" t="str">
        <f>IFERROR(VLOOKUP(N568,TD!$B$50:$F$54,2,0)," ")</f>
        <v>O230117</v>
      </c>
      <c r="V568" s="163" t="str">
        <f>IFERROR(VLOOKUP(N568,TD!$B$50:$F$54,3,0)," ")</f>
        <v>4599</v>
      </c>
      <c r="W568" s="163">
        <f>IFERROR(VLOOKUP(N568,TD!$B$50:$F$54,4,0)," ")</f>
        <v>20240207</v>
      </c>
      <c r="X568" s="162" t="s">
        <v>182</v>
      </c>
      <c r="Y568" s="163" t="str">
        <f>IFERROR(VLOOKUP(X568,TD!$J$51:$K$64,2,0)," ")</f>
        <v>Servicios para la planeación y sistemas de gestión y comunicación estratégica</v>
      </c>
      <c r="Z568" s="164" t="str">
        <f>CONCATENATE(X568,"-",Y568)</f>
        <v>13-Servicios para la planeación y sistemas de gestión y comunicación estratégica</v>
      </c>
      <c r="AA568" s="162" t="s">
        <v>231</v>
      </c>
      <c r="AB568" s="163" t="str">
        <f>IFERROR(VLOOKUP(AA568,TD!$N$51:$O$66,2,0)," ")</f>
        <v>Documentos de planeación</v>
      </c>
      <c r="AC568" s="164" t="str">
        <f>CONCATENATE(AA568,"_",AB568)</f>
        <v>019_Documentos de planeación</v>
      </c>
      <c r="AD568" s="164" t="str">
        <f>CONCATENATE(Z568," ",AC568)</f>
        <v>13-Servicios para la planeación y sistemas de gestión y comunicación estratégica 019_Documentos de planeación</v>
      </c>
      <c r="AE568" s="163" t="str">
        <f>CONCATENATE(U568,V568,W568,X568,AA568)</f>
        <v>O23011745992024020713019</v>
      </c>
      <c r="AF568" s="163" t="str">
        <f>IFERROR(VLOOKUP(AD568,TD!$J$66:$K$89,2,0)," ")</f>
        <v>PM/0131/0113/45990190207</v>
      </c>
      <c r="AG568" s="118" t="s">
        <v>385</v>
      </c>
      <c r="AH568" s="170" t="s">
        <v>193</v>
      </c>
      <c r="AI568" s="165" t="str">
        <f>CONCATENATE(PAA[[#This Row],[Id Interno]],"-",PAA[[#This Row],[tipo de Contrato (TH talento humano - B/S bienes y/o servicios)]],"-",S568,"-",T568,"-",PAA[[#This Row],[Objeto de la contratación]])</f>
        <v>20260555-TH-8126-1-Prestar servicios profesionales especializados en la Dirección General de la UAECOB en la organización y liderazgo de los asuntos relacionados con comunicaciones de conformidad a la misionalidad de la entidad.</v>
      </c>
    </row>
    <row r="569" spans="2:35" ht="70" x14ac:dyDescent="0.35">
      <c r="B569" s="23">
        <v>20260556</v>
      </c>
      <c r="C569" s="99" t="s">
        <v>807</v>
      </c>
      <c r="D569" s="23" t="s">
        <v>105</v>
      </c>
      <c r="E569" s="23" t="s">
        <v>363</v>
      </c>
      <c r="F569" s="23" t="s">
        <v>144</v>
      </c>
      <c r="G569" s="129" t="s">
        <v>374</v>
      </c>
      <c r="H569" s="136">
        <v>10</v>
      </c>
      <c r="I569" s="136">
        <v>0</v>
      </c>
      <c r="J569" s="127">
        <f>32000000-32000000</f>
        <v>0</v>
      </c>
      <c r="K569" s="88" t="s">
        <v>398</v>
      </c>
      <c r="L569" s="159" t="s">
        <v>150</v>
      </c>
      <c r="M569" s="162" t="s">
        <v>401</v>
      </c>
      <c r="N569" s="23" t="s">
        <v>197</v>
      </c>
      <c r="O569" s="151" t="s">
        <v>945</v>
      </c>
      <c r="P569" s="162" t="s">
        <v>348</v>
      </c>
      <c r="Q569" s="53">
        <v>80111600</v>
      </c>
      <c r="R569" s="162" t="s">
        <v>209</v>
      </c>
      <c r="S569" s="162" t="str">
        <f>MID(PAA[[#This Row],[Meta Proyecto de Inversión]],1,4)</f>
        <v>8126</v>
      </c>
      <c r="T569" s="162" t="str">
        <f>MID(PAA[[#This Row],[Meta Proyecto de Inversión]],6,1)</f>
        <v>1</v>
      </c>
      <c r="U569" s="163" t="str">
        <f>IFERROR(VLOOKUP(N569,TD!$B$50:$F$54,2,0)," ")</f>
        <v>O230117</v>
      </c>
      <c r="V569" s="163" t="str">
        <f>IFERROR(VLOOKUP(N569,TD!$B$50:$F$54,3,0)," ")</f>
        <v>4599</v>
      </c>
      <c r="W569" s="163">
        <f>IFERROR(VLOOKUP(N569,TD!$B$50:$F$54,4,0)," ")</f>
        <v>20240207</v>
      </c>
      <c r="X569" s="162" t="s">
        <v>182</v>
      </c>
      <c r="Y569" s="163" t="str">
        <f>IFERROR(VLOOKUP(X569,TD!$J$51:$K$64,2,0)," ")</f>
        <v>Servicios para la planeación y sistemas de gestión y comunicación estratégica</v>
      </c>
      <c r="Z569" s="164" t="str">
        <f>CONCATENATE(X569,"-",Y569)</f>
        <v>13-Servicios para la planeación y sistemas de gestión y comunicación estratégica</v>
      </c>
      <c r="AA569" s="162" t="s">
        <v>231</v>
      </c>
      <c r="AB569" s="163" t="str">
        <f>IFERROR(VLOOKUP(AA569,TD!$N$51:$O$66,2,0)," ")</f>
        <v>Documentos de planeación</v>
      </c>
      <c r="AC569" s="164" t="str">
        <f>CONCATENATE(AA569,"_",AB569)</f>
        <v>019_Documentos de planeación</v>
      </c>
      <c r="AD569" s="164" t="str">
        <f>CONCATENATE(Z569," ",AC569)</f>
        <v>13-Servicios para la planeación y sistemas de gestión y comunicación estratégica 019_Documentos de planeación</v>
      </c>
      <c r="AE569" s="163" t="str">
        <f>CONCATENATE(U569,V569,W569,X569,AA569)</f>
        <v>O23011745992024020713019</v>
      </c>
      <c r="AF569" s="163" t="str">
        <f>IFERROR(VLOOKUP(AD569,TD!$J$66:$K$89,2,0)," ")</f>
        <v>PM/0131/0113/45990190207</v>
      </c>
      <c r="AG569" s="118" t="s">
        <v>385</v>
      </c>
      <c r="AH569" s="170" t="s">
        <v>193</v>
      </c>
      <c r="AI569" s="165" t="str">
        <f>CONCATENATE(PAA[[#This Row],[Id Interno]],"-",PAA[[#This Row],[tipo de Contrato (TH talento humano - B/S bienes y/o servicios)]],"-",S569,"-",T569,"-",PAA[[#This Row],[Objeto de la contratación]])</f>
        <v>20260556-TH-8126-1-Prestación de servicios profesionales en la Dirección en comunicaciones y prensa, para apoyar la difusión de la información al público interno y externo de la UAECOB.</v>
      </c>
    </row>
    <row r="570" spans="2:35" ht="70" x14ac:dyDescent="0.35">
      <c r="B570" s="23">
        <v>20260557</v>
      </c>
      <c r="C570" s="99" t="s">
        <v>808</v>
      </c>
      <c r="D570" s="23" t="s">
        <v>105</v>
      </c>
      <c r="E570" s="23" t="s">
        <v>363</v>
      </c>
      <c r="F570" s="23" t="s">
        <v>145</v>
      </c>
      <c r="G570" s="129" t="s">
        <v>374</v>
      </c>
      <c r="H570" s="136">
        <v>10</v>
      </c>
      <c r="I570" s="136">
        <v>0</v>
      </c>
      <c r="J570" s="127">
        <f>23500000</f>
        <v>23500000</v>
      </c>
      <c r="K570" s="88" t="s">
        <v>398</v>
      </c>
      <c r="L570" s="159" t="s">
        <v>150</v>
      </c>
      <c r="M570" s="162" t="s">
        <v>401</v>
      </c>
      <c r="N570" s="23" t="s">
        <v>197</v>
      </c>
      <c r="O570" s="151" t="s">
        <v>945</v>
      </c>
      <c r="P570" s="162" t="s">
        <v>348</v>
      </c>
      <c r="Q570" s="53">
        <v>80111600</v>
      </c>
      <c r="R570" s="162" t="s">
        <v>209</v>
      </c>
      <c r="S570" s="162" t="str">
        <f>MID(PAA[[#This Row],[Meta Proyecto de Inversión]],1,4)</f>
        <v>8126</v>
      </c>
      <c r="T570" s="162" t="str">
        <f>MID(PAA[[#This Row],[Meta Proyecto de Inversión]],6,1)</f>
        <v>1</v>
      </c>
      <c r="U570" s="163" t="str">
        <f>IFERROR(VLOOKUP(N570,TD!$B$50:$F$54,2,0)," ")</f>
        <v>O230117</v>
      </c>
      <c r="V570" s="163" t="str">
        <f>IFERROR(VLOOKUP(N570,TD!$B$50:$F$54,3,0)," ")</f>
        <v>4599</v>
      </c>
      <c r="W570" s="163">
        <f>IFERROR(VLOOKUP(N570,TD!$B$50:$F$54,4,0)," ")</f>
        <v>20240207</v>
      </c>
      <c r="X570" s="162" t="s">
        <v>182</v>
      </c>
      <c r="Y570" s="163" t="str">
        <f>IFERROR(VLOOKUP(X570,TD!$J$51:$K$64,2,0)," ")</f>
        <v>Servicios para la planeación y sistemas de gestión y comunicación estratégica</v>
      </c>
      <c r="Z570" s="164" t="str">
        <f>CONCATENATE(X570,"-",Y570)</f>
        <v>13-Servicios para la planeación y sistemas de gestión y comunicación estratégica</v>
      </c>
      <c r="AA570" s="162" t="s">
        <v>231</v>
      </c>
      <c r="AB570" s="163" t="str">
        <f>IFERROR(VLOOKUP(AA570,TD!$N$51:$O$66,2,0)," ")</f>
        <v>Documentos de planeación</v>
      </c>
      <c r="AC570" s="164" t="str">
        <f>CONCATENATE(AA570,"_",AB570)</f>
        <v>019_Documentos de planeación</v>
      </c>
      <c r="AD570" s="164" t="str">
        <f>CONCATENATE(Z570," ",AC570)</f>
        <v>13-Servicios para la planeación y sistemas de gestión y comunicación estratégica 019_Documentos de planeación</v>
      </c>
      <c r="AE570" s="163" t="str">
        <f>CONCATENATE(U570,V570,W570,X570,AA570)</f>
        <v>O23011745992024020713019</v>
      </c>
      <c r="AF570" s="163" t="str">
        <f>IFERROR(VLOOKUP(AD570,TD!$J$66:$K$89,2,0)," ")</f>
        <v>PM/0131/0113/45990190207</v>
      </c>
      <c r="AG570" s="118" t="s">
        <v>385</v>
      </c>
      <c r="AH570" s="170" t="s">
        <v>193</v>
      </c>
      <c r="AI570" s="165" t="str">
        <f>CONCATENATE(PAA[[#This Row],[Id Interno]],"-",PAA[[#This Row],[tipo de Contrato (TH talento humano - B/S bienes y/o servicios)]],"-",S570,"-",T570,"-",PAA[[#This Row],[Objeto de la contratación]])</f>
        <v>20260557-TH-8126-1-Prestar servicios de apoyo para la gestión en asuntos de comunicaciones y prensa en la Dirección General, y demás acciones encaminadas al cumplimiento de las estrategias comunicacionales de la UAECOB</v>
      </c>
    </row>
    <row r="571" spans="2:35" ht="70" x14ac:dyDescent="0.35">
      <c r="B571" s="23">
        <v>20260558</v>
      </c>
      <c r="C571" s="99" t="s">
        <v>809</v>
      </c>
      <c r="D571" s="23" t="s">
        <v>105</v>
      </c>
      <c r="E571" s="23" t="s">
        <v>363</v>
      </c>
      <c r="F571" s="23" t="s">
        <v>144</v>
      </c>
      <c r="G571" s="129" t="s">
        <v>374</v>
      </c>
      <c r="H571" s="136">
        <v>10</v>
      </c>
      <c r="I571" s="136">
        <v>0</v>
      </c>
      <c r="J571" s="127">
        <v>70000000</v>
      </c>
      <c r="K571" s="88" t="s">
        <v>398</v>
      </c>
      <c r="L571" s="159" t="s">
        <v>150</v>
      </c>
      <c r="M571" s="162" t="s">
        <v>401</v>
      </c>
      <c r="N571" s="23" t="s">
        <v>197</v>
      </c>
      <c r="O571" s="151" t="s">
        <v>945</v>
      </c>
      <c r="P571" s="162" t="s">
        <v>348</v>
      </c>
      <c r="Q571" s="53">
        <v>80111600</v>
      </c>
      <c r="R571" s="162" t="s">
        <v>209</v>
      </c>
      <c r="S571" s="162" t="str">
        <f>MID(PAA[[#This Row],[Meta Proyecto de Inversión]],1,4)</f>
        <v>8126</v>
      </c>
      <c r="T571" s="162" t="str">
        <f>MID(PAA[[#This Row],[Meta Proyecto de Inversión]],6,1)</f>
        <v>1</v>
      </c>
      <c r="U571" s="163" t="str">
        <f>IFERROR(VLOOKUP(N571,TD!$B$50:$F$54,2,0)," ")</f>
        <v>O230117</v>
      </c>
      <c r="V571" s="163" t="str">
        <f>IFERROR(VLOOKUP(N571,TD!$B$50:$F$54,3,0)," ")</f>
        <v>4599</v>
      </c>
      <c r="W571" s="163">
        <f>IFERROR(VLOOKUP(N571,TD!$B$50:$F$54,4,0)," ")</f>
        <v>20240207</v>
      </c>
      <c r="X571" s="162" t="s">
        <v>182</v>
      </c>
      <c r="Y571" s="163" t="str">
        <f>IFERROR(VLOOKUP(X571,TD!$J$51:$K$64,2,0)," ")</f>
        <v>Servicios para la planeación y sistemas de gestión y comunicación estratégica</v>
      </c>
      <c r="Z571" s="164" t="str">
        <f>CONCATENATE(X571,"-",Y571)</f>
        <v>13-Servicios para la planeación y sistemas de gestión y comunicación estratégica</v>
      </c>
      <c r="AA571" s="162" t="s">
        <v>231</v>
      </c>
      <c r="AB571" s="163" t="str">
        <f>IFERROR(VLOOKUP(AA571,TD!$N$51:$O$66,2,0)," ")</f>
        <v>Documentos de planeación</v>
      </c>
      <c r="AC571" s="164" t="str">
        <f>CONCATENATE(AA571,"_",AB571)</f>
        <v>019_Documentos de planeación</v>
      </c>
      <c r="AD571" s="164" t="str">
        <f>CONCATENATE(Z571," ",AC571)</f>
        <v>13-Servicios para la planeación y sistemas de gestión y comunicación estratégica 019_Documentos de planeación</v>
      </c>
      <c r="AE571" s="163" t="str">
        <f>CONCATENATE(U571,V571,W571,X571,AA571)</f>
        <v>O23011745992024020713019</v>
      </c>
      <c r="AF571" s="163" t="str">
        <f>IFERROR(VLOOKUP(AD571,TD!$J$66:$K$89,2,0)," ")</f>
        <v>PM/0131/0113/45990190207</v>
      </c>
      <c r="AG571" s="118" t="s">
        <v>385</v>
      </c>
      <c r="AH571" s="170" t="s">
        <v>193</v>
      </c>
      <c r="AI571" s="165" t="str">
        <f>CONCATENATE(PAA[[#This Row],[Id Interno]],"-",PAA[[#This Row],[tipo de Contrato (TH talento humano - B/S bienes y/o servicios)]],"-",S571,"-",T571,"-",PAA[[#This Row],[Objeto de la contratación]])</f>
        <v>20260558-TH-8126-1-Prestación de servicios profesionales en asuntos de comunicaciones y prensa para apoyar la divulgación y socialización de la información relacionada con la misionalidad de la UAECOB de manera interna y externa</v>
      </c>
    </row>
    <row r="572" spans="2:35" ht="56" x14ac:dyDescent="0.35">
      <c r="B572" s="142">
        <v>20260559</v>
      </c>
      <c r="C572" s="121" t="s">
        <v>810</v>
      </c>
      <c r="D572" s="130" t="s">
        <v>105</v>
      </c>
      <c r="E572" s="130" t="s">
        <v>363</v>
      </c>
      <c r="F572" s="130" t="s">
        <v>144</v>
      </c>
      <c r="G572" s="131" t="s">
        <v>374</v>
      </c>
      <c r="H572" s="137">
        <v>10</v>
      </c>
      <c r="I572" s="137">
        <v>0</v>
      </c>
      <c r="J572" s="132">
        <v>82500000</v>
      </c>
      <c r="K572" s="133" t="s">
        <v>398</v>
      </c>
      <c r="L572" s="177" t="s">
        <v>150</v>
      </c>
      <c r="M572" s="173" t="s">
        <v>401</v>
      </c>
      <c r="N572" s="130" t="s">
        <v>197</v>
      </c>
      <c r="O572" s="151" t="s">
        <v>945</v>
      </c>
      <c r="P572" s="173" t="s">
        <v>348</v>
      </c>
      <c r="Q572" s="134">
        <v>80111600</v>
      </c>
      <c r="R572" s="173" t="s">
        <v>209</v>
      </c>
      <c r="S572" s="173" t="str">
        <f>MID(PAA[[#This Row],[Meta Proyecto de Inversión]],1,4)</f>
        <v>8126</v>
      </c>
      <c r="T572" s="173" t="str">
        <f>MID(PAA[[#This Row],[Meta Proyecto de Inversión]],6,1)</f>
        <v>1</v>
      </c>
      <c r="U572" s="178" t="str">
        <f>IFERROR(VLOOKUP(N572,TD!$B$50:$F$54,2,0)," ")</f>
        <v>O230117</v>
      </c>
      <c r="V572" s="178" t="str">
        <f>IFERROR(VLOOKUP(N572,TD!$B$50:$F$54,3,0)," ")</f>
        <v>4599</v>
      </c>
      <c r="W572" s="178">
        <f>IFERROR(VLOOKUP(N572,TD!$B$50:$F$54,4,0)," ")</f>
        <v>20240207</v>
      </c>
      <c r="X572" s="173" t="s">
        <v>182</v>
      </c>
      <c r="Y572" s="163" t="str">
        <f>IFERROR(VLOOKUP(X572,TD!$J$51:$K$64,2,0)," ")</f>
        <v>Servicios para la planeación y sistemas de gestión y comunicación estratégica</v>
      </c>
      <c r="Z572" s="175" t="str">
        <f>CONCATENATE(X572,"-",Y572)</f>
        <v>13-Servicios para la planeación y sistemas de gestión y comunicación estratégica</v>
      </c>
      <c r="AA572" s="162" t="s">
        <v>231</v>
      </c>
      <c r="AB572" s="163" t="str">
        <f>IFERROR(VLOOKUP(AA572,TD!$N$51:$O$66,2,0)," ")</f>
        <v>Documentos de planeación</v>
      </c>
      <c r="AC572" s="175" t="str">
        <f>CONCATENATE(AA572,"_",AB572)</f>
        <v>019_Documentos de planeación</v>
      </c>
      <c r="AD572" s="175" t="str">
        <f>CONCATENATE(Z572," ",AC572)</f>
        <v>13-Servicios para la planeación y sistemas de gestión y comunicación estratégica 019_Documentos de planeación</v>
      </c>
      <c r="AE572" s="178" t="str">
        <f>CONCATENATE(U572,V572,W572,X572,AA572)</f>
        <v>O23011745992024020713019</v>
      </c>
      <c r="AF572" s="163" t="str">
        <f>IFERROR(VLOOKUP(AD572,TD!$J$66:$K$89,2,0)," ")</f>
        <v>PM/0131/0113/45990190207</v>
      </c>
      <c r="AG572" s="118" t="s">
        <v>385</v>
      </c>
      <c r="AH572" s="170" t="s">
        <v>193</v>
      </c>
      <c r="AI572" s="165" t="str">
        <f>CONCATENATE(PAA[[#This Row],[Id Interno]],"-",PAA[[#This Row],[tipo de Contrato (TH talento humano - B/S bienes y/o servicios)]],"-",S572,"-",T572,"-",PAA[[#This Row],[Objeto de la contratación]])</f>
        <v>20260559-TH-8126-1-Prestar servicios profesionales para apoyar el desarrollo de estrategias de la dirección general, en asuntos relacionados con comunicaciones y prensa, encaminadas al posicionamiento, imagen y divulgación corporativa de la entidad y dirigidas a sus públicos internos</v>
      </c>
    </row>
    <row r="573" spans="2:35" ht="56" x14ac:dyDescent="0.35">
      <c r="B573" s="142">
        <v>20260560</v>
      </c>
      <c r="C573" s="121" t="s">
        <v>811</v>
      </c>
      <c r="D573" s="130" t="s">
        <v>105</v>
      </c>
      <c r="E573" s="130" t="s">
        <v>363</v>
      </c>
      <c r="F573" s="130" t="s">
        <v>144</v>
      </c>
      <c r="G573" s="131" t="s">
        <v>374</v>
      </c>
      <c r="H573" s="137">
        <v>10</v>
      </c>
      <c r="I573" s="137">
        <v>0</v>
      </c>
      <c r="J573" s="132">
        <v>65000000</v>
      </c>
      <c r="K573" s="133" t="s">
        <v>398</v>
      </c>
      <c r="L573" s="177" t="s">
        <v>150</v>
      </c>
      <c r="M573" s="173" t="s">
        <v>401</v>
      </c>
      <c r="N573" s="130" t="s">
        <v>197</v>
      </c>
      <c r="O573" s="151" t="s">
        <v>945</v>
      </c>
      <c r="P573" s="173" t="s">
        <v>348</v>
      </c>
      <c r="Q573" s="134">
        <v>80111600</v>
      </c>
      <c r="R573" s="173" t="s">
        <v>209</v>
      </c>
      <c r="S573" s="173" t="str">
        <f>MID(PAA[[#This Row],[Meta Proyecto de Inversión]],1,4)</f>
        <v>8126</v>
      </c>
      <c r="T573" s="173" t="str">
        <f>MID(PAA[[#This Row],[Meta Proyecto de Inversión]],6,1)</f>
        <v>1</v>
      </c>
      <c r="U573" s="178" t="str">
        <f>IFERROR(VLOOKUP(N573,TD!$B$50:$F$54,2,0)," ")</f>
        <v>O230117</v>
      </c>
      <c r="V573" s="178" t="str">
        <f>IFERROR(VLOOKUP(N573,TD!$B$50:$F$54,3,0)," ")</f>
        <v>4599</v>
      </c>
      <c r="W573" s="178">
        <f>IFERROR(VLOOKUP(N573,TD!$B$50:$F$54,4,0)," ")</f>
        <v>20240207</v>
      </c>
      <c r="X573" s="173" t="s">
        <v>182</v>
      </c>
      <c r="Y573" s="163" t="str">
        <f>IFERROR(VLOOKUP(X573,TD!$J$51:$K$64,2,0)," ")</f>
        <v>Servicios para la planeación y sistemas de gestión y comunicación estratégica</v>
      </c>
      <c r="Z573" s="175" t="str">
        <f>CONCATENATE(X573,"-",Y573)</f>
        <v>13-Servicios para la planeación y sistemas de gestión y comunicación estratégica</v>
      </c>
      <c r="AA573" s="162" t="s">
        <v>231</v>
      </c>
      <c r="AB573" s="163" t="str">
        <f>IFERROR(VLOOKUP(AA573,TD!$N$51:$O$66,2,0)," ")</f>
        <v>Documentos de planeación</v>
      </c>
      <c r="AC573" s="175" t="str">
        <f>CONCATENATE(AA573,"_",AB573)</f>
        <v>019_Documentos de planeación</v>
      </c>
      <c r="AD573" s="175" t="str">
        <f>CONCATENATE(Z573," ",AC573)</f>
        <v>13-Servicios para la planeación y sistemas de gestión y comunicación estratégica 019_Documentos de planeación</v>
      </c>
      <c r="AE573" s="178" t="str">
        <f>CONCATENATE(U573,V573,W573,X573,AA573)</f>
        <v>O23011745992024020713019</v>
      </c>
      <c r="AF573" s="163" t="str">
        <f>IFERROR(VLOOKUP(AD573,TD!$J$66:$K$89,2,0)," ")</f>
        <v>PM/0131/0113/45990190207</v>
      </c>
      <c r="AG573" s="118" t="s">
        <v>385</v>
      </c>
      <c r="AH573" s="170" t="s">
        <v>193</v>
      </c>
      <c r="AI573" s="165" t="str">
        <f>CONCATENATE(PAA[[#This Row],[Id Interno]],"-",PAA[[#This Row],[tipo de Contrato (TH talento humano - B/S bienes y/o servicios)]],"-",S573,"-",T573,"-",PAA[[#This Row],[Objeto de la contratación]])</f>
        <v>20260560-TH-8126-1-Prestar servicios profesionales en la Dirección General para  el manejo de redes sociales de la entidad y apoyo periodistico requerido en el marco de la estrategia de comunicaciones y prensa de la UEACOB.</v>
      </c>
    </row>
    <row r="574" spans="2:35" ht="56" x14ac:dyDescent="0.35">
      <c r="B574" s="142">
        <v>20260561</v>
      </c>
      <c r="C574" s="121" t="s">
        <v>812</v>
      </c>
      <c r="D574" s="130" t="s">
        <v>105</v>
      </c>
      <c r="E574" s="130" t="s">
        <v>363</v>
      </c>
      <c r="F574" s="130" t="s">
        <v>144</v>
      </c>
      <c r="G574" s="131" t="s">
        <v>374</v>
      </c>
      <c r="H574" s="137">
        <v>10</v>
      </c>
      <c r="I574" s="137">
        <v>0</v>
      </c>
      <c r="J574" s="132">
        <f>62000000</f>
        <v>62000000</v>
      </c>
      <c r="K574" s="133" t="s">
        <v>398</v>
      </c>
      <c r="L574" s="177" t="s">
        <v>150</v>
      </c>
      <c r="M574" s="173" t="s">
        <v>401</v>
      </c>
      <c r="N574" s="130" t="s">
        <v>197</v>
      </c>
      <c r="O574" s="151" t="s">
        <v>945</v>
      </c>
      <c r="P574" s="173" t="s">
        <v>348</v>
      </c>
      <c r="Q574" s="134">
        <v>80111600</v>
      </c>
      <c r="R574" s="173" t="s">
        <v>209</v>
      </c>
      <c r="S574" s="173" t="str">
        <f>MID(PAA[[#This Row],[Meta Proyecto de Inversión]],1,4)</f>
        <v>8126</v>
      </c>
      <c r="T574" s="173" t="str">
        <f>MID(PAA[[#This Row],[Meta Proyecto de Inversión]],6,1)</f>
        <v>1</v>
      </c>
      <c r="U574" s="178" t="str">
        <f>IFERROR(VLOOKUP(N574,TD!$B$50:$F$54,2,0)," ")</f>
        <v>O230117</v>
      </c>
      <c r="V574" s="178" t="str">
        <f>IFERROR(VLOOKUP(N574,TD!$B$50:$F$54,3,0)," ")</f>
        <v>4599</v>
      </c>
      <c r="W574" s="178">
        <f>IFERROR(VLOOKUP(N574,TD!$B$50:$F$54,4,0)," ")</f>
        <v>20240207</v>
      </c>
      <c r="X574" s="173" t="s">
        <v>182</v>
      </c>
      <c r="Y574" s="163" t="str">
        <f>IFERROR(VLOOKUP(X574,TD!$J$51:$K$64,2,0)," ")</f>
        <v>Servicios para la planeación y sistemas de gestión y comunicación estratégica</v>
      </c>
      <c r="Z574" s="175" t="str">
        <f>CONCATENATE(X574,"-",Y574)</f>
        <v>13-Servicios para la planeación y sistemas de gestión y comunicación estratégica</v>
      </c>
      <c r="AA574" s="162" t="s">
        <v>231</v>
      </c>
      <c r="AB574" s="163" t="str">
        <f>IFERROR(VLOOKUP(AA574,TD!$N$51:$O$66,2,0)," ")</f>
        <v>Documentos de planeación</v>
      </c>
      <c r="AC574" s="175" t="str">
        <f>CONCATENATE(AA574,"_",AB574)</f>
        <v>019_Documentos de planeación</v>
      </c>
      <c r="AD574" s="175" t="str">
        <f>CONCATENATE(Z574," ",AC574)</f>
        <v>13-Servicios para la planeación y sistemas de gestión y comunicación estratégica 019_Documentos de planeación</v>
      </c>
      <c r="AE574" s="178" t="str">
        <f>CONCATENATE(U574,V574,W574,X574,AA574)</f>
        <v>O23011745992024020713019</v>
      </c>
      <c r="AF574" s="163" t="str">
        <f>IFERROR(VLOOKUP(AD574,TD!$J$66:$K$89,2,0)," ")</f>
        <v>PM/0131/0113/45990190207</v>
      </c>
      <c r="AG574" s="118" t="s">
        <v>385</v>
      </c>
      <c r="AH574" s="170" t="s">
        <v>193</v>
      </c>
      <c r="AI574" s="209" t="str">
        <f>CONCATENATE(PAA[[#This Row],[Id Interno]],"-",PAA[[#This Row],[tipo de Contrato (TH talento humano - B/S bienes y/o servicios)]],"-",S574,"-",T574,"-",PAA[[#This Row],[Objeto de la contratación]])</f>
        <v>20260561-TH-8126-1-Prestar servicios profesionales en la Dirección General para el manejo de redes sociales, divulgación, socialización de información y apoyo periodístico, requerido en el marco de la estrategia de comunicaciones y prensa de la UAECOB.</v>
      </c>
    </row>
    <row r="575" spans="2:35" ht="84" x14ac:dyDescent="0.35">
      <c r="B575" s="142">
        <v>20260562</v>
      </c>
      <c r="C575" s="121" t="s">
        <v>813</v>
      </c>
      <c r="D575" s="130" t="s">
        <v>105</v>
      </c>
      <c r="E575" s="130" t="s">
        <v>363</v>
      </c>
      <c r="F575" s="130" t="s">
        <v>144</v>
      </c>
      <c r="G575" s="131" t="s">
        <v>374</v>
      </c>
      <c r="H575" s="137">
        <v>10</v>
      </c>
      <c r="I575" s="137">
        <v>0</v>
      </c>
      <c r="J575" s="132">
        <v>65000000</v>
      </c>
      <c r="K575" s="133" t="s">
        <v>398</v>
      </c>
      <c r="L575" s="177" t="s">
        <v>150</v>
      </c>
      <c r="M575" s="173" t="s">
        <v>401</v>
      </c>
      <c r="N575" s="130" t="s">
        <v>197</v>
      </c>
      <c r="O575" s="151" t="s">
        <v>945</v>
      </c>
      <c r="P575" s="173" t="s">
        <v>348</v>
      </c>
      <c r="Q575" s="134">
        <v>80111600</v>
      </c>
      <c r="R575" s="173" t="s">
        <v>209</v>
      </c>
      <c r="S575" s="173" t="str">
        <f>MID(PAA[[#This Row],[Meta Proyecto de Inversión]],1,4)</f>
        <v>8126</v>
      </c>
      <c r="T575" s="173" t="str">
        <f>MID(PAA[[#This Row],[Meta Proyecto de Inversión]],6,1)</f>
        <v>1</v>
      </c>
      <c r="U575" s="178" t="str">
        <f>IFERROR(VLOOKUP(N575,TD!$B$50:$F$54,2,0)," ")</f>
        <v>O230117</v>
      </c>
      <c r="V575" s="178" t="str">
        <f>IFERROR(VLOOKUP(N575,TD!$B$50:$F$54,3,0)," ")</f>
        <v>4599</v>
      </c>
      <c r="W575" s="178">
        <f>IFERROR(VLOOKUP(N575,TD!$B$50:$F$54,4,0)," ")</f>
        <v>20240207</v>
      </c>
      <c r="X575" s="173" t="s">
        <v>182</v>
      </c>
      <c r="Y575" s="163" t="str">
        <f>IFERROR(VLOOKUP(X575,TD!$J$51:$K$64,2,0)," ")</f>
        <v>Servicios para la planeación y sistemas de gestión y comunicación estratégica</v>
      </c>
      <c r="Z575" s="175" t="str">
        <f>CONCATENATE(X575,"-",Y575)</f>
        <v>13-Servicios para la planeación y sistemas de gestión y comunicación estratégica</v>
      </c>
      <c r="AA575" s="162" t="s">
        <v>231</v>
      </c>
      <c r="AB575" s="163" t="str">
        <f>IFERROR(VLOOKUP(AA575,TD!$N$51:$O$66,2,0)," ")</f>
        <v>Documentos de planeación</v>
      </c>
      <c r="AC575" s="175" t="str">
        <f>CONCATENATE(AA575,"_",AB575)</f>
        <v>019_Documentos de planeación</v>
      </c>
      <c r="AD575" s="175" t="str">
        <f>CONCATENATE(Z575," ",AC575)</f>
        <v>13-Servicios para la planeación y sistemas de gestión y comunicación estratégica 019_Documentos de planeación</v>
      </c>
      <c r="AE575" s="178" t="str">
        <f>CONCATENATE(U575,V575,W575,X575,AA575)</f>
        <v>O23011745992024020713019</v>
      </c>
      <c r="AF575" s="163" t="str">
        <f>IFERROR(VLOOKUP(AD575,TD!$J$66:$K$89,2,0)," ")</f>
        <v>PM/0131/0113/45990190207</v>
      </c>
      <c r="AG575" s="118" t="s">
        <v>385</v>
      </c>
      <c r="AH575" s="170" t="s">
        <v>193</v>
      </c>
      <c r="AI575" s="209" t="str">
        <f>CONCATENATE(PAA[[#This Row],[Id Interno]],"-",PAA[[#This Row],[tipo de Contrato (TH talento humano - B/S bienes y/o servicios)]],"-",S575,"-",T575,"-",PAA[[#This Row],[Objeto de la contratación]])</f>
        <v>20260562-TH-8126-1-Prestación de servicios profesionales para apoyar a la Dirección en la elaboración, diseño y diagramación de piezas requeridas para los planes, programas, proyectos y procedimientos</v>
      </c>
    </row>
    <row r="576" spans="2:35" ht="70" x14ac:dyDescent="0.35">
      <c r="B576" s="142">
        <v>20260563</v>
      </c>
      <c r="C576" s="121" t="s">
        <v>814</v>
      </c>
      <c r="D576" s="130" t="s">
        <v>105</v>
      </c>
      <c r="E576" s="130" t="s">
        <v>363</v>
      </c>
      <c r="F576" s="130" t="s">
        <v>145</v>
      </c>
      <c r="G576" s="131" t="s">
        <v>374</v>
      </c>
      <c r="H576" s="137">
        <v>10</v>
      </c>
      <c r="I576" s="137">
        <v>0</v>
      </c>
      <c r="J576" s="132">
        <f>23500000</f>
        <v>23500000</v>
      </c>
      <c r="K576" s="133" t="s">
        <v>398</v>
      </c>
      <c r="L576" s="177" t="s">
        <v>150</v>
      </c>
      <c r="M576" s="173" t="s">
        <v>401</v>
      </c>
      <c r="N576" s="130" t="s">
        <v>197</v>
      </c>
      <c r="O576" s="151" t="s">
        <v>945</v>
      </c>
      <c r="P576" s="173" t="s">
        <v>348</v>
      </c>
      <c r="Q576" s="134">
        <v>80111600</v>
      </c>
      <c r="R576" s="173" t="s">
        <v>209</v>
      </c>
      <c r="S576" s="173" t="str">
        <f>MID(PAA[[#This Row],[Meta Proyecto de Inversión]],1,4)</f>
        <v>8126</v>
      </c>
      <c r="T576" s="173" t="str">
        <f>MID(PAA[[#This Row],[Meta Proyecto de Inversión]],6,1)</f>
        <v>1</v>
      </c>
      <c r="U576" s="178" t="str">
        <f>IFERROR(VLOOKUP(N576,TD!$B$50:$F$54,2,0)," ")</f>
        <v>O230117</v>
      </c>
      <c r="V576" s="178" t="str">
        <f>IFERROR(VLOOKUP(N576,TD!$B$50:$F$54,3,0)," ")</f>
        <v>4599</v>
      </c>
      <c r="W576" s="178">
        <f>IFERROR(VLOOKUP(N576,TD!$B$50:$F$54,4,0)," ")</f>
        <v>20240207</v>
      </c>
      <c r="X576" s="173" t="s">
        <v>182</v>
      </c>
      <c r="Y576" s="163" t="str">
        <f>IFERROR(VLOOKUP(X576,TD!$J$51:$K$64,2,0)," ")</f>
        <v>Servicios para la planeación y sistemas de gestión y comunicación estratégica</v>
      </c>
      <c r="Z576" s="175" t="str">
        <f>CONCATENATE(X576,"-",Y576)</f>
        <v>13-Servicios para la planeación y sistemas de gestión y comunicación estratégica</v>
      </c>
      <c r="AA576" s="162" t="s">
        <v>231</v>
      </c>
      <c r="AB576" s="163" t="str">
        <f>IFERROR(VLOOKUP(AA576,TD!$N$51:$O$66,2,0)," ")</f>
        <v>Documentos de planeación</v>
      </c>
      <c r="AC576" s="175" t="str">
        <f>CONCATENATE(AA576,"_",AB576)</f>
        <v>019_Documentos de planeación</v>
      </c>
      <c r="AD576" s="175" t="str">
        <f>CONCATENATE(Z576," ",AC576)</f>
        <v>13-Servicios para la planeación y sistemas de gestión y comunicación estratégica 019_Documentos de planeación</v>
      </c>
      <c r="AE576" s="178" t="str">
        <f>CONCATENATE(U576,V576,W576,X576,AA576)</f>
        <v>O23011745992024020713019</v>
      </c>
      <c r="AF576" s="163" t="str">
        <f>IFERROR(VLOOKUP(AD576,TD!$J$66:$K$89,2,0)," ")</f>
        <v>PM/0131/0113/45990190207</v>
      </c>
      <c r="AG576" s="118" t="s">
        <v>385</v>
      </c>
      <c r="AH576" s="170" t="s">
        <v>193</v>
      </c>
      <c r="AI576" s="209" t="str">
        <f>CONCATENATE(PAA[[#This Row],[Id Interno]],"-",PAA[[#This Row],[tipo de Contrato (TH talento humano - B/S bienes y/o servicios)]],"-",S576,"-",T576,"-",PAA[[#This Row],[Objeto de la contratación]])</f>
        <v>20260563-TH-8126-1-Prestar apoyo técnico en la Dirección, en asuntos de comunicaciones y prensa, para la producción, diseño y edición de material audiovisual de la UAECOB.</v>
      </c>
    </row>
    <row r="577" spans="2:35" ht="84" x14ac:dyDescent="0.35">
      <c r="B577" s="142">
        <v>20260564</v>
      </c>
      <c r="C577" s="121" t="s">
        <v>815</v>
      </c>
      <c r="D577" s="130" t="s">
        <v>105</v>
      </c>
      <c r="E577" s="130" t="s">
        <v>363</v>
      </c>
      <c r="F577" s="130" t="s">
        <v>144</v>
      </c>
      <c r="G577" s="131" t="s">
        <v>374</v>
      </c>
      <c r="H577" s="137">
        <v>10</v>
      </c>
      <c r="I577" s="137">
        <v>0</v>
      </c>
      <c r="J577" s="132">
        <v>100000000</v>
      </c>
      <c r="K577" s="133" t="s">
        <v>398</v>
      </c>
      <c r="L577" s="177" t="s">
        <v>150</v>
      </c>
      <c r="M577" s="173" t="s">
        <v>401</v>
      </c>
      <c r="N577" s="130" t="s">
        <v>197</v>
      </c>
      <c r="O577" s="151" t="s">
        <v>945</v>
      </c>
      <c r="P577" s="173" t="s">
        <v>348</v>
      </c>
      <c r="Q577" s="134">
        <v>80111600</v>
      </c>
      <c r="R577" s="173" t="s">
        <v>209</v>
      </c>
      <c r="S577" s="173" t="str">
        <f>MID(PAA[[#This Row],[Meta Proyecto de Inversión]],1,4)</f>
        <v>8126</v>
      </c>
      <c r="T577" s="173" t="str">
        <f>MID(PAA[[#This Row],[Meta Proyecto de Inversión]],6,1)</f>
        <v>1</v>
      </c>
      <c r="U577" s="178" t="str">
        <f>IFERROR(VLOOKUP(N577,TD!$B$50:$F$54,2,0)," ")</f>
        <v>O230117</v>
      </c>
      <c r="V577" s="178" t="str">
        <f>IFERROR(VLOOKUP(N577,TD!$B$50:$F$54,3,0)," ")</f>
        <v>4599</v>
      </c>
      <c r="W577" s="178">
        <f>IFERROR(VLOOKUP(N577,TD!$B$50:$F$54,4,0)," ")</f>
        <v>20240207</v>
      </c>
      <c r="X577" s="173" t="s">
        <v>182</v>
      </c>
      <c r="Y577" s="163" t="str">
        <f>IFERROR(VLOOKUP(X577,TD!$J$51:$K$64,2,0)," ")</f>
        <v>Servicios para la planeación y sistemas de gestión y comunicación estratégica</v>
      </c>
      <c r="Z577" s="175" t="str">
        <f>CONCATENATE(X577,"-",Y577)</f>
        <v>13-Servicios para la planeación y sistemas de gestión y comunicación estratégica</v>
      </c>
      <c r="AA577" s="173" t="s">
        <v>231</v>
      </c>
      <c r="AB577" s="163" t="str">
        <f>IFERROR(VLOOKUP(AA577,TD!$N$51:$O$66,2,0)," ")</f>
        <v>Documentos de planeación</v>
      </c>
      <c r="AC577" s="175" t="str">
        <f>CONCATENATE(AA577,"_",AB577)</f>
        <v>019_Documentos de planeación</v>
      </c>
      <c r="AD577" s="175" t="str">
        <f>CONCATENATE(Z577," ",AC577)</f>
        <v>13-Servicios para la planeación y sistemas de gestión y comunicación estratégica 019_Documentos de planeación</v>
      </c>
      <c r="AE577" s="178" t="str">
        <f>CONCATENATE(U577,V577,W577,X577,AA577)</f>
        <v>O23011745992024020713019</v>
      </c>
      <c r="AF577" s="163" t="str">
        <f>IFERROR(VLOOKUP(AD577,TD!$J$66:$K$89,2,0)," ")</f>
        <v>PM/0131/0113/45990190207</v>
      </c>
      <c r="AG577" s="135" t="s">
        <v>385</v>
      </c>
      <c r="AH577" s="170" t="s">
        <v>193</v>
      </c>
      <c r="AI577" s="209" t="str">
        <f>CONCATENATE(PAA[[#This Row],[Id Interno]],"-",PAA[[#This Row],[tipo de Contrato (TH talento humano - B/S bienes y/o servicios)]],"-",S577,"-",T577,"-",PAA[[#This Row],[Objeto de la contratación]])</f>
        <v>20260564-TH-8126-1-Prestar servicios profesionales especializados a la Dirección General de la UAECOB en la construcción ,acompañamiento, seguimiento y fortalecimiento de las estrategias de comunicación que adelante la entidad dentro del Distrito Capital</v>
      </c>
    </row>
    <row r="578" spans="2:35" ht="84" x14ac:dyDescent="0.35">
      <c r="B578" s="142">
        <v>20260565</v>
      </c>
      <c r="C578" s="121" t="s">
        <v>816</v>
      </c>
      <c r="D578" s="130" t="s">
        <v>105</v>
      </c>
      <c r="E578" s="130" t="s">
        <v>363</v>
      </c>
      <c r="F578" s="130" t="s">
        <v>144</v>
      </c>
      <c r="G578" s="131" t="s">
        <v>374</v>
      </c>
      <c r="H578" s="137">
        <v>10</v>
      </c>
      <c r="I578" s="137">
        <v>0</v>
      </c>
      <c r="J578" s="132">
        <v>54000000</v>
      </c>
      <c r="K578" s="133" t="s">
        <v>398</v>
      </c>
      <c r="L578" s="177" t="s">
        <v>150</v>
      </c>
      <c r="M578" s="173" t="s">
        <v>401</v>
      </c>
      <c r="N578" s="130" t="s">
        <v>197</v>
      </c>
      <c r="O578" s="151" t="s">
        <v>945</v>
      </c>
      <c r="P578" s="173" t="s">
        <v>348</v>
      </c>
      <c r="Q578" s="134">
        <v>80111600</v>
      </c>
      <c r="R578" s="173" t="s">
        <v>209</v>
      </c>
      <c r="S578" s="173" t="str">
        <f>MID(PAA[[#This Row],[Meta Proyecto de Inversión]],1,4)</f>
        <v>8126</v>
      </c>
      <c r="T578" s="173" t="str">
        <f>MID(PAA[[#This Row],[Meta Proyecto de Inversión]],6,1)</f>
        <v>1</v>
      </c>
      <c r="U578" s="178" t="str">
        <f>IFERROR(VLOOKUP(N578,TD!$B$50:$F$54,2,0)," ")</f>
        <v>O230117</v>
      </c>
      <c r="V578" s="178" t="str">
        <f>IFERROR(VLOOKUP(N578,TD!$B$50:$F$54,3,0)," ")</f>
        <v>4599</v>
      </c>
      <c r="W578" s="178">
        <f>IFERROR(VLOOKUP(N578,TD!$B$50:$F$54,4,0)," ")</f>
        <v>20240207</v>
      </c>
      <c r="X578" s="173" t="s">
        <v>182</v>
      </c>
      <c r="Y578" s="163" t="str">
        <f>IFERROR(VLOOKUP(X578,TD!$J$51:$K$64,2,0)," ")</f>
        <v>Servicios para la planeación y sistemas de gestión y comunicación estratégica</v>
      </c>
      <c r="Z578" s="175" t="str">
        <f>CONCATENATE(X578,"-",Y578)</f>
        <v>13-Servicios para la planeación y sistemas de gestión y comunicación estratégica</v>
      </c>
      <c r="AA578" s="173" t="s">
        <v>231</v>
      </c>
      <c r="AB578" s="163" t="str">
        <f>IFERROR(VLOOKUP(AA578,TD!$N$51:$O$66,2,0)," ")</f>
        <v>Documentos de planeación</v>
      </c>
      <c r="AC578" s="175" t="str">
        <f>CONCATENATE(AA578,"_",AB578)</f>
        <v>019_Documentos de planeación</v>
      </c>
      <c r="AD578" s="175" t="str">
        <f>CONCATENATE(Z578," ",AC578)</f>
        <v>13-Servicios para la planeación y sistemas de gestión y comunicación estratégica 019_Documentos de planeación</v>
      </c>
      <c r="AE578" s="178" t="str">
        <f>CONCATENATE(U578,V578,W578,X578,AA578)</f>
        <v>O23011745992024020713019</v>
      </c>
      <c r="AF578" s="163" t="str">
        <f>IFERROR(VLOOKUP(AD578,TD!$J$66:$K$89,2,0)," ")</f>
        <v>PM/0131/0113/45990190207</v>
      </c>
      <c r="AG578" s="135" t="s">
        <v>385</v>
      </c>
      <c r="AH578" s="170" t="s">
        <v>193</v>
      </c>
      <c r="AI578" s="209" t="str">
        <f>CONCATENATE(PAA[[#This Row],[Id Interno]],"-",PAA[[#This Row],[tipo de Contrato (TH talento humano - B/S bienes y/o servicios)]],"-",S578,"-",T578,"-",PAA[[#This Row],[Objeto de la contratación]])</f>
        <v>20260565-TH-8126-1-Prestación de servicios profesionales en asuntos de comunicaciones y prensa para apoyar las labores de reportería, periodismo y de divulgación de información y campañas, de acuerdo con la misionalidad de la UAECOB</v>
      </c>
    </row>
    <row r="579" spans="2:35" ht="84" x14ac:dyDescent="0.35">
      <c r="B579" s="142">
        <v>20260566</v>
      </c>
      <c r="C579" s="121" t="s">
        <v>895</v>
      </c>
      <c r="D579" s="130" t="s">
        <v>105</v>
      </c>
      <c r="E579" s="130" t="s">
        <v>363</v>
      </c>
      <c r="F579" s="130" t="s">
        <v>144</v>
      </c>
      <c r="G579" s="131" t="s">
        <v>374</v>
      </c>
      <c r="H579" s="137">
        <v>10</v>
      </c>
      <c r="I579" s="137">
        <v>0</v>
      </c>
      <c r="J579" s="132">
        <v>54000000</v>
      </c>
      <c r="K579" s="133" t="s">
        <v>398</v>
      </c>
      <c r="L579" s="177" t="s">
        <v>150</v>
      </c>
      <c r="M579" s="173" t="s">
        <v>401</v>
      </c>
      <c r="N579" s="130" t="s">
        <v>197</v>
      </c>
      <c r="O579" s="151" t="s">
        <v>945</v>
      </c>
      <c r="P579" s="173" t="s">
        <v>348</v>
      </c>
      <c r="Q579" s="134">
        <v>80111600</v>
      </c>
      <c r="R579" s="173" t="s">
        <v>209</v>
      </c>
      <c r="S579" s="173" t="str">
        <f>MID(PAA[[#This Row],[Meta Proyecto de Inversión]],1,4)</f>
        <v>8126</v>
      </c>
      <c r="T579" s="173" t="str">
        <f>MID(PAA[[#This Row],[Meta Proyecto de Inversión]],6,1)</f>
        <v>1</v>
      </c>
      <c r="U579" s="178" t="str">
        <f>IFERROR(VLOOKUP(N579,TD!$B$50:$F$54,2,0)," ")</f>
        <v>O230117</v>
      </c>
      <c r="V579" s="178" t="str">
        <f>IFERROR(VLOOKUP(N579,TD!$B$50:$F$54,3,0)," ")</f>
        <v>4599</v>
      </c>
      <c r="W579" s="178">
        <f>IFERROR(VLOOKUP(N579,TD!$B$50:$F$54,4,0)," ")</f>
        <v>20240207</v>
      </c>
      <c r="X579" s="173" t="s">
        <v>182</v>
      </c>
      <c r="Y579" s="163" t="str">
        <f>IFERROR(VLOOKUP(X579,TD!$J$51:$K$64,2,0)," ")</f>
        <v>Servicios para la planeación y sistemas de gestión y comunicación estratégica</v>
      </c>
      <c r="Z579" s="175" t="str">
        <f>CONCATENATE(X579,"-",Y579)</f>
        <v>13-Servicios para la planeación y sistemas de gestión y comunicación estratégica</v>
      </c>
      <c r="AA579" s="173" t="s">
        <v>231</v>
      </c>
      <c r="AB579" s="163" t="str">
        <f>IFERROR(VLOOKUP(AA579,TD!$N$51:$O$66,2,0)," ")</f>
        <v>Documentos de planeación</v>
      </c>
      <c r="AC579" s="175" t="str">
        <f>CONCATENATE(AA579,"_",AB579)</f>
        <v>019_Documentos de planeación</v>
      </c>
      <c r="AD579" s="175" t="str">
        <f>CONCATENATE(Z579," ",AC579)</f>
        <v>13-Servicios para la planeación y sistemas de gestión y comunicación estratégica 019_Documentos de planeación</v>
      </c>
      <c r="AE579" s="178" t="str">
        <f>CONCATENATE(U579,V579,W579,X579,AA579)</f>
        <v>O23011745992024020713019</v>
      </c>
      <c r="AF579" s="163" t="str">
        <f>IFERROR(VLOOKUP(AD579,TD!$J$66:$K$89,2,0)," ")</f>
        <v>PM/0131/0113/45990190207</v>
      </c>
      <c r="AG579" s="135" t="s">
        <v>385</v>
      </c>
      <c r="AH579" s="170" t="s">
        <v>193</v>
      </c>
      <c r="AI579" s="209" t="str">
        <f>CONCATENATE(PAA[[#This Row],[Id Interno]],"-",PAA[[#This Row],[tipo de Contrato (TH talento humano - B/S bienes y/o servicios)]],"-",S579,"-",T579,"-",PAA[[#This Row],[Objeto de la contratación]])</f>
        <v>20260566-TH-8126-1-Prestar servicios profesionales en comunicación y prensa para apoyar la producción y difusión de contenidos periodísticos y audiovisuales de la UAECOB</v>
      </c>
    </row>
    <row r="580" spans="2:35" ht="84" x14ac:dyDescent="0.35">
      <c r="B580" s="142">
        <v>20260567</v>
      </c>
      <c r="C580" s="121" t="s">
        <v>818</v>
      </c>
      <c r="D580" s="130" t="s">
        <v>105</v>
      </c>
      <c r="E580" s="130" t="s">
        <v>363</v>
      </c>
      <c r="F580" s="130" t="s">
        <v>145</v>
      </c>
      <c r="G580" s="131" t="s">
        <v>374</v>
      </c>
      <c r="H580" s="137">
        <v>10</v>
      </c>
      <c r="I580" s="137">
        <v>0</v>
      </c>
      <c r="J580" s="132">
        <f>19500000-17322500</f>
        <v>2177500</v>
      </c>
      <c r="K580" s="133" t="s">
        <v>398</v>
      </c>
      <c r="L580" s="177" t="s">
        <v>150</v>
      </c>
      <c r="M580" s="173" t="s">
        <v>401</v>
      </c>
      <c r="N580" s="130" t="s">
        <v>197</v>
      </c>
      <c r="O580" s="151" t="s">
        <v>945</v>
      </c>
      <c r="P580" s="173" t="s">
        <v>348</v>
      </c>
      <c r="Q580" s="134">
        <v>80111600</v>
      </c>
      <c r="R580" s="173" t="s">
        <v>209</v>
      </c>
      <c r="S580" s="173" t="str">
        <f>MID(PAA[[#This Row],[Meta Proyecto de Inversión]],1,4)</f>
        <v>8126</v>
      </c>
      <c r="T580" s="173" t="str">
        <f>MID(PAA[[#This Row],[Meta Proyecto de Inversión]],6,1)</f>
        <v>1</v>
      </c>
      <c r="U580" s="178" t="str">
        <f>IFERROR(VLOOKUP(N580,TD!$B$50:$F$54,2,0)," ")</f>
        <v>O230117</v>
      </c>
      <c r="V580" s="178" t="str">
        <f>IFERROR(VLOOKUP(N580,TD!$B$50:$F$54,3,0)," ")</f>
        <v>4599</v>
      </c>
      <c r="W580" s="178">
        <f>IFERROR(VLOOKUP(N580,TD!$B$50:$F$54,4,0)," ")</f>
        <v>20240207</v>
      </c>
      <c r="X580" s="173" t="s">
        <v>182</v>
      </c>
      <c r="Y580" s="163" t="str">
        <f>IFERROR(VLOOKUP(X580,TD!$J$51:$K$64,2,0)," ")</f>
        <v>Servicios para la planeación y sistemas de gestión y comunicación estratégica</v>
      </c>
      <c r="Z580" s="175" t="str">
        <f>CONCATENATE(X580,"-",Y580)</f>
        <v>13-Servicios para la planeación y sistemas de gestión y comunicación estratégica</v>
      </c>
      <c r="AA580" s="173" t="s">
        <v>231</v>
      </c>
      <c r="AB580" s="163" t="str">
        <f>IFERROR(VLOOKUP(AA580,TD!$N$51:$O$66,2,0)," ")</f>
        <v>Documentos de planeación</v>
      </c>
      <c r="AC580" s="175" t="str">
        <f>CONCATENATE(AA580,"_",AB580)</f>
        <v>019_Documentos de planeación</v>
      </c>
      <c r="AD580" s="175" t="str">
        <f>CONCATENATE(Z580," ",AC580)</f>
        <v>13-Servicios para la planeación y sistemas de gestión y comunicación estratégica 019_Documentos de planeación</v>
      </c>
      <c r="AE580" s="178" t="str">
        <f>CONCATENATE(U580,V580,W580,X580,AA580)</f>
        <v>O23011745992024020713019</v>
      </c>
      <c r="AF580" s="163" t="str">
        <f>IFERROR(VLOOKUP(AD580,TD!$J$66:$K$89,2,0)," ")</f>
        <v>PM/0131/0113/45990190207</v>
      </c>
      <c r="AG580" s="135" t="s">
        <v>385</v>
      </c>
      <c r="AH580" s="170" t="s">
        <v>193</v>
      </c>
      <c r="AI580" s="209" t="str">
        <f>CONCATENATE(PAA[[#This Row],[Id Interno]],"-",PAA[[#This Row],[tipo de Contrato (TH talento humano - B/S bienes y/o servicios)]],"-",S580,"-",T580,"-",PAA[[#This Row],[Objeto de la contratación]])</f>
        <v>20260567-TH-8126-1-Prestar servicios a la Dirección General en la conducción, traslado y movilización de personal, equipos y materiales, garantizando el cumplimiento de las operaciones logísticas y misionales del Cuerpo Oficial de Bomberos de Bogotá</v>
      </c>
    </row>
    <row r="581" spans="2:35" ht="84" x14ac:dyDescent="0.35">
      <c r="B581" s="142">
        <v>20260568</v>
      </c>
      <c r="C581" s="121" t="s">
        <v>817</v>
      </c>
      <c r="D581" s="130" t="s">
        <v>105</v>
      </c>
      <c r="E581" s="130" t="s">
        <v>363</v>
      </c>
      <c r="F581" s="130" t="s">
        <v>144</v>
      </c>
      <c r="G581" s="131" t="s">
        <v>374</v>
      </c>
      <c r="H581" s="137">
        <v>10</v>
      </c>
      <c r="I581" s="137">
        <v>0</v>
      </c>
      <c r="J581" s="132">
        <f>28000000-28000000</f>
        <v>0</v>
      </c>
      <c r="K581" s="133" t="s">
        <v>398</v>
      </c>
      <c r="L581" s="177" t="s">
        <v>150</v>
      </c>
      <c r="M581" s="173" t="s">
        <v>401</v>
      </c>
      <c r="N581" s="130" t="s">
        <v>197</v>
      </c>
      <c r="O581" s="151" t="s">
        <v>945</v>
      </c>
      <c r="P581" s="173" t="s">
        <v>348</v>
      </c>
      <c r="Q581" s="134">
        <v>80111600</v>
      </c>
      <c r="R581" s="173" t="s">
        <v>209</v>
      </c>
      <c r="S581" s="173" t="str">
        <f>MID(PAA[[#This Row],[Meta Proyecto de Inversión]],1,4)</f>
        <v>8126</v>
      </c>
      <c r="T581" s="173" t="str">
        <f>MID(PAA[[#This Row],[Meta Proyecto de Inversión]],6,1)</f>
        <v>1</v>
      </c>
      <c r="U581" s="178" t="str">
        <f>IFERROR(VLOOKUP(N581,TD!$B$50:$F$54,2,0)," ")</f>
        <v>O230117</v>
      </c>
      <c r="V581" s="178" t="str">
        <f>IFERROR(VLOOKUP(N581,TD!$B$50:$F$54,3,0)," ")</f>
        <v>4599</v>
      </c>
      <c r="W581" s="178">
        <f>IFERROR(VLOOKUP(N581,TD!$B$50:$F$54,4,0)," ")</f>
        <v>20240207</v>
      </c>
      <c r="X581" s="173" t="s">
        <v>182</v>
      </c>
      <c r="Y581" s="163" t="str">
        <f>IFERROR(VLOOKUP(X581,TD!$J$51:$K$64,2,0)," ")</f>
        <v>Servicios para la planeación y sistemas de gestión y comunicación estratégica</v>
      </c>
      <c r="Z581" s="175" t="str">
        <f>CONCATENATE(X581,"-",Y581)</f>
        <v>13-Servicios para la planeación y sistemas de gestión y comunicación estratégica</v>
      </c>
      <c r="AA581" s="173" t="s">
        <v>231</v>
      </c>
      <c r="AB581" s="163" t="str">
        <f>IFERROR(VLOOKUP(AA581,TD!$N$51:$O$66,2,0)," ")</f>
        <v>Documentos de planeación</v>
      </c>
      <c r="AC581" s="175" t="str">
        <f>CONCATENATE(AA581,"_",AB581)</f>
        <v>019_Documentos de planeación</v>
      </c>
      <c r="AD581" s="175" t="str">
        <f>CONCATENATE(Z581," ",AC581)</f>
        <v>13-Servicios para la planeación y sistemas de gestión y comunicación estratégica 019_Documentos de planeación</v>
      </c>
      <c r="AE581" s="178" t="str">
        <f>CONCATENATE(U581,V581,W581,X581,AA581)</f>
        <v>O23011745992024020713019</v>
      </c>
      <c r="AF581" s="163" t="str">
        <f>IFERROR(VLOOKUP(AD581,TD!$J$66:$K$89,2,0)," ")</f>
        <v>PM/0131/0113/45990190207</v>
      </c>
      <c r="AG581" s="135" t="s">
        <v>385</v>
      </c>
      <c r="AH581" s="170" t="s">
        <v>193</v>
      </c>
      <c r="AI581" s="209" t="str">
        <f>CONCATENATE(PAA[[#This Row],[Id Interno]],"-",PAA[[#This Row],[tipo de Contrato (TH talento humano - B/S bienes y/o servicios)]],"-",S581,"-",T581,"-",PAA[[#This Row],[Objeto de la contratación]])</f>
        <v>20260568-TH-8126-1-Prestación de servicios profesionales en asuntos de comunicaciones para realizar el cubrimiento periodístico, fotográfico y audiovisual de las actividades operativas y misionales de la UAECOB, así como la elaboración de contenidos informativos para su difusión.</v>
      </c>
    </row>
    <row r="582" spans="2:35" ht="84" x14ac:dyDescent="0.35">
      <c r="B582" s="142">
        <v>20260569</v>
      </c>
      <c r="C582" s="121" t="s">
        <v>896</v>
      </c>
      <c r="D582" s="130" t="s">
        <v>105</v>
      </c>
      <c r="E582" s="130" t="s">
        <v>363</v>
      </c>
      <c r="F582" s="130" t="s">
        <v>144</v>
      </c>
      <c r="G582" s="131" t="s">
        <v>379</v>
      </c>
      <c r="H582" s="137">
        <v>7</v>
      </c>
      <c r="I582" s="137">
        <v>0</v>
      </c>
      <c r="J582" s="132">
        <f>36050000-36050000</f>
        <v>0</v>
      </c>
      <c r="K582" s="133" t="s">
        <v>398</v>
      </c>
      <c r="L582" s="177" t="s">
        <v>150</v>
      </c>
      <c r="M582" s="173" t="s">
        <v>401</v>
      </c>
      <c r="N582" s="130" t="s">
        <v>197</v>
      </c>
      <c r="O582" s="151" t="s">
        <v>945</v>
      </c>
      <c r="P582" s="173" t="s">
        <v>348</v>
      </c>
      <c r="Q582" s="134">
        <v>80111600</v>
      </c>
      <c r="R582" s="173" t="s">
        <v>209</v>
      </c>
      <c r="S582" s="173" t="str">
        <f>MID(PAA[[#This Row],[Meta Proyecto de Inversión]],1,4)</f>
        <v>8126</v>
      </c>
      <c r="T582" s="173" t="str">
        <f>MID(PAA[[#This Row],[Meta Proyecto de Inversión]],6,1)</f>
        <v>1</v>
      </c>
      <c r="U582" s="178" t="str">
        <f>IFERROR(VLOOKUP(N582,TD!$B$50:$F$54,2,0)," ")</f>
        <v>O230117</v>
      </c>
      <c r="V582" s="178" t="str">
        <f>IFERROR(VLOOKUP(N582,TD!$B$50:$F$54,3,0)," ")</f>
        <v>4599</v>
      </c>
      <c r="W582" s="178">
        <f>IFERROR(VLOOKUP(N582,TD!$B$50:$F$54,4,0)," ")</f>
        <v>20240207</v>
      </c>
      <c r="X582" s="173" t="s">
        <v>182</v>
      </c>
      <c r="Y582" s="163" t="str">
        <f>IFERROR(VLOOKUP(X582,TD!$J$51:$K$64,2,0)," ")</f>
        <v>Servicios para la planeación y sistemas de gestión y comunicación estratégica</v>
      </c>
      <c r="Z582" s="175" t="str">
        <f>CONCATENATE(X582,"-",Y582)</f>
        <v>13-Servicios para la planeación y sistemas de gestión y comunicación estratégica</v>
      </c>
      <c r="AA582" s="173" t="s">
        <v>231</v>
      </c>
      <c r="AB582" s="163" t="str">
        <f>IFERROR(VLOOKUP(AA582,TD!$N$51:$O$66,2,0)," ")</f>
        <v>Documentos de planeación</v>
      </c>
      <c r="AC582" s="175" t="str">
        <f>CONCATENATE(AA582,"_",AB582)</f>
        <v>019_Documentos de planeación</v>
      </c>
      <c r="AD582" s="175" t="str">
        <f>CONCATENATE(Z582," ",AC582)</f>
        <v>13-Servicios para la planeación y sistemas de gestión y comunicación estratégica 019_Documentos de planeación</v>
      </c>
      <c r="AE582" s="178" t="str">
        <f>CONCATENATE(U582,V582,W582,X582,AA582)</f>
        <v>O23011745992024020713019</v>
      </c>
      <c r="AF582" s="163" t="str">
        <f>IFERROR(VLOOKUP(AD582,TD!$J$66:$K$89,2,0)," ")</f>
        <v>PM/0131/0113/45990190207</v>
      </c>
      <c r="AG582" s="135" t="s">
        <v>385</v>
      </c>
      <c r="AH582" s="170" t="s">
        <v>193</v>
      </c>
      <c r="AI582" s="209" t="str">
        <f>CONCATENATE(PAA[[#This Row],[Id Interno]],"-",PAA[[#This Row],[tipo de Contrato (TH talento humano - B/S bienes y/o servicios)]],"-",S582,"-",T582,"-",PAA[[#This Row],[Objeto de la contratación]])</f>
        <v>20260569-TH-8126-1-Prestación de servicios profesionales en la Dirección para el acompañamiento en las labores de gestión administrativa, en asuntos propios de comunicaciones y prensa de la UAECOB</v>
      </c>
    </row>
    <row r="583" spans="2:35" ht="112" x14ac:dyDescent="0.35">
      <c r="B583" s="142">
        <v>20260570</v>
      </c>
      <c r="C583" s="121" t="s">
        <v>907</v>
      </c>
      <c r="D583" s="130" t="s">
        <v>105</v>
      </c>
      <c r="E583" s="130" t="s">
        <v>363</v>
      </c>
      <c r="F583" s="130" t="s">
        <v>144</v>
      </c>
      <c r="G583" s="131" t="s">
        <v>374</v>
      </c>
      <c r="H583" s="137">
        <v>6</v>
      </c>
      <c r="I583" s="137">
        <v>0</v>
      </c>
      <c r="J583" s="132">
        <v>55200000</v>
      </c>
      <c r="K583" s="133" t="s">
        <v>398</v>
      </c>
      <c r="L583" s="177" t="s">
        <v>150</v>
      </c>
      <c r="M583" s="173" t="s">
        <v>401</v>
      </c>
      <c r="N583" s="130" t="s">
        <v>197</v>
      </c>
      <c r="O583" s="151" t="s">
        <v>945</v>
      </c>
      <c r="P583" s="173" t="s">
        <v>348</v>
      </c>
      <c r="Q583" s="134">
        <v>80111600</v>
      </c>
      <c r="R583" s="173" t="s">
        <v>209</v>
      </c>
      <c r="S583" s="173" t="str">
        <f>MID(PAA[[#This Row],[Meta Proyecto de Inversión]],1,4)</f>
        <v>8126</v>
      </c>
      <c r="T583" s="173" t="str">
        <f>MID(PAA[[#This Row],[Meta Proyecto de Inversión]],6,1)</f>
        <v>1</v>
      </c>
      <c r="U583" s="178" t="str">
        <f>IFERROR(VLOOKUP(N583,TD!$B$50:$F$54,2,0)," ")</f>
        <v>O230117</v>
      </c>
      <c r="V583" s="178" t="str">
        <f>IFERROR(VLOOKUP(N583,TD!$B$50:$F$54,3,0)," ")</f>
        <v>4599</v>
      </c>
      <c r="W583" s="178">
        <f>IFERROR(VLOOKUP(N583,TD!$B$50:$F$54,4,0)," ")</f>
        <v>20240207</v>
      </c>
      <c r="X583" s="173" t="s">
        <v>182</v>
      </c>
      <c r="Y583" s="163" t="str">
        <f>IFERROR(VLOOKUP(X583,TD!$J$51:$K$64,2,0)," ")</f>
        <v>Servicios para la planeación y sistemas de gestión y comunicación estratégica</v>
      </c>
      <c r="Z583" s="175" t="str">
        <f>CONCATENATE(X583,"-",Y583)</f>
        <v>13-Servicios para la planeación y sistemas de gestión y comunicación estratégica</v>
      </c>
      <c r="AA583" s="173" t="s">
        <v>231</v>
      </c>
      <c r="AB583" s="163" t="str">
        <f>IFERROR(VLOOKUP(AA583,TD!$N$51:$O$66,2,0)," ")</f>
        <v>Documentos de planeación</v>
      </c>
      <c r="AC583" s="175" t="str">
        <f>CONCATENATE(AA583,"_",AB583)</f>
        <v>019_Documentos de planeación</v>
      </c>
      <c r="AD583" s="175" t="str">
        <f>CONCATENATE(Z583," ",AC583)</f>
        <v>13-Servicios para la planeación y sistemas de gestión y comunicación estratégica 019_Documentos de planeación</v>
      </c>
      <c r="AE583" s="178" t="str">
        <f>CONCATENATE(U583,V583,W583,X583,AA583)</f>
        <v>O23011745992024020713019</v>
      </c>
      <c r="AF583" s="163" t="str">
        <f>IFERROR(VLOOKUP(AD583,TD!$J$66:$K$89,2,0)," ")</f>
        <v>PM/0131/0113/45990190207</v>
      </c>
      <c r="AG583" s="135" t="s">
        <v>385</v>
      </c>
      <c r="AH583" s="170" t="s">
        <v>193</v>
      </c>
      <c r="AI583" s="209" t="str">
        <f>CONCATENATE(PAA[[#This Row],[Id Interno]],"-",PAA[[#This Row],[tipo de Contrato (TH talento humano - B/S bienes y/o servicios)]],"-",S583,"-",T583,"-",PAA[[#This Row],[Objeto de la contratación]])</f>
        <v>20260570-TH-8126-1-Prestación de servicios profesionales en asuntos de comunicaciones y prensa para revisar los procesos de comunicación de entidad con el fin de evaluar su eficacia interna y externa y detectar ineficiencias en los canales de comunicación</v>
      </c>
    </row>
    <row r="584" spans="2:35" ht="56" x14ac:dyDescent="0.35">
      <c r="B584" s="142">
        <v>20260571</v>
      </c>
      <c r="C584" s="121" t="s">
        <v>819</v>
      </c>
      <c r="D584" s="130" t="s">
        <v>83</v>
      </c>
      <c r="E584" s="130" t="s">
        <v>402</v>
      </c>
      <c r="F584" s="130" t="s">
        <v>143</v>
      </c>
      <c r="G584" s="131" t="s">
        <v>376</v>
      </c>
      <c r="H584" s="137">
        <v>10</v>
      </c>
      <c r="I584" s="137">
        <v>0</v>
      </c>
      <c r="J584" s="132">
        <v>400000000</v>
      </c>
      <c r="K584" s="133" t="s">
        <v>398</v>
      </c>
      <c r="L584" s="177" t="s">
        <v>45</v>
      </c>
      <c r="M584" s="173" t="s">
        <v>401</v>
      </c>
      <c r="N584" s="130" t="s">
        <v>197</v>
      </c>
      <c r="O584" s="151" t="s">
        <v>945</v>
      </c>
      <c r="P584" s="173" t="s">
        <v>348</v>
      </c>
      <c r="Q584" s="134" t="s">
        <v>820</v>
      </c>
      <c r="R584" s="173" t="s">
        <v>208</v>
      </c>
      <c r="S584" s="173" t="str">
        <f>MID(PAA[[#This Row],[Meta Proyecto de Inversión]],1,4)</f>
        <v>8126</v>
      </c>
      <c r="T584" s="173" t="str">
        <f>MID(PAA[[#This Row],[Meta Proyecto de Inversión]],6,1)</f>
        <v>9</v>
      </c>
      <c r="U584" s="178" t="str">
        <f>IFERROR(VLOOKUP(N584,TD!$B$50:$F$54,2,0)," ")</f>
        <v>O230117</v>
      </c>
      <c r="V584" s="178" t="str">
        <f>IFERROR(VLOOKUP(N584,TD!$B$50:$F$54,3,0)," ")</f>
        <v>4599</v>
      </c>
      <c r="W584" s="178">
        <f>IFERROR(VLOOKUP(N584,TD!$B$50:$F$54,4,0)," ")</f>
        <v>20240207</v>
      </c>
      <c r="X584" s="173" t="s">
        <v>174</v>
      </c>
      <c r="Y584" s="163" t="str">
        <f>IFERROR(VLOOKUP(X584,TD!$J$51:$K$64,2,0)," ")</f>
        <v>Infraestructura física, mantenimiento y dotación (Sedes construidas, mantenidas reforzadas)</v>
      </c>
      <c r="Z584" s="175" t="str">
        <f>CONCATENATE(X584,"-",Y584)</f>
        <v>08-Infraestructura física, mantenimiento y dotación (Sedes construidas, mantenidas reforzadas)</v>
      </c>
      <c r="AA584" s="173" t="s">
        <v>227</v>
      </c>
      <c r="AB584" s="163" t="str">
        <f>IFERROR(VLOOKUP(AA584,TD!$N$51:$O$66,2,0)," ")</f>
        <v>Sedes mantenidas</v>
      </c>
      <c r="AC584" s="175" t="str">
        <f>CONCATENATE(AA584,"_",AB584)</f>
        <v>016_Sedes mantenidas</v>
      </c>
      <c r="AD584" s="175" t="str">
        <f>CONCATENATE(Z584," ",AC584)</f>
        <v>08-Infraestructura física, mantenimiento y dotación (Sedes construidas, mantenidas reforzadas) 016_Sedes mantenidas</v>
      </c>
      <c r="AE584" s="178" t="str">
        <f>CONCATENATE(U584,V584,W584,X584,AA584)</f>
        <v>O23011745992024020708016</v>
      </c>
      <c r="AF584" s="163" t="str">
        <f>IFERROR(VLOOKUP(AD584,TD!$J$66:$K$89,2,0)," ")</f>
        <v>PM/0131/0108/45990160207</v>
      </c>
      <c r="AG584" s="135" t="s">
        <v>919</v>
      </c>
      <c r="AH584" s="170" t="s">
        <v>193</v>
      </c>
      <c r="AI584" s="209" t="str">
        <f>CONCATENATE(PAA[[#This Row],[Id Interno]],"-",PAA[[#This Row],[tipo de Contrato (TH talento humano - B/S bienes y/o servicios)]],"-",S584,"-",T584,"-",PAA[[#This Row],[Objeto de la contratación]])</f>
        <v>20260571-BS-8126-9-Prestación de servicios como operador logístico, relacionados con la organización, administración y ejecución de las diferentes temáticas que fortalezcan la misionalidad de la entidad a través de la protección de la vida, el medio ambiente y el patrimonio</v>
      </c>
    </row>
    <row r="585" spans="2:35" ht="56" x14ac:dyDescent="0.35">
      <c r="B585" s="142">
        <v>20260572</v>
      </c>
      <c r="C585" s="121" t="s">
        <v>557</v>
      </c>
      <c r="D585" s="130" t="s">
        <v>105</v>
      </c>
      <c r="E585" s="130" t="s">
        <v>363</v>
      </c>
      <c r="F585" s="130" t="s">
        <v>144</v>
      </c>
      <c r="G585" s="131" t="s">
        <v>373</v>
      </c>
      <c r="H585" s="137">
        <v>6</v>
      </c>
      <c r="I585" s="137">
        <v>0</v>
      </c>
      <c r="J585" s="132">
        <v>30000000</v>
      </c>
      <c r="K585" s="133" t="s">
        <v>398</v>
      </c>
      <c r="L585" s="177" t="s">
        <v>156</v>
      </c>
      <c r="M585" s="173" t="s">
        <v>502</v>
      </c>
      <c r="N585" s="130" t="s">
        <v>198</v>
      </c>
      <c r="O585" s="151" t="s">
        <v>946</v>
      </c>
      <c r="P585" s="173" t="s">
        <v>348</v>
      </c>
      <c r="Q585" s="134">
        <v>80111600</v>
      </c>
      <c r="R585" s="173" t="s">
        <v>214</v>
      </c>
      <c r="S585" s="173" t="str">
        <f>MID(PAA[[#This Row],[Meta Proyecto de Inversión]],1,4)</f>
        <v>8173</v>
      </c>
      <c r="T585" s="173" t="str">
        <f>MID(PAA[[#This Row],[Meta Proyecto de Inversión]],6,1)</f>
        <v>5</v>
      </c>
      <c r="U585" s="178" t="str">
        <f>IFERROR(VLOOKUP(N585,TD!$B$50:$F$54,2,0)," ")</f>
        <v>O230117</v>
      </c>
      <c r="V585" s="178" t="str">
        <f>IFERROR(VLOOKUP(N585,TD!$B$50:$F$54,3,0)," ")</f>
        <v>4503</v>
      </c>
      <c r="W585" s="178">
        <f>IFERROR(VLOOKUP(N585,TD!$B$50:$F$54,4,0)," ")</f>
        <v>20240255</v>
      </c>
      <c r="X585" s="173">
        <v>16</v>
      </c>
      <c r="Y585" s="163" t="str">
        <f>IFERROR(VLOOKUP(X585,TD!$J$51:$K$64,2,0)," ")</f>
        <v>Servicio de monitoreo y seguimiento para la gestión del riesgo</v>
      </c>
      <c r="Z585" s="175" t="str">
        <f>CONCATENATE(X585,"-",Y585)</f>
        <v>16-Servicio de monitoreo y seguimiento para la gestión del riesgo</v>
      </c>
      <c r="AA585" s="173" t="s">
        <v>224</v>
      </c>
      <c r="AB585" s="163" t="str">
        <f>IFERROR(VLOOKUP(AA585,TD!$N$51:$O$66,2,0)," ")</f>
        <v>Servicio de monitoreo y seguimiento para la gestión del riesgo</v>
      </c>
      <c r="AC585" s="175" t="str">
        <f>CONCATENATE(AA585,"_",AB585)</f>
        <v>018_Servicio de monitoreo y seguimiento para la gestión del riesgo</v>
      </c>
      <c r="AD585" s="175" t="str">
        <f>CONCATENATE(Z585," ",AC585)</f>
        <v>16-Servicio de monitoreo y seguimiento para la gestión del riesgo 018_Servicio de monitoreo y seguimiento para la gestión del riesgo</v>
      </c>
      <c r="AE585" s="178" t="str">
        <f>CONCATENATE(U585,V585,W585,X585,AA585)</f>
        <v>O23011745032024025516018</v>
      </c>
      <c r="AF585" s="163" t="str">
        <f>IFERROR(VLOOKUP(AD585,TD!$J$66:$K$89,2,0)," ")</f>
        <v>PM/0131/0116/45030180255</v>
      </c>
      <c r="AG585" s="135" t="s">
        <v>385</v>
      </c>
      <c r="AH585" s="170" t="s">
        <v>193</v>
      </c>
      <c r="AI585" s="209" t="str">
        <f>CONCATENATE(PAA[[#This Row],[Id Interno]],"-",PAA[[#This Row],[tipo de Contrato (TH talento humano - B/S bienes y/o servicios)]],"-",S585,"-",T585,"-",PAA[[#This Row],[Objeto de la contratación]])</f>
        <v>20260572-TH-8173-5-Prestar  servicios profesionales  en las actividades de proyeccion e innovacion para la Subdirección de Gestión del Riesgo._SGR</v>
      </c>
    </row>
    <row r="586" spans="2:35" ht="84" x14ac:dyDescent="0.35">
      <c r="B586" s="142">
        <v>20260573</v>
      </c>
      <c r="C586" s="121" t="s">
        <v>557</v>
      </c>
      <c r="D586" s="130" t="s">
        <v>105</v>
      </c>
      <c r="E586" s="130" t="s">
        <v>363</v>
      </c>
      <c r="F586" s="130" t="s">
        <v>144</v>
      </c>
      <c r="G586" s="131" t="s">
        <v>373</v>
      </c>
      <c r="H586" s="137">
        <v>6</v>
      </c>
      <c r="I586" s="137">
        <v>0</v>
      </c>
      <c r="J586" s="132">
        <v>36000000</v>
      </c>
      <c r="K586" s="133" t="s">
        <v>398</v>
      </c>
      <c r="L586" s="177" t="s">
        <v>156</v>
      </c>
      <c r="M586" s="173" t="s">
        <v>502</v>
      </c>
      <c r="N586" s="130" t="s">
        <v>198</v>
      </c>
      <c r="O586" s="151" t="s">
        <v>946</v>
      </c>
      <c r="P586" s="173" t="s">
        <v>348</v>
      </c>
      <c r="Q586" s="134">
        <v>80111600</v>
      </c>
      <c r="R586" s="173" t="s">
        <v>214</v>
      </c>
      <c r="S586" s="173" t="str">
        <f>MID(PAA[[#This Row],[Meta Proyecto de Inversión]],1,4)</f>
        <v>8173</v>
      </c>
      <c r="T586" s="173" t="str">
        <f>MID(PAA[[#This Row],[Meta Proyecto de Inversión]],6,1)</f>
        <v>5</v>
      </c>
      <c r="U586" s="178" t="str">
        <f>IFERROR(VLOOKUP(N586,TD!$B$50:$F$54,2,0)," ")</f>
        <v>O230117</v>
      </c>
      <c r="V586" s="178" t="str">
        <f>IFERROR(VLOOKUP(N586,TD!$B$50:$F$54,3,0)," ")</f>
        <v>4503</v>
      </c>
      <c r="W586" s="178">
        <f>IFERROR(VLOOKUP(N586,TD!$B$50:$F$54,4,0)," ")</f>
        <v>20240255</v>
      </c>
      <c r="X586" s="173">
        <v>16</v>
      </c>
      <c r="Y586" s="163" t="str">
        <f>IFERROR(VLOOKUP(X586,TD!$J$51:$K$64,2,0)," ")</f>
        <v>Servicio de monitoreo y seguimiento para la gestión del riesgo</v>
      </c>
      <c r="Z586" s="175" t="str">
        <f>CONCATENATE(X586,"-",Y586)</f>
        <v>16-Servicio de monitoreo y seguimiento para la gestión del riesgo</v>
      </c>
      <c r="AA586" s="173" t="s">
        <v>224</v>
      </c>
      <c r="AB586" s="163" t="str">
        <f>IFERROR(VLOOKUP(AA586,TD!$N$51:$O$66,2,0)," ")</f>
        <v>Servicio de monitoreo y seguimiento para la gestión del riesgo</v>
      </c>
      <c r="AC586" s="175" t="str">
        <f>CONCATENATE(AA586,"_",AB586)</f>
        <v>018_Servicio de monitoreo y seguimiento para la gestión del riesgo</v>
      </c>
      <c r="AD586" s="175" t="str">
        <f>CONCATENATE(Z586," ",AC586)</f>
        <v>16-Servicio de monitoreo y seguimiento para la gestión del riesgo 018_Servicio de monitoreo y seguimiento para la gestión del riesgo</v>
      </c>
      <c r="AE586" s="178" t="str">
        <f>CONCATENATE(U586,V586,W586,X586,AA586)</f>
        <v>O23011745032024025516018</v>
      </c>
      <c r="AF586" s="163" t="str">
        <f>IFERROR(VLOOKUP(AD586,TD!$J$66:$K$89,2,0)," ")</f>
        <v>PM/0131/0116/45030180255</v>
      </c>
      <c r="AG586" s="135" t="s">
        <v>385</v>
      </c>
      <c r="AH586" s="170" t="s">
        <v>193</v>
      </c>
      <c r="AI586" s="209" t="str">
        <f>CONCATENATE(PAA[[#This Row],[Id Interno]],"-",PAA[[#This Row],[tipo de Contrato (TH talento humano - B/S bienes y/o servicios)]],"-",S586,"-",T586,"-",PAA[[#This Row],[Objeto de la contratación]])</f>
        <v>20260573-TH-8173-5-Prestar  servicios profesionales  en las actividades de proyeccion e innovacion para la Subdirección de Gestión del Riesgo._SGR</v>
      </c>
    </row>
    <row r="587" spans="2:35" ht="98" x14ac:dyDescent="0.35">
      <c r="B587" s="142">
        <v>20260574</v>
      </c>
      <c r="C587" s="121" t="s">
        <v>557</v>
      </c>
      <c r="D587" s="130" t="s">
        <v>105</v>
      </c>
      <c r="E587" s="130" t="s">
        <v>363</v>
      </c>
      <c r="F587" s="130" t="s">
        <v>144</v>
      </c>
      <c r="G587" s="131" t="s">
        <v>373</v>
      </c>
      <c r="H587" s="137">
        <v>6</v>
      </c>
      <c r="I587" s="137">
        <v>0</v>
      </c>
      <c r="J587" s="132">
        <v>54600000</v>
      </c>
      <c r="K587" s="133" t="s">
        <v>398</v>
      </c>
      <c r="L587" s="177" t="s">
        <v>156</v>
      </c>
      <c r="M587" s="173" t="s">
        <v>502</v>
      </c>
      <c r="N587" s="130" t="s">
        <v>198</v>
      </c>
      <c r="O587" s="151" t="s">
        <v>946</v>
      </c>
      <c r="P587" s="173" t="s">
        <v>348</v>
      </c>
      <c r="Q587" s="134">
        <v>80111600</v>
      </c>
      <c r="R587" s="173" t="s">
        <v>214</v>
      </c>
      <c r="S587" s="173" t="str">
        <f>MID(PAA[[#This Row],[Meta Proyecto de Inversión]],1,4)</f>
        <v>8173</v>
      </c>
      <c r="T587" s="173" t="str">
        <f>MID(PAA[[#This Row],[Meta Proyecto de Inversión]],6,1)</f>
        <v>5</v>
      </c>
      <c r="U587" s="178" t="str">
        <f>IFERROR(VLOOKUP(N587,TD!$B$50:$F$54,2,0)," ")</f>
        <v>O230117</v>
      </c>
      <c r="V587" s="178" t="str">
        <f>IFERROR(VLOOKUP(N587,TD!$B$50:$F$54,3,0)," ")</f>
        <v>4503</v>
      </c>
      <c r="W587" s="178">
        <f>IFERROR(VLOOKUP(N587,TD!$B$50:$F$54,4,0)," ")</f>
        <v>20240255</v>
      </c>
      <c r="X587" s="173">
        <v>16</v>
      </c>
      <c r="Y587" s="163" t="str">
        <f>IFERROR(VLOOKUP(X587,TD!$J$51:$K$64,2,0)," ")</f>
        <v>Servicio de monitoreo y seguimiento para la gestión del riesgo</v>
      </c>
      <c r="Z587" s="175" t="str">
        <f>CONCATENATE(X587,"-",Y587)</f>
        <v>16-Servicio de monitoreo y seguimiento para la gestión del riesgo</v>
      </c>
      <c r="AA587" s="173" t="s">
        <v>224</v>
      </c>
      <c r="AB587" s="163" t="str">
        <f>IFERROR(VLOOKUP(AA587,TD!$N$51:$O$66,2,0)," ")</f>
        <v>Servicio de monitoreo y seguimiento para la gestión del riesgo</v>
      </c>
      <c r="AC587" s="175" t="str">
        <f>CONCATENATE(AA587,"_",AB587)</f>
        <v>018_Servicio de monitoreo y seguimiento para la gestión del riesgo</v>
      </c>
      <c r="AD587" s="175" t="str">
        <f>CONCATENATE(Z587," ",AC587)</f>
        <v>16-Servicio de monitoreo y seguimiento para la gestión del riesgo 018_Servicio de monitoreo y seguimiento para la gestión del riesgo</v>
      </c>
      <c r="AE587" s="178" t="str">
        <f>CONCATENATE(U587,V587,W587,X587,AA587)</f>
        <v>O23011745032024025516018</v>
      </c>
      <c r="AF587" s="163" t="str">
        <f>IFERROR(VLOOKUP(AD587,TD!$J$66:$K$89,2,0)," ")</f>
        <v>PM/0131/0116/45030180255</v>
      </c>
      <c r="AG587" s="135" t="s">
        <v>385</v>
      </c>
      <c r="AH587" s="170" t="s">
        <v>193</v>
      </c>
      <c r="AI587" s="181" t="str">
        <f>CONCATENATE(PAA[[#This Row],[Id Interno]],"-",PAA[[#This Row],[tipo de Contrato (TH talento humano - B/S bienes y/o servicios)]],"-",S587,"-",T587,"-",PAA[[#This Row],[Objeto de la contratación]])</f>
        <v>20260574-TH-8173-5-Prestar  servicios profesionales  en las actividades de proyeccion e innovacion para la Subdirección de Gestión del Riesgo._SGR</v>
      </c>
    </row>
    <row r="588" spans="2:35" ht="56" x14ac:dyDescent="0.35">
      <c r="B588" s="142">
        <v>20260575</v>
      </c>
      <c r="C588" s="121" t="s">
        <v>909</v>
      </c>
      <c r="D588" s="130" t="s">
        <v>105</v>
      </c>
      <c r="E588" s="130" t="s">
        <v>363</v>
      </c>
      <c r="F588" s="130" t="s">
        <v>144</v>
      </c>
      <c r="G588" s="131" t="s">
        <v>373</v>
      </c>
      <c r="H588" s="137">
        <v>8</v>
      </c>
      <c r="I588" s="137">
        <v>0</v>
      </c>
      <c r="J588" s="132">
        <v>56000000</v>
      </c>
      <c r="K588" s="133" t="s">
        <v>398</v>
      </c>
      <c r="L588" s="177" t="s">
        <v>154</v>
      </c>
      <c r="M588" s="173" t="s">
        <v>451</v>
      </c>
      <c r="N588" s="130" t="s">
        <v>198</v>
      </c>
      <c r="O588" s="151" t="s">
        <v>946</v>
      </c>
      <c r="P588" s="173" t="s">
        <v>348</v>
      </c>
      <c r="Q588" s="134">
        <v>80111600</v>
      </c>
      <c r="R588" s="173" t="s">
        <v>218</v>
      </c>
      <c r="S588" s="173" t="str">
        <f>MID(PAA[[#This Row],[Meta Proyecto de Inversión]],1,4)</f>
        <v>8173</v>
      </c>
      <c r="T588" s="173" t="str">
        <f>MID(PAA[[#This Row],[Meta Proyecto de Inversión]],6,1)</f>
        <v>9</v>
      </c>
      <c r="U588" s="178" t="str">
        <f>IFERROR(VLOOKUP(N588,TD!$B$50:$F$54,2,0)," ")</f>
        <v>O230117</v>
      </c>
      <c r="V588" s="178" t="str">
        <f>IFERROR(VLOOKUP(N588,TD!$B$50:$F$54,3,0)," ")</f>
        <v>4503</v>
      </c>
      <c r="W588" s="178">
        <f>IFERROR(VLOOKUP(N588,TD!$B$50:$F$54,4,0)," ")</f>
        <v>20240255</v>
      </c>
      <c r="X588" s="173" t="s">
        <v>172</v>
      </c>
      <c r="Y588" s="163" t="str">
        <f>IFERROR(VLOOKUP(X588,TD!$J$51:$K$64,2,0)," ")</f>
        <v>Servicio de formación en gestión del riesgo de incendios para el personal UAECOB</v>
      </c>
      <c r="Z588" s="175" t="str">
        <f>CONCATENATE(X588,"-",Y588)</f>
        <v>07-Servicio de formación en gestión del riesgo de incendios para el personal UAECOB</v>
      </c>
      <c r="AA588" s="173" t="s">
        <v>222</v>
      </c>
      <c r="AB588" s="163" t="str">
        <f>IFERROR(VLOOKUP(AA588,TD!$N$51:$O$66,2,0)," ")</f>
        <v>Servicio de educación informal</v>
      </c>
      <c r="AC588" s="175" t="str">
        <f>CONCATENATE(AA588,"_",AB588)</f>
        <v>002_Servicio de educación informal</v>
      </c>
      <c r="AD588" s="175" t="str">
        <f>CONCATENATE(Z588," ",AC588)</f>
        <v>07-Servicio de formación en gestión del riesgo de incendios para el personal UAECOB 002_Servicio de educación informal</v>
      </c>
      <c r="AE588" s="178" t="str">
        <f>CONCATENATE(U588,V588,W588,X588,AA588)</f>
        <v>O23011745032024025507002</v>
      </c>
      <c r="AF588" s="163" t="str">
        <f>IFERROR(VLOOKUP(AD588,TD!$J$66:$K$89,2,0)," ")</f>
        <v>PM/0131/0107/45030020255</v>
      </c>
      <c r="AG588" s="135" t="s">
        <v>385</v>
      </c>
      <c r="AH588" s="180" t="s">
        <v>193</v>
      </c>
      <c r="AI588" s="181" t="str">
        <f>CONCATENATE(PAA[[#This Row],[Id Interno]],"-",PAA[[#This Row],[tipo de Contrato (TH talento humano - B/S bienes y/o servicios)]],"-",S588,"-",T588,"-",PAA[[#This Row],[Objeto de la contratación]])</f>
        <v>20260575-TH-8173-9-SGH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v>
      </c>
    </row>
    <row r="589" spans="2:35" ht="42" x14ac:dyDescent="0.35">
      <c r="B589" s="142">
        <v>20260576</v>
      </c>
      <c r="C589" s="121" t="s">
        <v>908</v>
      </c>
      <c r="D589" s="130" t="s">
        <v>105</v>
      </c>
      <c r="E589" s="130" t="s">
        <v>363</v>
      </c>
      <c r="F589" s="130" t="s">
        <v>144</v>
      </c>
      <c r="G589" s="131" t="s">
        <v>374</v>
      </c>
      <c r="H589" s="137">
        <v>6</v>
      </c>
      <c r="I589" s="137">
        <v>0</v>
      </c>
      <c r="J589" s="132">
        <v>40800000</v>
      </c>
      <c r="K589" s="133" t="s">
        <v>398</v>
      </c>
      <c r="L589" s="177" t="s">
        <v>150</v>
      </c>
      <c r="M589" s="173" t="s">
        <v>401</v>
      </c>
      <c r="N589" s="130" t="s">
        <v>197</v>
      </c>
      <c r="O589" s="151" t="s">
        <v>945</v>
      </c>
      <c r="P589" s="173" t="s">
        <v>348</v>
      </c>
      <c r="Q589" s="134">
        <v>80111600</v>
      </c>
      <c r="R589" s="173" t="s">
        <v>209</v>
      </c>
      <c r="S589" s="173" t="str">
        <f>MID(PAA[[#This Row],[Meta Proyecto de Inversión]],1,4)</f>
        <v>8126</v>
      </c>
      <c r="T589" s="173" t="str">
        <f>MID(PAA[[#This Row],[Meta Proyecto de Inversión]],6,1)</f>
        <v>1</v>
      </c>
      <c r="U589" s="178" t="str">
        <f>IFERROR(VLOOKUP(N589,TD!$B$50:$F$54,2,0)," ")</f>
        <v>O230117</v>
      </c>
      <c r="V589" s="178" t="str">
        <f>IFERROR(VLOOKUP(N589,TD!$B$50:$F$54,3,0)," ")</f>
        <v>4599</v>
      </c>
      <c r="W589" s="178">
        <f>IFERROR(VLOOKUP(N589,TD!$B$50:$F$54,4,0)," ")</f>
        <v>20240207</v>
      </c>
      <c r="X589" s="173" t="s">
        <v>182</v>
      </c>
      <c r="Y589" s="163" t="str">
        <f>IFERROR(VLOOKUP(X589,TD!$J$51:$K$64,2,0)," ")</f>
        <v>Servicios para la planeación y sistemas de gestión y comunicación estratégica</v>
      </c>
      <c r="Z589" s="175" t="str">
        <f>CONCATENATE(X589,"-",Y589)</f>
        <v>13-Servicios para la planeación y sistemas de gestión y comunicación estratégica</v>
      </c>
      <c r="AA589" s="173" t="s">
        <v>231</v>
      </c>
      <c r="AB589" s="163" t="str">
        <f>IFERROR(VLOOKUP(AA589,TD!$N$51:$O$66,2,0)," ")</f>
        <v>Documentos de planeación</v>
      </c>
      <c r="AC589" s="175" t="str">
        <f>CONCATENATE(AA589,"_",AB589)</f>
        <v>019_Documentos de planeación</v>
      </c>
      <c r="AD589" s="175" t="str">
        <f>CONCATENATE(Z589," ",AC589)</f>
        <v>13-Servicios para la planeación y sistemas de gestión y comunicación estratégica 019_Documentos de planeación</v>
      </c>
      <c r="AE589" s="178" t="str">
        <f>CONCATENATE(U589,V589,W589,X589,AA589)</f>
        <v>O23011745992024020713019</v>
      </c>
      <c r="AF589" s="163" t="str">
        <f>IFERROR(VLOOKUP(AD589,TD!$J$66:$K$89,2,0)," ")</f>
        <v>PM/0131/0113/45990190207</v>
      </c>
      <c r="AG589" s="135" t="s">
        <v>385</v>
      </c>
      <c r="AH589" s="180" t="s">
        <v>193</v>
      </c>
      <c r="AI589" s="181" t="str">
        <f>CONCATENATE(PAA[[#This Row],[Id Interno]],"-",PAA[[#This Row],[tipo de Contrato (TH talento humano - B/S bienes y/o servicios)]],"-",S589,"-",T589,"-",PAA[[#This Row],[Objeto de la contratación]])</f>
        <v>20260576-TH-8126-1-Prestación de servicios profesionales en asuntos de comunicaciones y prensa para detectar las necesidades de la Entidad y facilitar la inserción de nuevas estrategias de comunicación</v>
      </c>
    </row>
    <row r="590" spans="2:35" ht="70" x14ac:dyDescent="0.35">
      <c r="B590" s="142">
        <v>20260577</v>
      </c>
      <c r="C590" s="121" t="s">
        <v>910</v>
      </c>
      <c r="D590" s="130" t="s">
        <v>105</v>
      </c>
      <c r="E590" s="130" t="s">
        <v>363</v>
      </c>
      <c r="F590" s="130" t="s">
        <v>145</v>
      </c>
      <c r="G590" s="131" t="s">
        <v>373</v>
      </c>
      <c r="H590" s="137">
        <v>6</v>
      </c>
      <c r="I590" s="137">
        <v>0</v>
      </c>
      <c r="J590" s="132">
        <v>21600000</v>
      </c>
      <c r="K590" s="133" t="s">
        <v>398</v>
      </c>
      <c r="L590" s="177" t="s">
        <v>157</v>
      </c>
      <c r="M590" s="173" t="s">
        <v>501</v>
      </c>
      <c r="N590" s="130" t="s">
        <v>198</v>
      </c>
      <c r="O590" s="151" t="s">
        <v>946</v>
      </c>
      <c r="P590" s="173" t="s">
        <v>348</v>
      </c>
      <c r="Q590" s="134">
        <v>80111600</v>
      </c>
      <c r="R590" s="173" t="s">
        <v>213</v>
      </c>
      <c r="S590" s="173" t="str">
        <f>MID(PAA[[#This Row],[Meta Proyecto de Inversión]],1,4)</f>
        <v>8173</v>
      </c>
      <c r="T590" s="173" t="str">
        <f>MID(PAA[[#This Row],[Meta Proyecto de Inversión]],6,1)</f>
        <v>4</v>
      </c>
      <c r="U590" s="178" t="str">
        <f>IFERROR(VLOOKUP(N590,TD!$B$50:$F$54,2,0)," ")</f>
        <v>O230117</v>
      </c>
      <c r="V590" s="178" t="str">
        <f>IFERROR(VLOOKUP(N590,TD!$B$50:$F$54,3,0)," ")</f>
        <v>4503</v>
      </c>
      <c r="W590" s="178">
        <f>IFERROR(VLOOKUP(N590,TD!$B$50:$F$54,4,0)," ")</f>
        <v>20240255</v>
      </c>
      <c r="X590" s="173" t="s">
        <v>176</v>
      </c>
      <c r="Y590" s="163" t="str">
        <f>IFERROR(VLOOKUP(X590,TD!$J$51:$K$64,2,0)," ")</f>
        <v>Servicio de mantenimiento, dotación (HEA´s y equipo menor) y adquisición de vehiculos   especializados para la atención de emergencias.</v>
      </c>
      <c r="Z590" s="175" t="str">
        <f>CONCATENATE(X590,"-",Y590)</f>
        <v>09-Servicio de mantenimiento, dotación (HEA´s y equipo menor) y adquisición de vehiculos   especializados para la atención de emergencias.</v>
      </c>
      <c r="AA590" s="173" t="s">
        <v>221</v>
      </c>
      <c r="AB590" s="163" t="str">
        <f>IFERROR(VLOOKUP(AA590,TD!$N$51:$O$66,2,0)," ")</f>
        <v>Servicio de atención a emergencias y desastres</v>
      </c>
      <c r="AC590" s="175" t="str">
        <f>CONCATENATE(AA590,"_",AB590)</f>
        <v>004_Servicio de atención a emergencias y desastres</v>
      </c>
      <c r="AD590" s="175" t="str">
        <f>CONCATENATE(Z590," ",AC590)</f>
        <v>09-Servicio de mantenimiento, dotación (HEA´s y equipo menor) y adquisición de vehiculos   especializados para la atención de emergencias. 004_Servicio de atención a emergencias y desastres</v>
      </c>
      <c r="AE590" s="178" t="str">
        <f>CONCATENATE(U590,V590,W590,X590,AA590)</f>
        <v>O23011745032024025509004</v>
      </c>
      <c r="AF590" s="163" t="str">
        <f>IFERROR(VLOOKUP(AD590,TD!$J$66:$K$89,2,0)," ")</f>
        <v>PM/0131/0109/45030040255</v>
      </c>
      <c r="AG590" s="135" t="s">
        <v>385</v>
      </c>
      <c r="AH590" s="180" t="s">
        <v>193</v>
      </c>
      <c r="AI590" s="181" t="str">
        <f>CONCATENATE(PAA[[#This Row],[Id Interno]],"-",PAA[[#This Row],[tipo de Contrato (TH talento humano - B/S bienes y/o servicios)]],"-",S590,"-",T590,"-",PAA[[#This Row],[Objeto de la contratación]])</f>
        <v>20260577-TH-8173-4-Prestar servicios de apoyo técnico en las herramientas tecnologicas para el desarrollo de las estrategias de la Subdirección  Logística-SBLG</v>
      </c>
    </row>
    <row r="591" spans="2:35" ht="56" x14ac:dyDescent="0.35">
      <c r="B591" s="142">
        <v>20260578</v>
      </c>
      <c r="C591" s="121" t="s">
        <v>911</v>
      </c>
      <c r="D591" s="130" t="s">
        <v>105</v>
      </c>
      <c r="E591" s="130" t="s">
        <v>363</v>
      </c>
      <c r="F591" s="130" t="s">
        <v>145</v>
      </c>
      <c r="G591" s="131" t="s">
        <v>373</v>
      </c>
      <c r="H591" s="137">
        <v>5</v>
      </c>
      <c r="I591" s="137">
        <v>0</v>
      </c>
      <c r="J591" s="132">
        <v>16400000</v>
      </c>
      <c r="K591" s="133" t="s">
        <v>398</v>
      </c>
      <c r="L591" s="177" t="s">
        <v>157</v>
      </c>
      <c r="M591" s="173" t="s">
        <v>501</v>
      </c>
      <c r="N591" s="130" t="s">
        <v>198</v>
      </c>
      <c r="O591" s="151" t="s">
        <v>946</v>
      </c>
      <c r="P591" s="173" t="s">
        <v>348</v>
      </c>
      <c r="Q591" s="134">
        <v>80111600</v>
      </c>
      <c r="R591" s="173" t="s">
        <v>213</v>
      </c>
      <c r="S591" s="173" t="str">
        <f>MID(PAA[[#This Row],[Meta Proyecto de Inversión]],1,4)</f>
        <v>8173</v>
      </c>
      <c r="T591" s="173" t="str">
        <f>MID(PAA[[#This Row],[Meta Proyecto de Inversión]],6,1)</f>
        <v>4</v>
      </c>
      <c r="U591" s="178" t="str">
        <f>IFERROR(VLOOKUP(N591,TD!$B$50:$F$54,2,0)," ")</f>
        <v>O230117</v>
      </c>
      <c r="V591" s="178" t="str">
        <f>IFERROR(VLOOKUP(N591,TD!$B$50:$F$54,3,0)," ")</f>
        <v>4503</v>
      </c>
      <c r="W591" s="178">
        <f>IFERROR(VLOOKUP(N591,TD!$B$50:$F$54,4,0)," ")</f>
        <v>20240255</v>
      </c>
      <c r="X591" s="173" t="s">
        <v>176</v>
      </c>
      <c r="Y591" s="163" t="str">
        <f>IFERROR(VLOOKUP(X591,TD!$J$51:$K$64,2,0)," ")</f>
        <v>Servicio de mantenimiento, dotación (HEA´s y equipo menor) y adquisición de vehiculos   especializados para la atención de emergencias.</v>
      </c>
      <c r="Z591" s="175" t="str">
        <f>CONCATENATE(X591,"-",Y591)</f>
        <v>09-Servicio de mantenimiento, dotación (HEA´s y equipo menor) y adquisición de vehiculos   especializados para la atención de emergencias.</v>
      </c>
      <c r="AA591" s="173" t="s">
        <v>221</v>
      </c>
      <c r="AB591" s="163" t="str">
        <f>IFERROR(VLOOKUP(AA591,TD!$N$51:$O$66,2,0)," ")</f>
        <v>Servicio de atención a emergencias y desastres</v>
      </c>
      <c r="AC591" s="175" t="str">
        <f>CONCATENATE(AA591,"_",AB591)</f>
        <v>004_Servicio de atención a emergencias y desastres</v>
      </c>
      <c r="AD591" s="175" t="str">
        <f>CONCATENATE(Z591," ",AC591)</f>
        <v>09-Servicio de mantenimiento, dotación (HEA´s y equipo menor) y adquisición de vehiculos   especializados para la atención de emergencias. 004_Servicio de atención a emergencias y desastres</v>
      </c>
      <c r="AE591" s="178" t="str">
        <f>CONCATENATE(U591,V591,W591,X591,AA591)</f>
        <v>O23011745032024025509004</v>
      </c>
      <c r="AF591" s="163" t="str">
        <f>IFERROR(VLOOKUP(AD591,TD!$J$66:$K$89,2,0)," ")</f>
        <v>PM/0131/0109/45030040255</v>
      </c>
      <c r="AG591" s="135" t="s">
        <v>385</v>
      </c>
      <c r="AH591" s="180" t="s">
        <v>193</v>
      </c>
      <c r="AI591" s="181" t="str">
        <f>CONCATENATE(PAA[[#This Row],[Id Interno]],"-",PAA[[#This Row],[tipo de Contrato (TH talento humano - B/S bienes y/o servicios)]],"-",S591,"-",T591,"-",PAA[[#This Row],[Objeto de la contratación]])</f>
        <v>20260578-TH-8173-4-Prestar servicios de apoyo a la gestión en las actividades de soporte operacional de la UAECOB Subdirección Logística. SBLG</v>
      </c>
    </row>
    <row r="592" spans="2:35" ht="56" x14ac:dyDescent="0.35">
      <c r="B592" s="142">
        <v>20260579</v>
      </c>
      <c r="C592" s="121" t="s">
        <v>912</v>
      </c>
      <c r="D592" s="130" t="s">
        <v>105</v>
      </c>
      <c r="E592" s="130" t="s">
        <v>363</v>
      </c>
      <c r="F592" s="130" t="s">
        <v>145</v>
      </c>
      <c r="G592" s="131" t="s">
        <v>373</v>
      </c>
      <c r="H592" s="137">
        <v>5</v>
      </c>
      <c r="I592" s="137">
        <v>0</v>
      </c>
      <c r="J592" s="132">
        <v>21388000</v>
      </c>
      <c r="K592" s="133" t="s">
        <v>398</v>
      </c>
      <c r="L592" s="177" t="s">
        <v>157</v>
      </c>
      <c r="M592" s="173" t="s">
        <v>501</v>
      </c>
      <c r="N592" s="130" t="s">
        <v>198</v>
      </c>
      <c r="O592" s="151" t="s">
        <v>946</v>
      </c>
      <c r="P592" s="173" t="s">
        <v>348</v>
      </c>
      <c r="Q592" s="134">
        <v>80111600</v>
      </c>
      <c r="R592" s="173" t="s">
        <v>213</v>
      </c>
      <c r="S592" s="173" t="str">
        <f>MID(PAA[[#This Row],[Meta Proyecto de Inversión]],1,4)</f>
        <v>8173</v>
      </c>
      <c r="T592" s="173" t="str">
        <f>MID(PAA[[#This Row],[Meta Proyecto de Inversión]],6,1)</f>
        <v>4</v>
      </c>
      <c r="U592" s="178" t="str">
        <f>IFERROR(VLOOKUP(N592,TD!$B$50:$F$54,2,0)," ")</f>
        <v>O230117</v>
      </c>
      <c r="V592" s="178" t="str">
        <f>IFERROR(VLOOKUP(N592,TD!$B$50:$F$54,3,0)," ")</f>
        <v>4503</v>
      </c>
      <c r="W592" s="178">
        <f>IFERROR(VLOOKUP(N592,TD!$B$50:$F$54,4,0)," ")</f>
        <v>20240255</v>
      </c>
      <c r="X592" s="173" t="s">
        <v>176</v>
      </c>
      <c r="Y592" s="163" t="str">
        <f>IFERROR(VLOOKUP(X592,TD!$J$51:$K$64,2,0)," ")</f>
        <v>Servicio de mantenimiento, dotación (HEA´s y equipo menor) y adquisición de vehiculos   especializados para la atención de emergencias.</v>
      </c>
      <c r="Z592" s="175" t="str">
        <f>CONCATENATE(X592,"-",Y592)</f>
        <v>09-Servicio de mantenimiento, dotación (HEA´s y equipo menor) y adquisición de vehiculos   especializados para la atención de emergencias.</v>
      </c>
      <c r="AA592" s="173" t="s">
        <v>221</v>
      </c>
      <c r="AB592" s="163" t="str">
        <f>IFERROR(VLOOKUP(AA592,TD!$N$51:$O$66,2,0)," ")</f>
        <v>Servicio de atención a emergencias y desastres</v>
      </c>
      <c r="AC592" s="175" t="str">
        <f>CONCATENATE(AA592,"_",AB592)</f>
        <v>004_Servicio de atención a emergencias y desastres</v>
      </c>
      <c r="AD592" s="175" t="str">
        <f>CONCATENATE(Z592," ",AC592)</f>
        <v>09-Servicio de mantenimiento, dotación (HEA´s y equipo menor) y adquisición de vehiculos   especializados para la atención de emergencias. 004_Servicio de atención a emergencias y desastres</v>
      </c>
      <c r="AE592" s="178" t="str">
        <f>CONCATENATE(U592,V592,W592,X592,AA592)</f>
        <v>O23011745032024025509004</v>
      </c>
      <c r="AF592" s="163" t="str">
        <f>IFERROR(VLOOKUP(AD592,TD!$J$66:$K$89,2,0)," ")</f>
        <v>PM/0131/0109/45030040255</v>
      </c>
      <c r="AG592" s="135" t="s">
        <v>385</v>
      </c>
      <c r="AH592" s="180" t="s">
        <v>193</v>
      </c>
      <c r="AI592" s="181" t="str">
        <f>CONCATENATE(PAA[[#This Row],[Id Interno]],"-",PAA[[#This Row],[tipo de Contrato (TH talento humano - B/S bienes y/o servicios)]],"-",S592,"-",T592,"-",PAA[[#This Row],[Objeto de la contratación]])</f>
        <v>20260579-TH-8173-4-Prestar servicios de apoyo a la gestión en actividades administrativas y documentales que se desarrollen en la Subdirección Logística – SBLG".</v>
      </c>
    </row>
    <row r="593" spans="2:35" ht="84" x14ac:dyDescent="0.35">
      <c r="B593" s="142">
        <v>20260580</v>
      </c>
      <c r="C593" s="121" t="s">
        <v>913</v>
      </c>
      <c r="D593" s="130" t="s">
        <v>105</v>
      </c>
      <c r="E593" s="130" t="s">
        <v>363</v>
      </c>
      <c r="F593" s="130" t="s">
        <v>145</v>
      </c>
      <c r="G593" s="131" t="s">
        <v>373</v>
      </c>
      <c r="H593" s="137">
        <v>6</v>
      </c>
      <c r="I593" s="137">
        <v>0</v>
      </c>
      <c r="J593" s="132">
        <v>19680000</v>
      </c>
      <c r="K593" s="133" t="s">
        <v>398</v>
      </c>
      <c r="L593" s="177" t="s">
        <v>157</v>
      </c>
      <c r="M593" s="173" t="s">
        <v>501</v>
      </c>
      <c r="N593" s="130" t="s">
        <v>198</v>
      </c>
      <c r="O593" s="151" t="s">
        <v>946</v>
      </c>
      <c r="P593" s="173" t="s">
        <v>348</v>
      </c>
      <c r="Q593" s="134">
        <v>80111600</v>
      </c>
      <c r="R593" s="173" t="s">
        <v>213</v>
      </c>
      <c r="S593" s="173" t="str">
        <f>MID(PAA[[#This Row],[Meta Proyecto de Inversión]],1,4)</f>
        <v>8173</v>
      </c>
      <c r="T593" s="173" t="str">
        <f>MID(PAA[[#This Row],[Meta Proyecto de Inversión]],6,1)</f>
        <v>4</v>
      </c>
      <c r="U593" s="178" t="str">
        <f>IFERROR(VLOOKUP(N593,TD!$B$50:$F$54,2,0)," ")</f>
        <v>O230117</v>
      </c>
      <c r="V593" s="178" t="str">
        <f>IFERROR(VLOOKUP(N593,TD!$B$50:$F$54,3,0)," ")</f>
        <v>4503</v>
      </c>
      <c r="W593" s="178">
        <f>IFERROR(VLOOKUP(N593,TD!$B$50:$F$54,4,0)," ")</f>
        <v>20240255</v>
      </c>
      <c r="X593" s="173" t="s">
        <v>176</v>
      </c>
      <c r="Y593" s="163" t="str">
        <f>IFERROR(VLOOKUP(X593,TD!$J$51:$K$64,2,0)," ")</f>
        <v>Servicio de mantenimiento, dotación (HEA´s y equipo menor) y adquisición de vehiculos   especializados para la atención de emergencias.</v>
      </c>
      <c r="Z593" s="175" t="str">
        <f>CONCATENATE(X593,"-",Y593)</f>
        <v>09-Servicio de mantenimiento, dotación (HEA´s y equipo menor) y adquisición de vehiculos   especializados para la atención de emergencias.</v>
      </c>
      <c r="AA593" s="173" t="s">
        <v>221</v>
      </c>
      <c r="AB593" s="163" t="str">
        <f>IFERROR(VLOOKUP(AA593,TD!$N$51:$O$66,2,0)," ")</f>
        <v>Servicio de atención a emergencias y desastres</v>
      </c>
      <c r="AC593" s="175" t="str">
        <f>CONCATENATE(AA593,"_",AB593)</f>
        <v>004_Servicio de atención a emergencias y desastres</v>
      </c>
      <c r="AD593" s="175" t="str">
        <f>CONCATENATE(Z593," ",AC593)</f>
        <v>09-Servicio de mantenimiento, dotación (HEA´s y equipo menor) y adquisición de vehiculos   especializados para la atención de emergencias. 004_Servicio de atención a emergencias y desastres</v>
      </c>
      <c r="AE593" s="178" t="str">
        <f>CONCATENATE(U593,V593,W593,X593,AA593)</f>
        <v>O23011745032024025509004</v>
      </c>
      <c r="AF593" s="163" t="str">
        <f>IFERROR(VLOOKUP(AD593,TD!$J$66:$K$89,2,0)," ")</f>
        <v>PM/0131/0109/45030040255</v>
      </c>
      <c r="AG593" s="135" t="s">
        <v>385</v>
      </c>
      <c r="AH593" s="180" t="s">
        <v>193</v>
      </c>
      <c r="AI593" s="181" t="str">
        <f>CONCATENATE(PAA[[#This Row],[Id Interno]],"-",PAA[[#This Row],[tipo de Contrato (TH talento humano - B/S bienes y/o servicios)]],"-",S593,"-",T593,"-",PAA[[#This Row],[Objeto de la contratación]])</f>
        <v>20260580-TH-8173-4-Prestación de servicios de apoyo a la gestión para realizar actividades documentales, administrativas relacionadas para el desarrollo de las estrategias de la Subdirección Logística. SBLG</v>
      </c>
    </row>
    <row r="594" spans="2:35" ht="140" x14ac:dyDescent="0.35">
      <c r="B594" s="142">
        <v>20260581</v>
      </c>
      <c r="C594" s="121" t="s">
        <v>914</v>
      </c>
      <c r="D594" s="130" t="s">
        <v>105</v>
      </c>
      <c r="E594" s="130" t="s">
        <v>363</v>
      </c>
      <c r="F594" s="130" t="s">
        <v>145</v>
      </c>
      <c r="G594" s="131" t="s">
        <v>373</v>
      </c>
      <c r="H594" s="137">
        <v>6</v>
      </c>
      <c r="I594" s="137">
        <v>0</v>
      </c>
      <c r="J594" s="132">
        <v>19680000</v>
      </c>
      <c r="K594" s="133" t="s">
        <v>398</v>
      </c>
      <c r="L594" s="177" t="s">
        <v>157</v>
      </c>
      <c r="M594" s="173" t="s">
        <v>501</v>
      </c>
      <c r="N594" s="130" t="s">
        <v>198</v>
      </c>
      <c r="O594" s="151" t="s">
        <v>946</v>
      </c>
      <c r="P594" s="173" t="s">
        <v>348</v>
      </c>
      <c r="Q594" s="134">
        <v>80111600</v>
      </c>
      <c r="R594" s="173" t="s">
        <v>213</v>
      </c>
      <c r="S594" s="173" t="str">
        <f>MID(PAA[[#This Row],[Meta Proyecto de Inversión]],1,4)</f>
        <v>8173</v>
      </c>
      <c r="T594" s="173" t="str">
        <f>MID(PAA[[#This Row],[Meta Proyecto de Inversión]],6,1)</f>
        <v>4</v>
      </c>
      <c r="U594" s="178" t="str">
        <f>IFERROR(VLOOKUP(N594,TD!$B$50:$F$54,2,0)," ")</f>
        <v>O230117</v>
      </c>
      <c r="V594" s="178" t="str">
        <f>IFERROR(VLOOKUP(N594,TD!$B$50:$F$54,3,0)," ")</f>
        <v>4503</v>
      </c>
      <c r="W594" s="178">
        <f>IFERROR(VLOOKUP(N594,TD!$B$50:$F$54,4,0)," ")</f>
        <v>20240255</v>
      </c>
      <c r="X594" s="173" t="s">
        <v>176</v>
      </c>
      <c r="Y594" s="163" t="str">
        <f>IFERROR(VLOOKUP(X594,TD!$J$51:$K$64,2,0)," ")</f>
        <v>Servicio de mantenimiento, dotación (HEA´s y equipo menor) y adquisición de vehiculos   especializados para la atención de emergencias.</v>
      </c>
      <c r="Z594" s="175" t="str">
        <f>CONCATENATE(X594,"-",Y594)</f>
        <v>09-Servicio de mantenimiento, dotación (HEA´s y equipo menor) y adquisición de vehiculos   especializados para la atención de emergencias.</v>
      </c>
      <c r="AA594" s="173" t="s">
        <v>221</v>
      </c>
      <c r="AB594" s="163" t="str">
        <f>IFERROR(VLOOKUP(AA594,TD!$N$51:$O$66,2,0)," ")</f>
        <v>Servicio de atención a emergencias y desastres</v>
      </c>
      <c r="AC594" s="175" t="str">
        <f>CONCATENATE(AA594,"_",AB594)</f>
        <v>004_Servicio de atención a emergencias y desastres</v>
      </c>
      <c r="AD594" s="175" t="str">
        <f>CONCATENATE(Z594," ",AC594)</f>
        <v>09-Servicio de mantenimiento, dotación (HEA´s y equipo menor) y adquisición de vehiculos   especializados para la atención de emergencias. 004_Servicio de atención a emergencias y desastres</v>
      </c>
      <c r="AE594" s="178" t="str">
        <f>CONCATENATE(U594,V594,W594,X594,AA594)</f>
        <v>O23011745032024025509004</v>
      </c>
      <c r="AF594" s="163" t="str">
        <f>IFERROR(VLOOKUP(AD594,TD!$J$66:$K$89,2,0)," ")</f>
        <v>PM/0131/0109/45030040255</v>
      </c>
      <c r="AG594" s="135" t="s">
        <v>385</v>
      </c>
      <c r="AH594" s="180" t="s">
        <v>193</v>
      </c>
      <c r="AI594" s="181" t="str">
        <f>CONCATENATE(PAA[[#This Row],[Id Interno]],"-",PAA[[#This Row],[tipo de Contrato (TH talento humano - B/S bienes y/o servicios)]],"-",S594,"-",T594,"-",PAA[[#This Row],[Objeto de la contratación]])</f>
        <v>20260581-TH-8173-4-Prestar servicios de apoyo a la gestión en el manejo de las herramientas tecnológicas en diligenciamiento, seguimiento y control de las herramientas de gestión asociadas a la mesa logística de la Subdirección Logística. – SBLG</v>
      </c>
    </row>
    <row r="595" spans="2:35" ht="140" x14ac:dyDescent="0.35">
      <c r="B595" s="142">
        <v>20260582</v>
      </c>
      <c r="C595" s="121" t="s">
        <v>917</v>
      </c>
      <c r="D595" s="130" t="s">
        <v>105</v>
      </c>
      <c r="E595" s="130" t="s">
        <v>363</v>
      </c>
      <c r="F595" s="130" t="s">
        <v>144</v>
      </c>
      <c r="G595" s="131" t="s">
        <v>373</v>
      </c>
      <c r="H595" s="137">
        <v>6</v>
      </c>
      <c r="I595" s="137">
        <v>0</v>
      </c>
      <c r="J595" s="132">
        <v>33000000</v>
      </c>
      <c r="K595" s="133" t="s">
        <v>398</v>
      </c>
      <c r="L595" s="177" t="s">
        <v>154</v>
      </c>
      <c r="M595" s="173" t="s">
        <v>451</v>
      </c>
      <c r="N595" s="130" t="s">
        <v>198</v>
      </c>
      <c r="O595" s="151" t="s">
        <v>946</v>
      </c>
      <c r="P595" s="173" t="s">
        <v>348</v>
      </c>
      <c r="Q595" s="134">
        <v>80111600</v>
      </c>
      <c r="R595" s="173" t="s">
        <v>218</v>
      </c>
      <c r="S595" s="173" t="str">
        <f>MID(PAA[[#This Row],[Meta Proyecto de Inversión]],1,4)</f>
        <v>8173</v>
      </c>
      <c r="T595" s="173" t="str">
        <f>MID(PAA[[#This Row],[Meta Proyecto de Inversión]],6,1)</f>
        <v>9</v>
      </c>
      <c r="U595" s="178" t="str">
        <f>IFERROR(VLOOKUP(N595,TD!$B$50:$F$54,2,0)," ")</f>
        <v>O230117</v>
      </c>
      <c r="V595" s="178" t="str">
        <f>IFERROR(VLOOKUP(N595,TD!$B$50:$F$54,3,0)," ")</f>
        <v>4503</v>
      </c>
      <c r="W595" s="178">
        <f>IFERROR(VLOOKUP(N595,TD!$B$50:$F$54,4,0)," ")</f>
        <v>20240255</v>
      </c>
      <c r="X595" s="173" t="s">
        <v>172</v>
      </c>
      <c r="Y595" s="163" t="str">
        <f>IFERROR(VLOOKUP(X595,TD!$J$51:$K$64,2,0)," ")</f>
        <v>Servicio de formación en gestión del riesgo de incendios para el personal UAECOB</v>
      </c>
      <c r="Z595" s="175" t="str">
        <f>CONCATENATE(X595,"-",Y595)</f>
        <v>07-Servicio de formación en gestión del riesgo de incendios para el personal UAECOB</v>
      </c>
      <c r="AA595" s="173" t="s">
        <v>222</v>
      </c>
      <c r="AB595" s="163" t="str">
        <f>IFERROR(VLOOKUP(AA595,TD!$N$51:$O$66,2,0)," ")</f>
        <v>Servicio de educación informal</v>
      </c>
      <c r="AC595" s="175" t="str">
        <f>CONCATENATE(AA595,"_",AB595)</f>
        <v>002_Servicio de educación informal</v>
      </c>
      <c r="AD595" s="175" t="str">
        <f>CONCATENATE(Z595," ",AC595)</f>
        <v>07-Servicio de formación en gestión del riesgo de incendios para el personal UAECOB 002_Servicio de educación informal</v>
      </c>
      <c r="AE595" s="178" t="str">
        <f>CONCATENATE(U595,V595,W595,X595,AA595)</f>
        <v>O23011745032024025507002</v>
      </c>
      <c r="AF595" s="163" t="str">
        <f>IFERROR(VLOOKUP(AD595,TD!$J$66:$K$89,2,0)," ")</f>
        <v>PM/0131/0107/45030020255</v>
      </c>
      <c r="AG595" s="135" t="s">
        <v>385</v>
      </c>
      <c r="AH595" s="180" t="s">
        <v>193</v>
      </c>
      <c r="AI595" s="181" t="str">
        <f>CONCATENATE(PAA[[#This Row],[Id Interno]],"-",PAA[[#This Row],[tipo de Contrato (TH talento humano - B/S bienes y/o servicios)]],"-",S595,"-",T595,"-",PAA[[#This Row],[Objeto de la contratación]])</f>
        <v>20260582-TH-8173-9-SGH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v>
      </c>
    </row>
    <row r="596" spans="2:35" ht="56" x14ac:dyDescent="0.35">
      <c r="B596" s="142">
        <v>20260583</v>
      </c>
      <c r="C596" s="121" t="s">
        <v>981</v>
      </c>
      <c r="D596" s="130" t="s">
        <v>105</v>
      </c>
      <c r="E596" s="130" t="s">
        <v>363</v>
      </c>
      <c r="F596" s="130" t="s">
        <v>145</v>
      </c>
      <c r="G596" s="131" t="s">
        <v>373</v>
      </c>
      <c r="H596" s="137">
        <v>6</v>
      </c>
      <c r="I596" s="137">
        <v>0</v>
      </c>
      <c r="J596" s="132">
        <v>24000000</v>
      </c>
      <c r="K596" s="133" t="s">
        <v>398</v>
      </c>
      <c r="L596" s="177" t="s">
        <v>154</v>
      </c>
      <c r="M596" s="173" t="s">
        <v>451</v>
      </c>
      <c r="N596" s="130" t="s">
        <v>197</v>
      </c>
      <c r="O596" s="151" t="s">
        <v>945</v>
      </c>
      <c r="P596" s="173" t="s">
        <v>348</v>
      </c>
      <c r="Q596" s="134">
        <v>80111600</v>
      </c>
      <c r="R596" s="173" t="s">
        <v>208</v>
      </c>
      <c r="S596" s="173" t="str">
        <f>MID(PAA[[#This Row],[Meta Proyecto de Inversión]],1,4)</f>
        <v>8126</v>
      </c>
      <c r="T596" s="173" t="str">
        <f>MID(PAA[[#This Row],[Meta Proyecto de Inversión]],6,1)</f>
        <v>9</v>
      </c>
      <c r="U596" s="178" t="str">
        <f>IFERROR(VLOOKUP(N596,TD!$B$50:$F$54,2,0)," ")</f>
        <v>O230117</v>
      </c>
      <c r="V596" s="178" t="str">
        <f>IFERROR(VLOOKUP(N596,TD!$B$50:$F$54,3,0)," ")</f>
        <v>4599</v>
      </c>
      <c r="W596" s="178">
        <f>IFERROR(VLOOKUP(N596,TD!$B$50:$F$54,4,0)," ")</f>
        <v>20240207</v>
      </c>
      <c r="X596" s="173" t="s">
        <v>174</v>
      </c>
      <c r="Y596" s="163" t="str">
        <f>IFERROR(VLOOKUP(X596,TD!$J$51:$K$64,2,0)," ")</f>
        <v>Infraestructura física, mantenimiento y dotación (Sedes construidas, mantenidas reforzadas)</v>
      </c>
      <c r="Z596" s="175" t="str">
        <f>CONCATENATE(X596,"-",Y596)</f>
        <v>08-Infraestructura física, mantenimiento y dotación (Sedes construidas, mantenidas reforzadas)</v>
      </c>
      <c r="AA596" s="173" t="s">
        <v>227</v>
      </c>
      <c r="AB596" s="163" t="str">
        <f>IFERROR(VLOOKUP(AA596,TD!$N$51:$O$66,2,0)," ")</f>
        <v>Sedes mantenidas</v>
      </c>
      <c r="AC596" s="175" t="str">
        <f>CONCATENATE(AA596,"_",AB596)</f>
        <v>016_Sedes mantenidas</v>
      </c>
      <c r="AD596" s="175" t="str">
        <f>CONCATENATE(Z596," ",AC596)</f>
        <v>08-Infraestructura física, mantenimiento y dotación (Sedes construidas, mantenidas reforzadas) 016_Sedes mantenidas</v>
      </c>
      <c r="AE596" s="178" t="str">
        <f>CONCATENATE(U596,V596,W596,X596,AA596)</f>
        <v>O23011745992024020708016</v>
      </c>
      <c r="AF596" s="163" t="str">
        <f>IFERROR(VLOOKUP(AD596,TD!$J$66:$K$89,2,0)," ")</f>
        <v>PM/0131/0108/45990160207</v>
      </c>
      <c r="AG596" s="135" t="s">
        <v>385</v>
      </c>
      <c r="AH596" s="180" t="s">
        <v>193</v>
      </c>
      <c r="AI596" s="181" t="str">
        <f>CONCATENATE(PAA[[#This Row],[Id Interno]],"-",PAA[[#This Row],[tipo de Contrato (TH talento humano - B/S bienes y/o servicios)]],"-",S596,"-",T596,"-",PAA[[#This Row],[Objeto de la contratación]])</f>
        <v>20260583-TH-8126-9-SGH – Prestar servicios de apoyo a la gestión en la Subdirección de Gestión Humana,  para la organización, actualización, clasificación y sistematización de los expedientes de incapacidades, así como la consolidación de la información en los sistemas y bases de datos institucionales y demás actividades propias del área de nómina que le sean asignadas, de conformidad con los lineamientos y procedimientos definidos por la entidad.</v>
      </c>
    </row>
    <row r="597" spans="2:35" ht="56" x14ac:dyDescent="0.35">
      <c r="B597" s="142">
        <v>20260584</v>
      </c>
      <c r="C597" s="121" t="s">
        <v>862</v>
      </c>
      <c r="D597" s="130" t="s">
        <v>105</v>
      </c>
      <c r="E597" s="130" t="s">
        <v>363</v>
      </c>
      <c r="F597" s="130" t="s">
        <v>145</v>
      </c>
      <c r="G597" s="131" t="s">
        <v>373</v>
      </c>
      <c r="H597" s="137">
        <v>7</v>
      </c>
      <c r="I597" s="137">
        <v>0</v>
      </c>
      <c r="J597" s="132">
        <v>21700000</v>
      </c>
      <c r="K597" s="133" t="s">
        <v>398</v>
      </c>
      <c r="L597" s="177" t="s">
        <v>158</v>
      </c>
      <c r="M597" s="173" t="s">
        <v>421</v>
      </c>
      <c r="N597" s="130" t="s">
        <v>198</v>
      </c>
      <c r="O597" s="151" t="s">
        <v>946</v>
      </c>
      <c r="P597" s="173" t="s">
        <v>348</v>
      </c>
      <c r="Q597" s="134">
        <v>80111600</v>
      </c>
      <c r="R597" s="173" t="s">
        <v>211</v>
      </c>
      <c r="S597" s="173" t="str">
        <f>MID(PAA[[#This Row],[Meta Proyecto de Inversión]],1,4)</f>
        <v>8173</v>
      </c>
      <c r="T597" s="173" t="str">
        <f>MID(PAA[[#This Row],[Meta Proyecto de Inversión]],6,1)</f>
        <v>2</v>
      </c>
      <c r="U597" s="178" t="str">
        <f>IFERROR(VLOOKUP(N597,TD!$B$50:$F$54,2,0)," ")</f>
        <v>O230117</v>
      </c>
      <c r="V597" s="178" t="str">
        <f>IFERROR(VLOOKUP(N597,TD!$B$50:$F$54,3,0)," ")</f>
        <v>4503</v>
      </c>
      <c r="W597" s="178">
        <f>IFERROR(VLOOKUP(N597,TD!$B$50:$F$54,4,0)," ")</f>
        <v>20240255</v>
      </c>
      <c r="X597" s="173" t="s">
        <v>164</v>
      </c>
      <c r="Y597" s="163" t="str">
        <f>IFERROR(VLOOKUP(X597,TD!$J$51:$K$64,2,0)," ")</f>
        <v>Servicio de atención a incidentes y emergencias.</v>
      </c>
      <c r="Z597" s="175" t="str">
        <f>CONCATENATE(X597,"-",Y597)</f>
        <v>04-Servicio de atención a incidentes y emergencias.</v>
      </c>
      <c r="AA597" s="173" t="s">
        <v>221</v>
      </c>
      <c r="AB597" s="163" t="str">
        <f>IFERROR(VLOOKUP(AA597,TD!$N$51:$O$66,2,0)," ")</f>
        <v>Servicio de atención a emergencias y desastres</v>
      </c>
      <c r="AC597" s="175" t="str">
        <f>CONCATENATE(AA597,"_",AB597)</f>
        <v>004_Servicio de atención a emergencias y desastres</v>
      </c>
      <c r="AD597" s="175" t="str">
        <f>CONCATENATE(Z597," ",AC597)</f>
        <v>04-Servicio de atención a incidentes y emergencias. 004_Servicio de atención a emergencias y desastres</v>
      </c>
      <c r="AE597" s="178" t="str">
        <f>CONCATENATE(U597,V597,W597,X597,AA597)</f>
        <v>O23011745032024025504004</v>
      </c>
      <c r="AF597" s="163" t="str">
        <f>IFERROR(VLOOKUP(AD597,TD!$J$66:$K$89,2,0)," ")</f>
        <v>PM/0131/0104/45030040255</v>
      </c>
      <c r="AG597" s="135" t="s">
        <v>385</v>
      </c>
      <c r="AH597" s="180" t="s">
        <v>193</v>
      </c>
      <c r="AI597" s="181" t="str">
        <f>CONCATENATE(PAA[[#This Row],[Id Interno]],"-",PAA[[#This Row],[tipo de Contrato (TH talento humano - B/S bienes y/o servicios)]],"-",S597,"-",T597,"-",PAA[[#This Row],[Objeto de la contratación]])</f>
        <v>20260584-TH-8173-2-Prestación de servicios de apoyo al proceso de comunicaciones en emergencias del centro de coordinación y comunicaciones (c.c.c.), para el desarrollo de los programas a cargo de la Subdirección Operativa-S.O.</v>
      </c>
    </row>
    <row r="598" spans="2:35" ht="56" x14ac:dyDescent="0.35">
      <c r="B598" s="142">
        <v>20260585</v>
      </c>
      <c r="C598" s="121" t="s">
        <v>918</v>
      </c>
      <c r="D598" s="130" t="s">
        <v>105</v>
      </c>
      <c r="E598" s="130" t="s">
        <v>363</v>
      </c>
      <c r="F598" s="130" t="s">
        <v>144</v>
      </c>
      <c r="G598" s="131" t="s">
        <v>373</v>
      </c>
      <c r="H598" s="137">
        <v>11</v>
      </c>
      <c r="I598" s="137">
        <v>0</v>
      </c>
      <c r="J598" s="132">
        <v>66000000</v>
      </c>
      <c r="K598" s="133" t="s">
        <v>398</v>
      </c>
      <c r="L598" s="177" t="s">
        <v>158</v>
      </c>
      <c r="M598" s="173" t="s">
        <v>421</v>
      </c>
      <c r="N598" s="130" t="s">
        <v>198</v>
      </c>
      <c r="O598" s="151" t="s">
        <v>946</v>
      </c>
      <c r="P598" s="173" t="s">
        <v>348</v>
      </c>
      <c r="Q598" s="134">
        <v>80111600</v>
      </c>
      <c r="R598" s="173" t="s">
        <v>211</v>
      </c>
      <c r="S598" s="173" t="str">
        <f>MID(PAA[[#This Row],[Meta Proyecto de Inversión]],1,4)</f>
        <v>8173</v>
      </c>
      <c r="T598" s="173" t="str">
        <f>MID(PAA[[#This Row],[Meta Proyecto de Inversión]],6,1)</f>
        <v>2</v>
      </c>
      <c r="U598" s="178" t="str">
        <f>IFERROR(VLOOKUP(N598,TD!$B$50:$F$54,2,0)," ")</f>
        <v>O230117</v>
      </c>
      <c r="V598" s="178" t="str">
        <f>IFERROR(VLOOKUP(N598,TD!$B$50:$F$54,3,0)," ")</f>
        <v>4503</v>
      </c>
      <c r="W598" s="178">
        <f>IFERROR(VLOOKUP(N598,TD!$B$50:$F$54,4,0)," ")</f>
        <v>20240255</v>
      </c>
      <c r="X598" s="173" t="s">
        <v>164</v>
      </c>
      <c r="Y598" s="163" t="str">
        <f>IFERROR(VLOOKUP(X598,TD!$J$51:$K$64,2,0)," ")</f>
        <v>Servicio de atención a incidentes y emergencias.</v>
      </c>
      <c r="Z598" s="175" t="str">
        <f>CONCATENATE(X598,"-",Y598)</f>
        <v>04-Servicio de atención a incidentes y emergencias.</v>
      </c>
      <c r="AA598" s="173" t="s">
        <v>221</v>
      </c>
      <c r="AB598" s="163" t="str">
        <f>IFERROR(VLOOKUP(AA598,TD!$N$51:$O$66,2,0)," ")</f>
        <v>Servicio de atención a emergencias y desastres</v>
      </c>
      <c r="AC598" s="175" t="str">
        <f>CONCATENATE(AA598,"_",AB598)</f>
        <v>004_Servicio de atención a emergencias y desastres</v>
      </c>
      <c r="AD598" s="175" t="str">
        <f>CONCATENATE(Z598," ",AC598)</f>
        <v>04-Servicio de atención a incidentes y emergencias. 004_Servicio de atención a emergencias y desastres</v>
      </c>
      <c r="AE598" s="178" t="str">
        <f>CONCATENATE(U598,V598,W598,X598,AA598)</f>
        <v>O23011745032024025504004</v>
      </c>
      <c r="AF598" s="163" t="str">
        <f>IFERROR(VLOOKUP(AD598,TD!$J$66:$K$89,2,0)," ")</f>
        <v>PM/0131/0104/45030040255</v>
      </c>
      <c r="AG598" s="135" t="s">
        <v>385</v>
      </c>
      <c r="AH598" s="180" t="s">
        <v>193</v>
      </c>
      <c r="AI598" s="181" t="str">
        <f>CONCATENATE(PAA[[#This Row],[Id Interno]],"-",PAA[[#This Row],[tipo de Contrato (TH talento humano - B/S bienes y/o servicios)]],"-",S598,"-",T598,"-",PAA[[#This Row],[Objeto de la contratación]])</f>
        <v>20260585-TH-8173-2-Prestación de servicios profesionales para apoyar en el análisis de información, reportes, y seguimientos relacionados con la atención de emergencias de la entidad y de los programas a cargo de la Subdirección Operativa-S.O.</v>
      </c>
    </row>
    <row r="599" spans="2:35" ht="84" x14ac:dyDescent="0.35">
      <c r="B599" s="142">
        <v>20260586</v>
      </c>
      <c r="C599" s="121" t="s">
        <v>930</v>
      </c>
      <c r="D599" s="130" t="s">
        <v>105</v>
      </c>
      <c r="E599" s="130" t="s">
        <v>363</v>
      </c>
      <c r="F599" s="130" t="s">
        <v>144</v>
      </c>
      <c r="G599" s="131" t="s">
        <v>373</v>
      </c>
      <c r="H599" s="137">
        <v>6</v>
      </c>
      <c r="I599" s="137">
        <v>0</v>
      </c>
      <c r="J599" s="132">
        <v>36000000</v>
      </c>
      <c r="K599" s="133" t="s">
        <v>398</v>
      </c>
      <c r="L599" s="177" t="s">
        <v>151</v>
      </c>
      <c r="M599" s="173" t="s">
        <v>401</v>
      </c>
      <c r="N599" s="130" t="s">
        <v>197</v>
      </c>
      <c r="O599" s="151" t="s">
        <v>945</v>
      </c>
      <c r="P599" s="173" t="s">
        <v>348</v>
      </c>
      <c r="Q599" s="134">
        <v>80111600</v>
      </c>
      <c r="R599" s="173" t="s">
        <v>206</v>
      </c>
      <c r="S599" s="173" t="str">
        <f>MID(PAA[[#This Row],[Meta Proyecto de Inversión]],1,4)</f>
        <v>8126</v>
      </c>
      <c r="T599" s="173" t="str">
        <f>MID(PAA[[#This Row],[Meta Proyecto de Inversión]],6,1)</f>
        <v>7</v>
      </c>
      <c r="U599" s="178" t="str">
        <f>IFERROR(VLOOKUP(N599,TD!$B$50:$F$54,2,0)," ")</f>
        <v>O230117</v>
      </c>
      <c r="V599" s="178" t="str">
        <f>IFERROR(VLOOKUP(N599,TD!$B$50:$F$54,3,0)," ")</f>
        <v>4599</v>
      </c>
      <c r="W599" s="178">
        <f>IFERROR(VLOOKUP(N599,TD!$B$50:$F$54,4,0)," ")</f>
        <v>20240207</v>
      </c>
      <c r="X599" s="173" t="s">
        <v>168</v>
      </c>
      <c r="Y599" s="163" t="str">
        <f>IFERROR(VLOOKUP(X599,TD!$J$51:$K$64,2,0)," ")</f>
        <v>Infraestructura Tecnológica   (Sistemas de Información y Tecnologia)</v>
      </c>
      <c r="Z599" s="175" t="str">
        <f>CONCATENATE(X599,"-",Y599)</f>
        <v>11-Infraestructura Tecnológica   (Sistemas de Información y Tecnologia)</v>
      </c>
      <c r="AA599" s="173" t="s">
        <v>228</v>
      </c>
      <c r="AB599" s="163" t="str">
        <f>IFERROR(VLOOKUP(AA599,TD!$N$51:$O$66,2,0)," ")</f>
        <v>Servicios tecnológicos</v>
      </c>
      <c r="AC599" s="175" t="str">
        <f>CONCATENATE(AA599,"_",AB599)</f>
        <v>007_Servicios tecnológicos</v>
      </c>
      <c r="AD599" s="175" t="str">
        <f>CONCATENATE(Z599," ",AC599)</f>
        <v>11-Infraestructura Tecnológica   (Sistemas de Información y Tecnologia) 007_Servicios tecnológicos</v>
      </c>
      <c r="AE599" s="178" t="str">
        <f>CONCATENATE(U599,V599,W599,X599,AA599)</f>
        <v>O23011745992024020711007</v>
      </c>
      <c r="AF599" s="163" t="str">
        <f>IFERROR(VLOOKUP(AD599,TD!$J$66:$K$89,2,0)," ")</f>
        <v>PM/0131/0111/45990070207</v>
      </c>
      <c r="AG599" s="135" t="s">
        <v>385</v>
      </c>
      <c r="AH599" s="180" t="s">
        <v>193</v>
      </c>
      <c r="AI599" s="181" t="str">
        <f>CONCATENATE(PAA[[#This Row],[Id Interno]],"-",PAA[[#This Row],[tipo de Contrato (TH talento humano - B/S bienes y/o servicios)]],"-",S599,"-",T599,"-",PAA[[#This Row],[Objeto de la contratación]])</f>
        <v>20260586-TH-8126-7-Prestar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v>
      </c>
    </row>
    <row r="600" spans="2:35" ht="70" x14ac:dyDescent="0.35">
      <c r="B600" s="142">
        <v>20260587</v>
      </c>
      <c r="C600" s="121" t="s">
        <v>931</v>
      </c>
      <c r="D600" s="130" t="s">
        <v>105</v>
      </c>
      <c r="E600" s="130" t="s">
        <v>363</v>
      </c>
      <c r="F600" s="130" t="s">
        <v>144</v>
      </c>
      <c r="G600" s="131" t="s">
        <v>373</v>
      </c>
      <c r="H600" s="137">
        <v>6</v>
      </c>
      <c r="I600" s="137">
        <v>0</v>
      </c>
      <c r="J600" s="132">
        <v>36000000</v>
      </c>
      <c r="K600" s="133" t="s">
        <v>398</v>
      </c>
      <c r="L600" s="177" t="s">
        <v>151</v>
      </c>
      <c r="M600" s="173" t="s">
        <v>401</v>
      </c>
      <c r="N600" s="130" t="s">
        <v>197</v>
      </c>
      <c r="O600" s="151" t="s">
        <v>945</v>
      </c>
      <c r="P600" s="173" t="s">
        <v>348</v>
      </c>
      <c r="Q600" s="134">
        <v>80111600</v>
      </c>
      <c r="R600" s="173" t="s">
        <v>206</v>
      </c>
      <c r="S600" s="173" t="str">
        <f>MID(PAA[[#This Row],[Meta Proyecto de Inversión]],1,4)</f>
        <v>8126</v>
      </c>
      <c r="T600" s="173" t="str">
        <f>MID(PAA[[#This Row],[Meta Proyecto de Inversión]],6,1)</f>
        <v>7</v>
      </c>
      <c r="U600" s="178" t="str">
        <f>IFERROR(VLOOKUP(N600,TD!$B$50:$F$54,2,0)," ")</f>
        <v>O230117</v>
      </c>
      <c r="V600" s="178" t="str">
        <f>IFERROR(VLOOKUP(N600,TD!$B$50:$F$54,3,0)," ")</f>
        <v>4599</v>
      </c>
      <c r="W600" s="178">
        <f>IFERROR(VLOOKUP(N600,TD!$B$50:$F$54,4,0)," ")</f>
        <v>20240207</v>
      </c>
      <c r="X600" s="173" t="s">
        <v>168</v>
      </c>
      <c r="Y600" s="163" t="str">
        <f>IFERROR(VLOOKUP(X600,TD!$J$51:$K$64,2,0)," ")</f>
        <v>Infraestructura Tecnológica   (Sistemas de Información y Tecnologia)</v>
      </c>
      <c r="Z600" s="175" t="str">
        <f>CONCATENATE(X600,"-",Y600)</f>
        <v>11-Infraestructura Tecnológica   (Sistemas de Información y Tecnologia)</v>
      </c>
      <c r="AA600" s="173" t="s">
        <v>228</v>
      </c>
      <c r="AB600" s="163" t="str">
        <f>IFERROR(VLOOKUP(AA600,TD!$N$51:$O$66,2,0)," ")</f>
        <v>Servicios tecnológicos</v>
      </c>
      <c r="AC600" s="175" t="str">
        <f>CONCATENATE(AA600,"_",AB600)</f>
        <v>007_Servicios tecnológicos</v>
      </c>
      <c r="AD600" s="175" t="str">
        <f>CONCATENATE(Z600," ",AC600)</f>
        <v>11-Infraestructura Tecnológica   (Sistemas de Información y Tecnologia) 007_Servicios tecnológicos</v>
      </c>
      <c r="AE600" s="178" t="str">
        <f>CONCATENATE(U600,V600,W600,X600,AA600)</f>
        <v>O23011745992024020711007</v>
      </c>
      <c r="AF600" s="163" t="str">
        <f>IFERROR(VLOOKUP(AD600,TD!$J$66:$K$89,2,0)," ")</f>
        <v>PM/0131/0111/45990070207</v>
      </c>
      <c r="AG600" s="135" t="s">
        <v>385</v>
      </c>
      <c r="AH600" s="180" t="s">
        <v>193</v>
      </c>
      <c r="AI600" s="181" t="str">
        <f>CONCATENATE(PAA[[#This Row],[Id Interno]],"-",PAA[[#This Row],[tipo de Contrato (TH talento humano - B/S bienes y/o servicios)]],"-",S600,"-",T600,"-",PAA[[#This Row],[Objeto de la contratación]])</f>
        <v>20260587-TH-8126-7-Prestar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v>
      </c>
    </row>
    <row r="601" spans="2:35" ht="112" x14ac:dyDescent="0.35">
      <c r="B601" s="142">
        <v>20260588</v>
      </c>
      <c r="C601" s="121" t="s">
        <v>932</v>
      </c>
      <c r="D601" s="130" t="s">
        <v>92</v>
      </c>
      <c r="E601" s="130" t="s">
        <v>402</v>
      </c>
      <c r="F601" s="130" t="s">
        <v>111</v>
      </c>
      <c r="G601" s="131" t="s">
        <v>375</v>
      </c>
      <c r="H601" s="137">
        <v>1</v>
      </c>
      <c r="I601" s="137">
        <v>12</v>
      </c>
      <c r="J601" s="132">
        <v>2386600</v>
      </c>
      <c r="K601" s="133" t="s">
        <v>398</v>
      </c>
      <c r="L601" s="177" t="s">
        <v>155</v>
      </c>
      <c r="M601" s="173" t="s">
        <v>422</v>
      </c>
      <c r="N601" s="130" t="s">
        <v>197</v>
      </c>
      <c r="O601" s="205" t="s">
        <v>945</v>
      </c>
      <c r="P601" s="173" t="s">
        <v>348</v>
      </c>
      <c r="Q601" s="134" t="s">
        <v>768</v>
      </c>
      <c r="R601" s="173" t="s">
        <v>207</v>
      </c>
      <c r="S601" s="173" t="str">
        <f>MID(PAA[[#This Row],[Meta Proyecto de Inversión]],1,4)</f>
        <v>8126</v>
      </c>
      <c r="T601" s="173" t="str">
        <f>MID(PAA[[#This Row],[Meta Proyecto de Inversión]],6,1)</f>
        <v>8</v>
      </c>
      <c r="U601" s="178" t="str">
        <f>IFERROR(VLOOKUP(N601,TD!$B$50:$F$54,2,0)," ")</f>
        <v>O230117</v>
      </c>
      <c r="V601" s="178" t="str">
        <f>IFERROR(VLOOKUP(N601,TD!$B$50:$F$54,3,0)," ")</f>
        <v>4599</v>
      </c>
      <c r="W601" s="178">
        <f>IFERROR(VLOOKUP(N601,TD!$B$50:$F$54,4,0)," ")</f>
        <v>20240207</v>
      </c>
      <c r="X601" s="173" t="s">
        <v>174</v>
      </c>
      <c r="Y601" s="163" t="str">
        <f>IFERROR(VLOOKUP(X601,TD!$J$51:$K$64,2,0)," ")</f>
        <v>Infraestructura física, mantenimiento y dotación (Sedes construidas, mantenidas reforzadas)</v>
      </c>
      <c r="Z601" s="175" t="str">
        <f>CONCATENATE(X601,"-",Y601)</f>
        <v>08-Infraestructura física, mantenimiento y dotación (Sedes construidas, mantenidas reforzadas)</v>
      </c>
      <c r="AA601" s="173" t="s">
        <v>227</v>
      </c>
      <c r="AB601" s="163" t="str">
        <f>IFERROR(VLOOKUP(AA601,TD!$N$51:$O$66,2,0)," ")</f>
        <v>Sedes mantenidas</v>
      </c>
      <c r="AC601" s="175" t="str">
        <f>CONCATENATE(AA601,"_",AB601)</f>
        <v>016_Sedes mantenidas</v>
      </c>
      <c r="AD601" s="175" t="str">
        <f>CONCATENATE(Z601," ",AC601)</f>
        <v>08-Infraestructura física, mantenimiento y dotación (Sedes construidas, mantenidas reforzadas) 016_Sedes mantenidas</v>
      </c>
      <c r="AE601" s="178" t="str">
        <f>CONCATENATE(U601,V601,W601,X601,AA601)</f>
        <v>O23011745992024020708016</v>
      </c>
      <c r="AF601" s="163" t="str">
        <f>IFERROR(VLOOKUP(AD601,TD!$J$66:$K$89,2,0)," ")</f>
        <v>PM/0131/0108/45990160207</v>
      </c>
      <c r="AG601" s="135" t="s">
        <v>134</v>
      </c>
      <c r="AH601" s="180" t="s">
        <v>194</v>
      </c>
      <c r="AI601" s="181" t="str">
        <f>CONCATENATE(PAA[[#This Row],[Id Interno]],"-",PAA[[#This Row],[tipo de Contrato (TH talento humano - B/S bienes y/o servicios)]],"-",S601,"-",T601,"-",PAA[[#This Row],[Objeto de la contratación]])</f>
        <v>20260588-BS-8126-8-Adición y prórroga No. 1 al contrato 698 de 2025 que tiene como objeto “Prestar el servicio y mantenimiento de equipos de higienización, desodorización y aromatización para la UAECOB-SGC"</v>
      </c>
    </row>
    <row r="602" spans="2:35" ht="66" customHeight="1" x14ac:dyDescent="0.35">
      <c r="B602" s="142">
        <v>20260589</v>
      </c>
      <c r="C602" s="121" t="s">
        <v>933</v>
      </c>
      <c r="D602" s="130" t="s">
        <v>105</v>
      </c>
      <c r="E602" s="130" t="s">
        <v>363</v>
      </c>
      <c r="F602" s="130" t="s">
        <v>144</v>
      </c>
      <c r="G602" s="131" t="s">
        <v>373</v>
      </c>
      <c r="H602" s="137">
        <v>10</v>
      </c>
      <c r="I602" s="137">
        <v>0</v>
      </c>
      <c r="J602" s="132">
        <v>51610870</v>
      </c>
      <c r="K602" s="133" t="s">
        <v>398</v>
      </c>
      <c r="L602" s="177" t="s">
        <v>155</v>
      </c>
      <c r="M602" s="173" t="s">
        <v>422</v>
      </c>
      <c r="N602" s="130" t="s">
        <v>198</v>
      </c>
      <c r="O602" s="205" t="s">
        <v>946</v>
      </c>
      <c r="P602" s="173" t="s">
        <v>348</v>
      </c>
      <c r="Q602" s="134" t="s">
        <v>766</v>
      </c>
      <c r="R602" s="173" t="s">
        <v>216</v>
      </c>
      <c r="S602" s="173" t="str">
        <f>MID(PAA[[#This Row],[Meta Proyecto de Inversión]],1,4)</f>
        <v>8173</v>
      </c>
      <c r="T602" s="173" t="str">
        <f>MID(PAA[[#This Row],[Meta Proyecto de Inversión]],6,1)</f>
        <v>7</v>
      </c>
      <c r="U602" s="178" t="str">
        <f>IFERROR(VLOOKUP(N602,TD!$B$50:$F$54,2,0)," ")</f>
        <v>O230117</v>
      </c>
      <c r="V602" s="178" t="str">
        <f>IFERROR(VLOOKUP(N602,TD!$B$50:$F$54,3,0)," ")</f>
        <v>4503</v>
      </c>
      <c r="W602" s="178">
        <f>IFERROR(VLOOKUP(N602,TD!$B$50:$F$54,4,0)," ")</f>
        <v>20240255</v>
      </c>
      <c r="X602" s="173">
        <v>14</v>
      </c>
      <c r="Y602" s="163" t="str">
        <f>IFERROR(VLOOKUP(X602,TD!$J$51:$K$64,2,0)," ")</f>
        <v xml:space="preserve">Infraestructura física misional construida mantenida y dotada </v>
      </c>
      <c r="Z602" s="175" t="str">
        <f>CONCATENATE(X602,"-",Y602)</f>
        <v xml:space="preserve">14-Infraestructura física misional construida mantenida y dotada </v>
      </c>
      <c r="AA602" s="173" t="s">
        <v>225</v>
      </c>
      <c r="AB602" s="163" t="str">
        <f>IFERROR(VLOOKUP(AA602,TD!$N$51:$O$66,2,0)," ")</f>
        <v>Estaciones de bomberos adecuadas</v>
      </c>
      <c r="AC602" s="175" t="str">
        <f>CONCATENATE(AA602,"_",AB602)</f>
        <v>014_Estaciones de bomberos adecuadas</v>
      </c>
      <c r="AD602" s="175" t="str">
        <f>CONCATENATE(Z602," ",AC602)</f>
        <v>14-Infraestructura física misional construida mantenida y dotada  014_Estaciones de bomberos adecuadas</v>
      </c>
      <c r="AE602" s="178" t="str">
        <f>CONCATENATE(U602,V602,W602,X602,AA602)</f>
        <v>O23011745032024025514014</v>
      </c>
      <c r="AF602" s="163" t="str">
        <f>IFERROR(VLOOKUP(AD602,TD!$J$66:$K$89,2,0)," ")</f>
        <v>PM/0131/0114/45030140255</v>
      </c>
      <c r="AG602" s="135" t="s">
        <v>385</v>
      </c>
      <c r="AH602" s="180" t="s">
        <v>193</v>
      </c>
      <c r="AI602" s="181" t="str">
        <f>CONCATENATE(PAA[[#This Row],[Id Interno]],"-",PAA[[#This Row],[tipo de Contrato (TH talento humano - B/S bienes y/o servicios)]],"-",S602,"-",T602,"-",PAA[[#This Row],[Objeto de la contratación]])</f>
        <v>20260589-TH-8173-7-Prestación de servicios profesionales para apoyar las actividades jurídicas de la Subdirección de Gestión Corporativa-SGC</v>
      </c>
    </row>
    <row r="603" spans="2:35" ht="70" x14ac:dyDescent="0.35">
      <c r="B603" s="142">
        <v>20260590</v>
      </c>
      <c r="C603" s="121" t="s">
        <v>700</v>
      </c>
      <c r="D603" s="130" t="s">
        <v>105</v>
      </c>
      <c r="E603" s="130" t="s">
        <v>363</v>
      </c>
      <c r="F603" s="130" t="s">
        <v>145</v>
      </c>
      <c r="G603" s="131" t="s">
        <v>373</v>
      </c>
      <c r="H603" s="137">
        <v>6</v>
      </c>
      <c r="I603" s="137">
        <v>0</v>
      </c>
      <c r="J603" s="132">
        <v>19705968</v>
      </c>
      <c r="K603" s="133" t="s">
        <v>398</v>
      </c>
      <c r="L603" s="177" t="s">
        <v>155</v>
      </c>
      <c r="M603" s="173" t="s">
        <v>422</v>
      </c>
      <c r="N603" s="130" t="s">
        <v>197</v>
      </c>
      <c r="O603" s="205" t="s">
        <v>945</v>
      </c>
      <c r="P603" s="173" t="s">
        <v>348</v>
      </c>
      <c r="Q603" s="134" t="s">
        <v>766</v>
      </c>
      <c r="R603" s="173" t="s">
        <v>207</v>
      </c>
      <c r="S603" s="173" t="str">
        <f>MID(PAA[[#This Row],[Meta Proyecto de Inversión]],1,4)</f>
        <v>8126</v>
      </c>
      <c r="T603" s="173" t="str">
        <f>MID(PAA[[#This Row],[Meta Proyecto de Inversión]],6,1)</f>
        <v>8</v>
      </c>
      <c r="U603" s="178" t="str">
        <f>IFERROR(VLOOKUP(N603,TD!$B$50:$F$54,2,0)," ")</f>
        <v>O230117</v>
      </c>
      <c r="V603" s="178" t="str">
        <f>IFERROR(VLOOKUP(N603,TD!$B$50:$F$54,3,0)," ")</f>
        <v>4599</v>
      </c>
      <c r="W603" s="178">
        <f>IFERROR(VLOOKUP(N603,TD!$B$50:$F$54,4,0)," ")</f>
        <v>20240207</v>
      </c>
      <c r="X603" s="173" t="s">
        <v>174</v>
      </c>
      <c r="Y603" s="163" t="str">
        <f>IFERROR(VLOOKUP(X603,TD!$J$51:$K$64,2,0)," ")</f>
        <v>Infraestructura física, mantenimiento y dotación (Sedes construidas, mantenidas reforzadas)</v>
      </c>
      <c r="Z603" s="175" t="str">
        <f>CONCATENATE(X603,"-",Y603)</f>
        <v>08-Infraestructura física, mantenimiento y dotación (Sedes construidas, mantenidas reforzadas)</v>
      </c>
      <c r="AA603" s="173" t="s">
        <v>227</v>
      </c>
      <c r="AB603" s="163" t="str">
        <f>IFERROR(VLOOKUP(AA603,TD!$N$51:$O$66,2,0)," ")</f>
        <v>Sedes mantenidas</v>
      </c>
      <c r="AC603" s="175" t="str">
        <f>CONCATENATE(AA603,"_",AB603)</f>
        <v>016_Sedes mantenidas</v>
      </c>
      <c r="AD603" s="175" t="str">
        <f>CONCATENATE(Z603," ",AC603)</f>
        <v>08-Infraestructura física, mantenimiento y dotación (Sedes construidas, mantenidas reforzadas) 016_Sedes mantenidas</v>
      </c>
      <c r="AE603" s="178" t="str">
        <f>CONCATENATE(U603,V603,W603,X603,AA603)</f>
        <v>O23011745992024020708016</v>
      </c>
      <c r="AF603" s="178" t="str">
        <f>IFERROR(VLOOKUP(AD603,TD!$J$66:$K$89,2,0)," ")</f>
        <v>PM/0131/0108/45990160207</v>
      </c>
      <c r="AG603" s="135" t="s">
        <v>385</v>
      </c>
      <c r="AH603" s="170" t="s">
        <v>193</v>
      </c>
      <c r="AI603" s="181" t="str">
        <f>CONCATENATE(PAA[[#This Row],[Id Interno]],"-",PAA[[#This Row],[tipo de Contrato (TH talento humano - B/S bienes y/o servicios)]],"-",S603,"-",T603,"-",PAA[[#This Row],[Objeto de la contratación]])</f>
        <v>20260590-TH-8126-8-Prestación de servicios de apoyo a la gestión, en la Subdirección de Gestión Corporativa en temas de infraestructura para el sostenimiento y mejoramiento de los equipamientos de la Unidad Administrativa Especial Cuerpo Oficial de Bomberos de Bogotá-SGC</v>
      </c>
    </row>
    <row r="604" spans="2:35" ht="56" x14ac:dyDescent="0.35">
      <c r="B604" s="149">
        <v>20260592</v>
      </c>
      <c r="C604" s="99" t="s">
        <v>681</v>
      </c>
      <c r="D604" s="23" t="s">
        <v>105</v>
      </c>
      <c r="E604" s="23" t="s">
        <v>363</v>
      </c>
      <c r="F604" s="23" t="s">
        <v>145</v>
      </c>
      <c r="G604" s="129" t="s">
        <v>373</v>
      </c>
      <c r="H604" s="136">
        <v>6</v>
      </c>
      <c r="I604" s="136">
        <v>0</v>
      </c>
      <c r="J604" s="127">
        <v>19705968</v>
      </c>
      <c r="K604" s="88" t="s">
        <v>398</v>
      </c>
      <c r="L604" s="159" t="s">
        <v>155</v>
      </c>
      <c r="M604" s="162" t="s">
        <v>422</v>
      </c>
      <c r="N604" s="23" t="s">
        <v>197</v>
      </c>
      <c r="O604" s="151" t="s">
        <v>945</v>
      </c>
      <c r="P604" s="162" t="s">
        <v>348</v>
      </c>
      <c r="Q604" s="53" t="s">
        <v>766</v>
      </c>
      <c r="R604" s="162" t="s">
        <v>208</v>
      </c>
      <c r="S604" s="162" t="str">
        <f>MID(PAA[[#This Row],[Meta Proyecto de Inversión]],1,4)</f>
        <v>8126</v>
      </c>
      <c r="T604" s="162" t="str">
        <f>MID(PAA[[#This Row],[Meta Proyecto de Inversión]],6,1)</f>
        <v>9</v>
      </c>
      <c r="U604" s="163" t="str">
        <f>IFERROR(VLOOKUP(N604,TD!$B$50:$F$54,2,0)," ")</f>
        <v>O230117</v>
      </c>
      <c r="V604" s="163" t="str">
        <f>IFERROR(VLOOKUP(N604,TD!$B$50:$F$54,3,0)," ")</f>
        <v>4599</v>
      </c>
      <c r="W604" s="163">
        <f>IFERROR(VLOOKUP(N604,TD!$B$50:$F$54,4,0)," ")</f>
        <v>20240207</v>
      </c>
      <c r="X604" s="173" t="s">
        <v>174</v>
      </c>
      <c r="Y604" s="163" t="str">
        <f>IFERROR(VLOOKUP(X604,TD!$J$51:$K$64,2,0)," ")</f>
        <v>Infraestructura física, mantenimiento y dotación (Sedes construidas, mantenidas reforzadas)</v>
      </c>
      <c r="Z604" s="175" t="str">
        <f>CONCATENATE(X604,"-",Y604)</f>
        <v>08-Infraestructura física, mantenimiento y dotación (Sedes construidas, mantenidas reforzadas)</v>
      </c>
      <c r="AA604" s="173" t="s">
        <v>227</v>
      </c>
      <c r="AB604" s="163" t="str">
        <f>IFERROR(VLOOKUP(AA604,TD!$N$51:$O$66,2,0)," ")</f>
        <v>Sedes mantenidas</v>
      </c>
      <c r="AC604" s="164" t="str">
        <f>CONCATENATE(AA604,"_",AB604)</f>
        <v>016_Sedes mantenidas</v>
      </c>
      <c r="AD604" s="164" t="str">
        <f>CONCATENATE(Z604," ",AC604)</f>
        <v>08-Infraestructura física, mantenimiento y dotación (Sedes construidas, mantenidas reforzadas) 016_Sedes mantenidas</v>
      </c>
      <c r="AE604" s="163" t="str">
        <f>CONCATENATE(U604,V604,W604,X604,AA604)</f>
        <v>O23011745992024020708016</v>
      </c>
      <c r="AF604" s="163" t="str">
        <f>IFERROR(VLOOKUP(AD604,TD!$J$66:$K$89,2,0)," ")</f>
        <v>PM/0131/0108/45990160207</v>
      </c>
      <c r="AG604" s="135" t="s">
        <v>385</v>
      </c>
      <c r="AH604" s="170" t="s">
        <v>193</v>
      </c>
      <c r="AI604" s="181" t="str">
        <f>CONCATENATE(PAA[[#This Row],[Id Interno]],"-",PAA[[#This Row],[tipo de Contrato (TH talento humano - B/S bienes y/o servicios)]],"-",S604,"-",T604,"-",PAA[[#This Row],[Objeto de la contratación]])</f>
        <v>20260592-TH-8126-9-Prestación de servicios de apoyo a la gestión del proceso de inventarios de la Subdirección de Gestión Corporativa.-SGC</v>
      </c>
    </row>
    <row r="605" spans="2:35" ht="70" x14ac:dyDescent="0.35">
      <c r="B605" s="149">
        <v>20260594</v>
      </c>
      <c r="C605" s="99" t="s">
        <v>934</v>
      </c>
      <c r="D605" s="23" t="s">
        <v>105</v>
      </c>
      <c r="E605" s="23" t="s">
        <v>363</v>
      </c>
      <c r="F605" s="23" t="s">
        <v>144</v>
      </c>
      <c r="G605" s="129" t="s">
        <v>373</v>
      </c>
      <c r="H605" s="136">
        <v>10</v>
      </c>
      <c r="I605" s="136">
        <v>0</v>
      </c>
      <c r="J605" s="127">
        <v>51610870</v>
      </c>
      <c r="K605" s="88" t="s">
        <v>398</v>
      </c>
      <c r="L605" s="159" t="s">
        <v>155</v>
      </c>
      <c r="M605" s="162" t="s">
        <v>422</v>
      </c>
      <c r="N605" s="23" t="s">
        <v>197</v>
      </c>
      <c r="O605" s="151" t="s">
        <v>945</v>
      </c>
      <c r="P605" s="162" t="s">
        <v>348</v>
      </c>
      <c r="Q605" s="53" t="s">
        <v>766</v>
      </c>
      <c r="R605" s="162" t="s">
        <v>208</v>
      </c>
      <c r="S605" s="162" t="str">
        <f>MID(PAA[[#This Row],[Meta Proyecto de Inversión]],1,4)</f>
        <v>8126</v>
      </c>
      <c r="T605" s="162" t="str">
        <f>MID(PAA[[#This Row],[Meta Proyecto de Inversión]],6,1)</f>
        <v>9</v>
      </c>
      <c r="U605" s="163" t="str">
        <f>IFERROR(VLOOKUP(N605,TD!$B$50:$F$54,2,0)," ")</f>
        <v>O230117</v>
      </c>
      <c r="V605" s="163" t="str">
        <f>IFERROR(VLOOKUP(N605,TD!$B$50:$F$54,3,0)," ")</f>
        <v>4599</v>
      </c>
      <c r="W605" s="163">
        <f>IFERROR(VLOOKUP(N605,TD!$B$50:$F$54,4,0)," ")</f>
        <v>20240207</v>
      </c>
      <c r="X605" s="173" t="s">
        <v>174</v>
      </c>
      <c r="Y605" s="163" t="str">
        <f>IFERROR(VLOOKUP(X605,TD!$J$51:$K$64,2,0)," ")</f>
        <v>Infraestructura física, mantenimiento y dotación (Sedes construidas, mantenidas reforzadas)</v>
      </c>
      <c r="Z605" s="175" t="str">
        <f>CONCATENATE(X605,"-",Y605)</f>
        <v>08-Infraestructura física, mantenimiento y dotación (Sedes construidas, mantenidas reforzadas)</v>
      </c>
      <c r="AA605" s="173" t="s">
        <v>227</v>
      </c>
      <c r="AB605" s="163" t="str">
        <f>IFERROR(VLOOKUP(AA605,TD!$N$51:$O$66,2,0)," ")</f>
        <v>Sedes mantenidas</v>
      </c>
      <c r="AC605" s="164" t="str">
        <f>CONCATENATE(AA605,"_",AB605)</f>
        <v>016_Sedes mantenidas</v>
      </c>
      <c r="AD605" s="164" t="str">
        <f>CONCATENATE(Z605," ",AC605)</f>
        <v>08-Infraestructura física, mantenimiento y dotación (Sedes construidas, mantenidas reforzadas) 016_Sedes mantenidas</v>
      </c>
      <c r="AE605" s="163" t="str">
        <f>CONCATENATE(U605,V605,W605,X605,AA605)</f>
        <v>O23011745992024020708016</v>
      </c>
      <c r="AF605" s="163" t="str">
        <f>IFERROR(VLOOKUP(AD605,TD!$J$66:$K$89,2,0)," ")</f>
        <v>PM/0131/0108/45990160207</v>
      </c>
      <c r="AG605" s="135" t="s">
        <v>385</v>
      </c>
      <c r="AH605" s="170" t="s">
        <v>193</v>
      </c>
      <c r="AI605" s="181" t="str">
        <f>CONCATENATE(PAA[[#This Row],[Id Interno]],"-",PAA[[#This Row],[tipo de Contrato (TH talento humano - B/S bienes y/o servicios)]],"-",S605,"-",T605,"-",PAA[[#This Row],[Objeto de la contratación]])</f>
        <v>20260594-TH-8126-9-Prestación de servicios profesionales, en temas jurídicos de la gestión administrativa a cargo de la Subdirección de Gestión Corporativa.- SGC</v>
      </c>
    </row>
    <row r="606" spans="2:35" ht="70" x14ac:dyDescent="0.35">
      <c r="B606" s="149">
        <v>20260595</v>
      </c>
      <c r="C606" s="99" t="s">
        <v>935</v>
      </c>
      <c r="D606" s="23" t="s">
        <v>88</v>
      </c>
      <c r="E606" s="23" t="s">
        <v>402</v>
      </c>
      <c r="F606" s="23" t="s">
        <v>136</v>
      </c>
      <c r="G606" s="129" t="s">
        <v>374</v>
      </c>
      <c r="H606" s="136">
        <v>0</v>
      </c>
      <c r="I606" s="136">
        <v>0</v>
      </c>
      <c r="J606" s="127">
        <v>20000000</v>
      </c>
      <c r="K606" s="88" t="s">
        <v>398</v>
      </c>
      <c r="L606" s="159" t="s">
        <v>155</v>
      </c>
      <c r="M606" s="162" t="s">
        <v>422</v>
      </c>
      <c r="N606" s="23" t="s">
        <v>197</v>
      </c>
      <c r="O606" s="151" t="s">
        <v>945</v>
      </c>
      <c r="P606" s="162" t="s">
        <v>348</v>
      </c>
      <c r="Q606" s="53" t="s">
        <v>769</v>
      </c>
      <c r="R606" s="162" t="s">
        <v>207</v>
      </c>
      <c r="S606" s="162" t="str">
        <f>MID(PAA[[#This Row],[Meta Proyecto de Inversión]],1,4)</f>
        <v>8126</v>
      </c>
      <c r="T606" s="162" t="str">
        <f>MID(PAA[[#This Row],[Meta Proyecto de Inversión]],6,1)</f>
        <v>8</v>
      </c>
      <c r="U606" s="163" t="str">
        <f>IFERROR(VLOOKUP(N606,TD!$B$50:$F$54,2,0)," ")</f>
        <v>O230117</v>
      </c>
      <c r="V606" s="163" t="str">
        <f>IFERROR(VLOOKUP(N606,TD!$B$50:$F$54,3,0)," ")</f>
        <v>4599</v>
      </c>
      <c r="W606" s="163">
        <f>IFERROR(VLOOKUP(N606,TD!$B$50:$F$54,4,0)," ")</f>
        <v>20240207</v>
      </c>
      <c r="X606" s="173" t="s">
        <v>174</v>
      </c>
      <c r="Y606" s="163" t="str">
        <f>IFERROR(VLOOKUP(X606,TD!$J$51:$K$64,2,0)," ")</f>
        <v>Infraestructura física, mantenimiento y dotación (Sedes construidas, mantenidas reforzadas)</v>
      </c>
      <c r="Z606" s="175" t="str">
        <f>CONCATENATE(X606,"-",Y606)</f>
        <v>08-Infraestructura física, mantenimiento y dotación (Sedes construidas, mantenidas reforzadas)</v>
      </c>
      <c r="AA606" s="173" t="s">
        <v>227</v>
      </c>
      <c r="AB606" s="163" t="str">
        <f>IFERROR(VLOOKUP(AA606,TD!$N$51:$O$66,2,0)," ")</f>
        <v>Sedes mantenidas</v>
      </c>
      <c r="AC606" s="164" t="str">
        <f>CONCATENATE(AA606,"_",AB606)</f>
        <v>016_Sedes mantenidas</v>
      </c>
      <c r="AD606" s="164" t="str">
        <f>CONCATENATE(Z606," ",AC606)</f>
        <v>08-Infraestructura física, mantenimiento y dotación (Sedes construidas, mantenidas reforzadas) 016_Sedes mantenidas</v>
      </c>
      <c r="AE606" s="163" t="str">
        <f>CONCATENATE(U606,V606,W606,X606,AA606)</f>
        <v>O23011745992024020708016</v>
      </c>
      <c r="AF606" s="163" t="str">
        <f>IFERROR(VLOOKUP(AD606,TD!$J$66:$K$89,2,0)," ")</f>
        <v>PM/0131/0108/45990160207</v>
      </c>
      <c r="AG606" s="135" t="s">
        <v>80</v>
      </c>
      <c r="AH606" s="170" t="s">
        <v>194</v>
      </c>
      <c r="AI606" s="181" t="str">
        <f>CONCATENATE(PAA[[#This Row],[Id Interno]],"-",PAA[[#This Row],[tipo de Contrato (TH talento humano - B/S bienes y/o servicios)]],"-",S606,"-",T606,"-",PAA[[#This Row],[Objeto de la contratación]])</f>
        <v>20260595-BS-8126-8-Adición No. 1 al contrato 698 de 2025 que tiene como objeto “Mantenimiento preventivo y/o correctivo, suministros y repuestos de los equipos gasodomésticos y solares y adecuaciones de las redes de gas natural para las Estaciones de la Unidad Administrativa Especial Cuerpo Oficial de Bomberos Bogotá -SGC</v>
      </c>
    </row>
    <row r="607" spans="2:35" ht="70" x14ac:dyDescent="0.35">
      <c r="B607" s="149">
        <v>20260596</v>
      </c>
      <c r="C607" s="99" t="s">
        <v>936</v>
      </c>
      <c r="D607" s="23" t="s">
        <v>78</v>
      </c>
      <c r="E607" s="23" t="s">
        <v>402</v>
      </c>
      <c r="F607" s="23" t="s">
        <v>133</v>
      </c>
      <c r="G607" s="129" t="s">
        <v>376</v>
      </c>
      <c r="H607" s="136">
        <v>3</v>
      </c>
      <c r="I607" s="136">
        <v>12</v>
      </c>
      <c r="J607" s="127">
        <v>2066812200</v>
      </c>
      <c r="K607" s="88" t="s">
        <v>398</v>
      </c>
      <c r="L607" s="159" t="s">
        <v>155</v>
      </c>
      <c r="M607" s="162" t="s">
        <v>422</v>
      </c>
      <c r="N607" s="23" t="s">
        <v>330</v>
      </c>
      <c r="O607" s="151" t="s">
        <v>945</v>
      </c>
      <c r="P607" s="162" t="s">
        <v>161</v>
      </c>
      <c r="Q607" s="53" t="s">
        <v>789</v>
      </c>
      <c r="R607" s="162" t="s">
        <v>331</v>
      </c>
      <c r="S607" s="162" t="str">
        <f>MID(PAA[[#This Row],[Meta Proyecto de Inversión]],1,4)</f>
        <v>No a</v>
      </c>
      <c r="T607" s="162" t="str">
        <f>MID(PAA[[#This Row],[Meta Proyecto de Inversión]],6,1)</f>
        <v>l</v>
      </c>
      <c r="U607" s="163" t="str">
        <f>IFERROR(VLOOKUP(N607,TD!$B$50:$F$54,2,0)," ")</f>
        <v>NA</v>
      </c>
      <c r="V607" s="163" t="str">
        <f>IFERROR(VLOOKUP(N607,TD!$B$50:$F$54,3,0)," ")</f>
        <v>NA</v>
      </c>
      <c r="W607" s="163" t="str">
        <f>IFERROR(VLOOKUP(N607,TD!$B$50:$F$54,4,0)," ")</f>
        <v>NA</v>
      </c>
      <c r="X607" s="173" t="s">
        <v>335</v>
      </c>
      <c r="Y607" s="163" t="str">
        <f>IFERROR(VLOOKUP(X607,TD!$J$51:$K$64,2,0)," ")</f>
        <v>N/A</v>
      </c>
      <c r="Z607" s="175" t="str">
        <f>CONCATENATE(X607,"-",Y607)</f>
        <v>N/A-N/A</v>
      </c>
      <c r="AA607" s="173" t="s">
        <v>335</v>
      </c>
      <c r="AB607" s="163" t="str">
        <f>IFERROR(VLOOKUP(AA607,TD!$N$51:$O$66,2,0)," ")</f>
        <v>N/A</v>
      </c>
      <c r="AC607" s="164" t="str">
        <f>CONCATENATE(AA607,"_",AB607)</f>
        <v>N/A_N/A</v>
      </c>
      <c r="AD607" s="164" t="str">
        <f>CONCATENATE(Z607," ",AC607)</f>
        <v>N/A-N/A N/A_N/A</v>
      </c>
      <c r="AE607" s="163" t="str">
        <f>CONCATENATE(U607,V607,W607,X607,AA607)</f>
        <v>NANANAN/AN/A</v>
      </c>
      <c r="AF607" s="163" t="str">
        <f>IFERROR(VLOOKUP(AD607,TD!$J$66:$K$89,2,0)," ")</f>
        <v>N/A</v>
      </c>
      <c r="AG607" s="135" t="s">
        <v>332</v>
      </c>
      <c r="AH607" s="170" t="s">
        <v>194</v>
      </c>
      <c r="AI607" s="181" t="str">
        <f>CONCATENATE(PAA[[#This Row],[Id Interno]],"-",PAA[[#This Row],[tipo de Contrato (TH talento humano - B/S bienes y/o servicios)]],"-",S607,"-",T607,"-",PAA[[#This Row],[Objeto de la contratación]])</f>
        <v>20260596-BS-No a-l-Adición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v>
      </c>
    </row>
    <row r="608" spans="2:35" ht="70" x14ac:dyDescent="0.35">
      <c r="B608" s="149">
        <v>20260597</v>
      </c>
      <c r="C608" s="99" t="s">
        <v>937</v>
      </c>
      <c r="D608" s="23" t="s">
        <v>83</v>
      </c>
      <c r="E608" s="23" t="s">
        <v>402</v>
      </c>
      <c r="F608" s="23" t="s">
        <v>133</v>
      </c>
      <c r="G608" s="129" t="s">
        <v>378</v>
      </c>
      <c r="H608" s="136">
        <v>12</v>
      </c>
      <c r="I608" s="136">
        <v>0</v>
      </c>
      <c r="J608" s="127">
        <v>60000000</v>
      </c>
      <c r="K608" s="88" t="s">
        <v>398</v>
      </c>
      <c r="L608" s="159" t="s">
        <v>155</v>
      </c>
      <c r="M608" s="162" t="s">
        <v>422</v>
      </c>
      <c r="N608" s="23" t="s">
        <v>330</v>
      </c>
      <c r="O608" s="151" t="s">
        <v>945</v>
      </c>
      <c r="P608" s="162" t="s">
        <v>161</v>
      </c>
      <c r="Q608" s="53" t="s">
        <v>789</v>
      </c>
      <c r="R608" s="162" t="s">
        <v>331</v>
      </c>
      <c r="S608" s="162" t="str">
        <f>MID(PAA[[#This Row],[Meta Proyecto de Inversión]],1,4)</f>
        <v>No a</v>
      </c>
      <c r="T608" s="162" t="str">
        <f>MID(PAA[[#This Row],[Meta Proyecto de Inversión]],6,1)</f>
        <v>l</v>
      </c>
      <c r="U608" s="163" t="str">
        <f>IFERROR(VLOOKUP(N608,TD!$B$50:$F$54,2,0)," ")</f>
        <v>NA</v>
      </c>
      <c r="V608" s="163" t="str">
        <f>IFERROR(VLOOKUP(N608,TD!$B$50:$F$54,3,0)," ")</f>
        <v>NA</v>
      </c>
      <c r="W608" s="163" t="str">
        <f>IFERROR(VLOOKUP(N608,TD!$B$50:$F$54,4,0)," ")</f>
        <v>NA</v>
      </c>
      <c r="X608" s="173" t="s">
        <v>335</v>
      </c>
      <c r="Y608" s="163" t="str">
        <f>IFERROR(VLOOKUP(X608,TD!$J$51:$K$64,2,0)," ")</f>
        <v>N/A</v>
      </c>
      <c r="Z608" s="175" t="str">
        <f>CONCATENATE(X608,"-",Y608)</f>
        <v>N/A-N/A</v>
      </c>
      <c r="AA608" s="173" t="s">
        <v>335</v>
      </c>
      <c r="AB608" s="163" t="str">
        <f>IFERROR(VLOOKUP(AA608,TD!$N$51:$O$66,2,0)," ")</f>
        <v>N/A</v>
      </c>
      <c r="AC608" s="164" t="str">
        <f>CONCATENATE(AA608,"_",AB608)</f>
        <v>N/A_N/A</v>
      </c>
      <c r="AD608" s="164" t="str">
        <f>CONCATENATE(Z608," ",AC608)</f>
        <v>N/A-N/A N/A_N/A</v>
      </c>
      <c r="AE608" s="163" t="str">
        <f>CONCATENATE(U608,V608,W608,X608,AA608)</f>
        <v>NANANAN/AN/A</v>
      </c>
      <c r="AF608" s="163" t="str">
        <f>IFERROR(VLOOKUP(AD608,TD!$J$66:$K$89,2,0)," ")</f>
        <v>N/A</v>
      </c>
      <c r="AG608" s="135" t="s">
        <v>332</v>
      </c>
      <c r="AH608" s="170" t="s">
        <v>194</v>
      </c>
      <c r="AI608" s="181" t="str">
        <f>CONCATENATE(PAA[[#This Row],[Id Interno]],"-",PAA[[#This Row],[tipo de Contrato (TH talento humano - B/S bienes y/o servicios)]],"-",S608,"-",T608,"-",PAA[[#This Row],[Objeto de la contratación]])</f>
        <v>20260597-BS-No a-l- Adición No. 1 al contrato 578 de 2025 que tiene como objeto “  Contratar los seguros obligatorios "SOAT" para el parque automotor de propiedad de la Unidad Administrativa Especial Cuerpo Oficial de Bomberos Bogotá D.C y de aquellos por los cuales fuere legalmente responsable-SGC</v>
      </c>
    </row>
    <row r="609" spans="2:35" ht="70" x14ac:dyDescent="0.35">
      <c r="B609" s="149">
        <v>20260598</v>
      </c>
      <c r="C609" s="99" t="s">
        <v>938</v>
      </c>
      <c r="D609" s="23" t="s">
        <v>114</v>
      </c>
      <c r="E609" s="23" t="s">
        <v>402</v>
      </c>
      <c r="F609" s="23" t="s">
        <v>89</v>
      </c>
      <c r="G609" s="129" t="s">
        <v>373</v>
      </c>
      <c r="H609" s="136">
        <v>1</v>
      </c>
      <c r="I609" s="136">
        <v>0</v>
      </c>
      <c r="J609" s="127">
        <v>45000000</v>
      </c>
      <c r="K609" s="88" t="s">
        <v>398</v>
      </c>
      <c r="L609" s="159" t="s">
        <v>155</v>
      </c>
      <c r="M609" s="162" t="s">
        <v>422</v>
      </c>
      <c r="N609" s="23" t="s">
        <v>197</v>
      </c>
      <c r="O609" s="151" t="s">
        <v>945</v>
      </c>
      <c r="P609" s="162" t="s">
        <v>348</v>
      </c>
      <c r="Q609" s="53" t="s">
        <v>767</v>
      </c>
      <c r="R609" s="162" t="s">
        <v>207</v>
      </c>
      <c r="S609" s="162" t="str">
        <f>MID(PAA[[#This Row],[Meta Proyecto de Inversión]],1,4)</f>
        <v>8126</v>
      </c>
      <c r="T609" s="162" t="str">
        <f>MID(PAA[[#This Row],[Meta Proyecto de Inversión]],6,1)</f>
        <v>8</v>
      </c>
      <c r="U609" s="163" t="str">
        <f>IFERROR(VLOOKUP(N609,TD!$B$50:$F$54,2,0)," ")</f>
        <v>O230117</v>
      </c>
      <c r="V609" s="163" t="str">
        <f>IFERROR(VLOOKUP(N609,TD!$B$50:$F$54,3,0)," ")</f>
        <v>4599</v>
      </c>
      <c r="W609" s="163">
        <f>IFERROR(VLOOKUP(N609,TD!$B$50:$F$54,4,0)," ")</f>
        <v>20240207</v>
      </c>
      <c r="X609" s="173" t="s">
        <v>174</v>
      </c>
      <c r="Y609" s="163" t="str">
        <f>IFERROR(VLOOKUP(X609,TD!$J$51:$K$64,2,0)," ")</f>
        <v>Infraestructura física, mantenimiento y dotación (Sedes construidas, mantenidas reforzadas)</v>
      </c>
      <c r="Z609" s="175" t="str">
        <f>CONCATENATE(X609,"-",Y609)</f>
        <v>08-Infraestructura física, mantenimiento y dotación (Sedes construidas, mantenidas reforzadas)</v>
      </c>
      <c r="AA609" s="173" t="s">
        <v>227</v>
      </c>
      <c r="AB609" s="163" t="str">
        <f>IFERROR(VLOOKUP(AA609,TD!$N$51:$O$66,2,0)," ")</f>
        <v>Sedes mantenidas</v>
      </c>
      <c r="AC609" s="164" t="str">
        <f>CONCATENATE(AA609,"_",AB609)</f>
        <v>016_Sedes mantenidas</v>
      </c>
      <c r="AD609" s="164" t="str">
        <f>CONCATENATE(Z609," ",AC609)</f>
        <v>08-Infraestructura física, mantenimiento y dotación (Sedes construidas, mantenidas reforzadas) 016_Sedes mantenidas</v>
      </c>
      <c r="AE609" s="163" t="str">
        <f>CONCATENATE(U609,V609,W609,X609,AA609)</f>
        <v>O23011745992024020708016</v>
      </c>
      <c r="AF609" s="163" t="str">
        <f>IFERROR(VLOOKUP(AD609,TD!$J$66:$K$89,2,0)," ")</f>
        <v>PM/0131/0108/45990160207</v>
      </c>
      <c r="AG609" s="135" t="s">
        <v>134</v>
      </c>
      <c r="AH609" s="170" t="s">
        <v>194</v>
      </c>
      <c r="AI609" s="181" t="str">
        <f>CONCATENATE(PAA[[#This Row],[Id Interno]],"-",PAA[[#This Row],[tipo de Contrato (TH talento humano - B/S bienes y/o servicios)]],"-",S609,"-",T609,"-",PAA[[#This Row],[Objeto de la contratación]])</f>
        <v>20260598-BS-8126-8-Adición y prórroga No. 2 al contrato 597 de 2025  que tiene como objeto " Contratar la prestación del servicio de aseo y cafetería incluido insumos para la UAE Cuerpo Oficial de Bomberos -SGC</v>
      </c>
    </row>
    <row r="610" spans="2:35" ht="70" x14ac:dyDescent="0.35">
      <c r="B610" s="149">
        <v>20260599</v>
      </c>
      <c r="C610" s="99" t="s">
        <v>938</v>
      </c>
      <c r="D610" s="23" t="s">
        <v>114</v>
      </c>
      <c r="E610" s="23" t="s">
        <v>402</v>
      </c>
      <c r="F610" s="23" t="s">
        <v>89</v>
      </c>
      <c r="G610" s="129" t="s">
        <v>373</v>
      </c>
      <c r="H610" s="136">
        <v>1</v>
      </c>
      <c r="I610" s="136">
        <v>0</v>
      </c>
      <c r="J610" s="127">
        <v>45000000</v>
      </c>
      <c r="K610" s="88" t="s">
        <v>398</v>
      </c>
      <c r="L610" s="159" t="s">
        <v>155</v>
      </c>
      <c r="M610" s="162" t="s">
        <v>422</v>
      </c>
      <c r="N610" s="23" t="s">
        <v>330</v>
      </c>
      <c r="O610" s="151" t="s">
        <v>945</v>
      </c>
      <c r="P610" s="162" t="s">
        <v>161</v>
      </c>
      <c r="Q610" s="53" t="s">
        <v>767</v>
      </c>
      <c r="R610" s="162" t="s">
        <v>331</v>
      </c>
      <c r="S610" s="162" t="str">
        <f>MID(PAA[[#This Row],[Meta Proyecto de Inversión]],1,4)</f>
        <v>No a</v>
      </c>
      <c r="T610" s="162" t="str">
        <f>MID(PAA[[#This Row],[Meta Proyecto de Inversión]],6,1)</f>
        <v>l</v>
      </c>
      <c r="U610" s="163" t="str">
        <f>IFERROR(VLOOKUP(N610,TD!$B$50:$F$54,2,0)," ")</f>
        <v>NA</v>
      </c>
      <c r="V610" s="163" t="str">
        <f>IFERROR(VLOOKUP(N610,TD!$B$50:$F$54,3,0)," ")</f>
        <v>NA</v>
      </c>
      <c r="W610" s="163" t="str">
        <f>IFERROR(VLOOKUP(N610,TD!$B$50:$F$54,4,0)," ")</f>
        <v>NA</v>
      </c>
      <c r="X610" s="173" t="s">
        <v>335</v>
      </c>
      <c r="Y610" s="163" t="str">
        <f>IFERROR(VLOOKUP(X610,TD!$J$51:$K$64,2,0)," ")</f>
        <v>N/A</v>
      </c>
      <c r="Z610" s="175" t="str">
        <f>CONCATENATE(X610,"-",Y610)</f>
        <v>N/A-N/A</v>
      </c>
      <c r="AA610" s="173" t="s">
        <v>335</v>
      </c>
      <c r="AB610" s="163" t="str">
        <f>IFERROR(VLOOKUP(AA610,TD!$N$51:$O$66,2,0)," ")</f>
        <v>N/A</v>
      </c>
      <c r="AC610" s="164" t="str">
        <f>CONCATENATE(AA610,"_",AB610)</f>
        <v>N/A_N/A</v>
      </c>
      <c r="AD610" s="164" t="str">
        <f>CONCATENATE(Z610," ",AC610)</f>
        <v>N/A-N/A N/A_N/A</v>
      </c>
      <c r="AE610" s="163" t="str">
        <f>CONCATENATE(U610,V610,W610,X610,AA610)</f>
        <v>NANANAN/AN/A</v>
      </c>
      <c r="AF610" s="163" t="str">
        <f>IFERROR(VLOOKUP(AD610,TD!$J$66:$K$89,2,0)," ")</f>
        <v>N/A</v>
      </c>
      <c r="AG610" s="135" t="s">
        <v>332</v>
      </c>
      <c r="AH610" s="170" t="s">
        <v>194</v>
      </c>
      <c r="AI610" s="182" t="str">
        <f>CONCATENATE(PAA[[#This Row],[Id Interno]],"-",PAA[[#This Row],[tipo de Contrato (TH talento humano - B/S bienes y/o servicios)]],"-",S610,"-",T610,"-",PAA[[#This Row],[Objeto de la contratación]])</f>
        <v>20260599-BS-No a-l-Adición y prórroga No. 2 al contrato 597 de 2025  que tiene como objeto " Contratar la prestación del servicio de aseo y cafetería incluido insumos para la UAE Cuerpo Oficial de Bomberos -SGC</v>
      </c>
    </row>
    <row r="611" spans="2:35" ht="84" x14ac:dyDescent="0.35">
      <c r="B611" s="142">
        <v>20260600</v>
      </c>
      <c r="C611" s="121" t="s">
        <v>938</v>
      </c>
      <c r="D611" s="130" t="s">
        <v>114</v>
      </c>
      <c r="E611" s="130" t="s">
        <v>402</v>
      </c>
      <c r="F611" s="130" t="s">
        <v>89</v>
      </c>
      <c r="G611" s="131" t="s">
        <v>373</v>
      </c>
      <c r="H611" s="137">
        <v>1</v>
      </c>
      <c r="I611" s="137">
        <v>0</v>
      </c>
      <c r="J611" s="132">
        <v>25000000</v>
      </c>
      <c r="K611" s="133" t="s">
        <v>398</v>
      </c>
      <c r="L611" s="177" t="s">
        <v>155</v>
      </c>
      <c r="M611" s="173" t="s">
        <v>422</v>
      </c>
      <c r="N611" s="130" t="s">
        <v>330</v>
      </c>
      <c r="O611" s="205" t="s">
        <v>945</v>
      </c>
      <c r="P611" s="173" t="s">
        <v>161</v>
      </c>
      <c r="Q611" s="134" t="s">
        <v>767</v>
      </c>
      <c r="R611" s="173" t="s">
        <v>331</v>
      </c>
      <c r="S611" s="173" t="str">
        <f>MID(PAA[[#This Row],[Meta Proyecto de Inversión]],1,4)</f>
        <v>No a</v>
      </c>
      <c r="T611" s="173" t="str">
        <f>MID(PAA[[#This Row],[Meta Proyecto de Inversión]],6,1)</f>
        <v>l</v>
      </c>
      <c r="U611" s="178" t="str">
        <f>IFERROR(VLOOKUP(N611,TD!$B$50:$F$54,2,0)," ")</f>
        <v>NA</v>
      </c>
      <c r="V611" s="178" t="str">
        <f>IFERROR(VLOOKUP(N611,TD!$B$50:$F$54,3,0)," ")</f>
        <v>NA</v>
      </c>
      <c r="W611" s="178" t="str">
        <f>IFERROR(VLOOKUP(N611,TD!$B$50:$F$54,4,0)," ")</f>
        <v>NA</v>
      </c>
      <c r="X611" s="173" t="s">
        <v>335</v>
      </c>
      <c r="Y611" s="163" t="str">
        <f>IFERROR(VLOOKUP(X611,TD!$J$51:$K$64,2,0)," ")</f>
        <v>N/A</v>
      </c>
      <c r="Z611" s="175" t="str">
        <f>CONCATENATE(X611,"-",Y611)</f>
        <v>N/A-N/A</v>
      </c>
      <c r="AA611" s="173" t="s">
        <v>335</v>
      </c>
      <c r="AB611" s="163" t="str">
        <f>IFERROR(VLOOKUP(AA611,TD!$N$51:$O$66,2,0)," ")</f>
        <v>N/A</v>
      </c>
      <c r="AC611" s="175" t="str">
        <f>CONCATENATE(AA611,"_",AB611)</f>
        <v>N/A_N/A</v>
      </c>
      <c r="AD611" s="175" t="str">
        <f>CONCATENATE(Z611," ",AC611)</f>
        <v>N/A-N/A N/A_N/A</v>
      </c>
      <c r="AE611" s="178" t="str">
        <f>CONCATENATE(U611,V611,W611,X611,AA611)</f>
        <v>NANANAN/AN/A</v>
      </c>
      <c r="AF611" s="163" t="str">
        <f>IFERROR(VLOOKUP(AD611,TD!$J$66:$K$89,2,0)," ")</f>
        <v>N/A</v>
      </c>
      <c r="AG611" s="135" t="s">
        <v>332</v>
      </c>
      <c r="AH611" s="180" t="s">
        <v>194</v>
      </c>
      <c r="AI611" s="181" t="str">
        <f>CONCATENATE(PAA[[#This Row],[Id Interno]],"-",PAA[[#This Row],[tipo de Contrato (TH talento humano - B/S bienes y/o servicios)]],"-",S611,"-",T611,"-",PAA[[#This Row],[Objeto de la contratación]])</f>
        <v>20260600-BS-No a-l-Adición y prórroga No. 2 al contrato 597 de 2025  que tiene como objeto " Contratar la prestación del servicio de aseo y cafetería incluido insumos para la UAE Cuerpo Oficial de Bomberos -SGC</v>
      </c>
    </row>
    <row r="612" spans="2:35" ht="56" x14ac:dyDescent="0.35">
      <c r="B612" s="155">
        <v>20260601</v>
      </c>
      <c r="C612" s="121" t="s">
        <v>947</v>
      </c>
      <c r="D612" s="121" t="s">
        <v>948</v>
      </c>
      <c r="E612" s="121" t="s">
        <v>402</v>
      </c>
      <c r="F612" s="121" t="s">
        <v>948</v>
      </c>
      <c r="G612" s="131" t="s">
        <v>373</v>
      </c>
      <c r="H612" s="156">
        <v>0</v>
      </c>
      <c r="I612" s="156">
        <v>0</v>
      </c>
      <c r="J612" s="135">
        <f>23000000</f>
        <v>23000000</v>
      </c>
      <c r="K612" s="157" t="s">
        <v>398</v>
      </c>
      <c r="L612" s="171" t="s">
        <v>155</v>
      </c>
      <c r="M612" s="172" t="s">
        <v>422</v>
      </c>
      <c r="N612" s="121" t="s">
        <v>197</v>
      </c>
      <c r="O612" s="151" t="s">
        <v>945</v>
      </c>
      <c r="P612" s="172" t="s">
        <v>348</v>
      </c>
      <c r="Q612" s="158" t="s">
        <v>949</v>
      </c>
      <c r="R612" s="172" t="s">
        <v>207</v>
      </c>
      <c r="S612" s="173" t="str">
        <f>MID(PAA[[#This Row],[Meta Proyecto de Inversión]],1,4)</f>
        <v>8126</v>
      </c>
      <c r="T612" s="173" t="str">
        <f>MID(PAA[[#This Row],[Meta Proyecto de Inversión]],6,1)</f>
        <v>8</v>
      </c>
      <c r="U612" s="174" t="str">
        <f>IFERROR(VLOOKUP(N612,TD!$B$50:$F$54,2,0)," ")</f>
        <v>O230117</v>
      </c>
      <c r="V612" s="174" t="str">
        <f>IFERROR(VLOOKUP(N612,TD!$B$50:$F$54,3,0)," ")</f>
        <v>4599</v>
      </c>
      <c r="W612" s="174">
        <f>IFERROR(VLOOKUP(N612,TD!$B$50:$F$54,4,0)," ")</f>
        <v>20240207</v>
      </c>
      <c r="X612" s="172" t="s">
        <v>174</v>
      </c>
      <c r="Y612" s="168" t="str">
        <f>IFERROR(VLOOKUP(X612,TD!$J$51:$K$64,2,0)," ")</f>
        <v>Infraestructura física, mantenimiento y dotación (Sedes construidas, mantenidas reforzadas)</v>
      </c>
      <c r="Z612" s="175" t="str">
        <f>CONCATENATE(X612,"-",Y612)</f>
        <v>08-Infraestructura física, mantenimiento y dotación (Sedes construidas, mantenidas reforzadas)</v>
      </c>
      <c r="AA612" s="172" t="s">
        <v>227</v>
      </c>
      <c r="AB612" s="168" t="str">
        <f>IFERROR(VLOOKUP(AA612,TD!$N$51:$O$66,2,0)," ")</f>
        <v>Sedes mantenidas</v>
      </c>
      <c r="AC612" s="175" t="str">
        <f>CONCATENATE(AA612,"_",AB612)</f>
        <v>016_Sedes mantenidas</v>
      </c>
      <c r="AD612" s="175" t="str">
        <f>CONCATENATE(Z612," ",AC612)</f>
        <v>08-Infraestructura física, mantenimiento y dotación (Sedes construidas, mantenidas reforzadas) 016_Sedes mantenidas</v>
      </c>
      <c r="AE612" s="174" t="str">
        <f>CONCATENATE(U612,V612,W612,X612,AA612)</f>
        <v>O23011745992024020708016</v>
      </c>
      <c r="AF612" s="168" t="str">
        <f>IFERROR(VLOOKUP(AD612,TD!$J$66:$K$89,2,0)," ")</f>
        <v>PM/0131/0108/45990160207</v>
      </c>
      <c r="AG612" s="135" t="s">
        <v>925</v>
      </c>
      <c r="AH612" s="176" t="s">
        <v>194</v>
      </c>
      <c r="AI612" s="181" t="str">
        <f>CONCATENATE(PAA[[#This Row],[Id Interno]],"-",PAA[[#This Row],[tipo de Contrato (TH talento humano - B/S bienes y/o servicios)]],"-",S612,"-",T612,"-",PAA[[#This Row],[Objeto de la contratación]])</f>
        <v>20260601-BS-8126-8-Adición No. 01 al contrato 524 de 2025 que tiene como objeto "Mantenimiento preventivo y correctivo, que incluye el suministro de insumos y repuestos de las lavadoras y secadoras industriales ubicadas en las estaciones de bomberos de la UAE Cuerpo Oficial de Bomberos de Bogotá-SGC</v>
      </c>
    </row>
    <row r="613" spans="2:35" ht="56" x14ac:dyDescent="0.35">
      <c r="B613" s="155">
        <v>20260602</v>
      </c>
      <c r="C613" s="121" t="s">
        <v>687</v>
      </c>
      <c r="D613" s="121" t="s">
        <v>105</v>
      </c>
      <c r="E613" s="121" t="s">
        <v>363</v>
      </c>
      <c r="F613" s="121" t="s">
        <v>144</v>
      </c>
      <c r="G613" s="131" t="s">
        <v>373</v>
      </c>
      <c r="H613" s="156">
        <v>4</v>
      </c>
      <c r="I613" s="156">
        <v>0</v>
      </c>
      <c r="J613" s="135">
        <f>22035670</f>
        <v>22035670</v>
      </c>
      <c r="K613" s="157" t="s">
        <v>398</v>
      </c>
      <c r="L613" s="171" t="s">
        <v>155</v>
      </c>
      <c r="M613" s="172" t="s">
        <v>422</v>
      </c>
      <c r="N613" s="121" t="s">
        <v>197</v>
      </c>
      <c r="O613" s="151" t="s">
        <v>945</v>
      </c>
      <c r="P613" s="172" t="s">
        <v>348</v>
      </c>
      <c r="Q613" s="158" t="s">
        <v>766</v>
      </c>
      <c r="R613" s="172" t="s">
        <v>208</v>
      </c>
      <c r="S613" s="173" t="str">
        <f>MID(PAA[[#This Row],[Meta Proyecto de Inversión]],1,4)</f>
        <v>8126</v>
      </c>
      <c r="T613" s="173" t="str">
        <f>MID(PAA[[#This Row],[Meta Proyecto de Inversión]],6,1)</f>
        <v>9</v>
      </c>
      <c r="U613" s="174" t="str">
        <f>IFERROR(VLOOKUP(N613,TD!$B$50:$F$54,2,0)," ")</f>
        <v>O230117</v>
      </c>
      <c r="V613" s="174" t="str">
        <f>IFERROR(VLOOKUP(N613,TD!$B$50:$F$54,3,0)," ")</f>
        <v>4599</v>
      </c>
      <c r="W613" s="174">
        <f>IFERROR(VLOOKUP(N613,TD!$B$50:$F$54,4,0)," ")</f>
        <v>20240207</v>
      </c>
      <c r="X613" s="172" t="s">
        <v>174</v>
      </c>
      <c r="Y613" s="168" t="str">
        <f>IFERROR(VLOOKUP(X613,TD!$J$51:$K$64,2,0)," ")</f>
        <v>Infraestructura física, mantenimiento y dotación (Sedes construidas, mantenidas reforzadas)</v>
      </c>
      <c r="Z613" s="175" t="str">
        <f>CONCATENATE(X613,"-",Y613)</f>
        <v>08-Infraestructura física, mantenimiento y dotación (Sedes construidas, mantenidas reforzadas)</v>
      </c>
      <c r="AA613" s="172" t="s">
        <v>227</v>
      </c>
      <c r="AB613" s="168" t="str">
        <f>IFERROR(VLOOKUP(AA613,TD!$N$51:$O$66,2,0)," ")</f>
        <v>Sedes mantenidas</v>
      </c>
      <c r="AC613" s="175" t="str">
        <f>CONCATENATE(AA613,"_",AB613)</f>
        <v>016_Sedes mantenidas</v>
      </c>
      <c r="AD613" s="175" t="str">
        <f>CONCATENATE(Z613," ",AC613)</f>
        <v>08-Infraestructura física, mantenimiento y dotación (Sedes construidas, mantenidas reforzadas) 016_Sedes mantenidas</v>
      </c>
      <c r="AE613" s="174" t="str">
        <f>CONCATENATE(U613,V613,W613,X613,AA613)</f>
        <v>O23011745992024020708016</v>
      </c>
      <c r="AF613" s="168" t="str">
        <f>IFERROR(VLOOKUP(AD613,TD!$J$66:$K$89,2,0)," ")</f>
        <v>PM/0131/0108/45990160207</v>
      </c>
      <c r="AG613" s="135" t="s">
        <v>385</v>
      </c>
      <c r="AH613" s="176" t="s">
        <v>193</v>
      </c>
      <c r="AI613" s="181" t="str">
        <f>CONCATENATE(PAA[[#This Row],[Id Interno]],"-",PAA[[#This Row],[tipo de Contrato (TH talento humano - B/S bienes y/o servicios)]],"-",S613,"-",T613,"-",PAA[[#This Row],[Objeto de la contratación]])</f>
        <v>20260602-TH-8126-9-Prestación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614" spans="2:35" ht="56" x14ac:dyDescent="0.35">
      <c r="B614" s="155">
        <v>20260603</v>
      </c>
      <c r="C614" s="121" t="s">
        <v>952</v>
      </c>
      <c r="D614" s="121" t="s">
        <v>92</v>
      </c>
      <c r="E614" s="121" t="s">
        <v>402</v>
      </c>
      <c r="F614" s="121" t="s">
        <v>111</v>
      </c>
      <c r="G614" s="131" t="s">
        <v>377</v>
      </c>
      <c r="H614" s="156">
        <v>4</v>
      </c>
      <c r="I614" s="156">
        <v>0</v>
      </c>
      <c r="J614" s="135">
        <v>30000000</v>
      </c>
      <c r="K614" s="157" t="s">
        <v>398</v>
      </c>
      <c r="L614" s="171" t="s">
        <v>155</v>
      </c>
      <c r="M614" s="172" t="s">
        <v>422</v>
      </c>
      <c r="N614" s="121" t="s">
        <v>198</v>
      </c>
      <c r="O614" s="172" t="s">
        <v>946</v>
      </c>
      <c r="P614" s="172" t="s">
        <v>348</v>
      </c>
      <c r="Q614" s="158" t="s">
        <v>770</v>
      </c>
      <c r="R614" s="172" t="s">
        <v>351</v>
      </c>
      <c r="S614" s="173" t="str">
        <f>MID(PAA[[#This Row],[Meta Proyecto de Inversión]],1,4)</f>
        <v>8173</v>
      </c>
      <c r="T614" s="173" t="str">
        <f>MID(PAA[[#This Row],[Meta Proyecto de Inversión]],6,1)</f>
        <v>1</v>
      </c>
      <c r="U614" s="174" t="str">
        <f>IFERROR(VLOOKUP(N614,TD!$B$50:$F$54,2,0)," ")</f>
        <v>O230117</v>
      </c>
      <c r="V614" s="174" t="str">
        <f>IFERROR(VLOOKUP(N614,TD!$B$50:$F$54,3,0)," ")</f>
        <v>4503</v>
      </c>
      <c r="W614" s="174">
        <f>IFERROR(VLOOKUP(N614,TD!$B$50:$F$54,4,0)," ")</f>
        <v>20240255</v>
      </c>
      <c r="X614" s="172">
        <v>14</v>
      </c>
      <c r="Y614" s="168" t="str">
        <f>IFERROR(VLOOKUP(X614,TD!$J$51:$K$64,2,0)," ")</f>
        <v xml:space="preserve">Infraestructura física misional construida mantenida y dotada </v>
      </c>
      <c r="Z614" s="175" t="str">
        <f>CONCATENATE(X614,"-",Y614)</f>
        <v xml:space="preserve">14-Infraestructura física misional construida mantenida y dotada </v>
      </c>
      <c r="AA614" s="172" t="s">
        <v>225</v>
      </c>
      <c r="AB614" s="168" t="str">
        <f>IFERROR(VLOOKUP(AA614,TD!$N$51:$O$66,2,0)," ")</f>
        <v>Estaciones de bomberos adecuadas</v>
      </c>
      <c r="AC614" s="175" t="str">
        <f>CONCATENATE(AA614,"_",AB614)</f>
        <v>014_Estaciones de bomberos adecuadas</v>
      </c>
      <c r="AD614" s="175" t="str">
        <f>CONCATENATE(Z614," ",AC614)</f>
        <v>14-Infraestructura física misional construida mantenida y dotada  014_Estaciones de bomberos adecuadas</v>
      </c>
      <c r="AE614" s="174" t="str">
        <f>CONCATENATE(U614,V614,W614,X614,AA614)</f>
        <v>O23011745032024025514014</v>
      </c>
      <c r="AF614" s="168" t="str">
        <f>IFERROR(VLOOKUP(AD614,TD!$J$66:$K$89,2,0)," ")</f>
        <v>PM/0131/0114/45030140255</v>
      </c>
      <c r="AG614" s="135" t="s">
        <v>355</v>
      </c>
      <c r="AH614" s="176" t="s">
        <v>193</v>
      </c>
      <c r="AI614" s="181" t="str">
        <f>CONCATENATE(PAA[[#This Row],[Id Interno]],"-",PAA[[#This Row],[tipo de Contrato (TH talento humano - B/S bienes y/o servicios)]],"-",S614,"-",T614,"-",PAA[[#This Row],[Objeto de la contratación]])</f>
        <v>20260603-BS-8173-1-Suministro de banderas y accesorios para las sedes UAECOB-SGC</v>
      </c>
    </row>
    <row r="615" spans="2:35" ht="70" x14ac:dyDescent="0.35">
      <c r="B615" s="142">
        <v>20260604</v>
      </c>
      <c r="C615" s="121" t="s">
        <v>959</v>
      </c>
      <c r="D615" s="130" t="s">
        <v>105</v>
      </c>
      <c r="E615" s="130" t="s">
        <v>363</v>
      </c>
      <c r="F615" s="130" t="s">
        <v>144</v>
      </c>
      <c r="G615" s="131" t="s">
        <v>374</v>
      </c>
      <c r="H615" s="137">
        <v>10</v>
      </c>
      <c r="I615" s="137">
        <v>0</v>
      </c>
      <c r="J615" s="132">
        <v>50000000</v>
      </c>
      <c r="K615" s="133" t="s">
        <v>398</v>
      </c>
      <c r="L615" s="177" t="s">
        <v>46</v>
      </c>
      <c r="M615" s="173" t="s">
        <v>421</v>
      </c>
      <c r="N615" s="130" t="s">
        <v>197</v>
      </c>
      <c r="O615" s="172" t="s">
        <v>945</v>
      </c>
      <c r="P615" s="173" t="s">
        <v>348</v>
      </c>
      <c r="Q615" s="134">
        <v>80111600</v>
      </c>
      <c r="R615" s="173" t="s">
        <v>208</v>
      </c>
      <c r="S615" s="173" t="str">
        <f>MID(PAA[[#This Row],[Meta Proyecto de Inversión]],1,4)</f>
        <v>8126</v>
      </c>
      <c r="T615" s="173" t="str">
        <f>MID(PAA[[#This Row],[Meta Proyecto de Inversión]],6,1)</f>
        <v>9</v>
      </c>
      <c r="U615" s="178" t="str">
        <f>IFERROR(VLOOKUP(N615,TD!$B$50:$F$54,2,0)," ")</f>
        <v>O230117</v>
      </c>
      <c r="V615" s="178" t="str">
        <f>IFERROR(VLOOKUP(N615,TD!$B$50:$F$54,3,0)," ")</f>
        <v>4599</v>
      </c>
      <c r="W615" s="178">
        <f>IFERROR(VLOOKUP(N615,TD!$B$50:$F$54,4,0)," ")</f>
        <v>20240207</v>
      </c>
      <c r="X615" s="172" t="s">
        <v>174</v>
      </c>
      <c r="Y615" s="168" t="str">
        <f>IFERROR(VLOOKUP(X615,TD!$J$51:$K$64,2,0)," ")</f>
        <v>Infraestructura física, mantenimiento y dotación (Sedes construidas, mantenidas reforzadas)</v>
      </c>
      <c r="Z615" s="175" t="str">
        <f>CONCATENATE(X615,"-",Y615)</f>
        <v>08-Infraestructura física, mantenimiento y dotación (Sedes construidas, mantenidas reforzadas)</v>
      </c>
      <c r="AA615" s="172" t="s">
        <v>227</v>
      </c>
      <c r="AB615" s="168" t="str">
        <f>IFERROR(VLOOKUP(AA615,TD!$N$51:$O$66,2,0)," ")</f>
        <v>Sedes mantenidas</v>
      </c>
      <c r="AC615" s="175" t="str">
        <f>CONCATENATE(AA615,"_",AB615)</f>
        <v>016_Sedes mantenidas</v>
      </c>
      <c r="AD615" s="175" t="str">
        <f>CONCATENATE(Z615," ",AC615)</f>
        <v>08-Infraestructura física, mantenimiento y dotación (Sedes construidas, mantenidas reforzadas) 016_Sedes mantenidas</v>
      </c>
      <c r="AE615" s="178" t="str">
        <f>CONCATENATE(U615,V615,W615,X615,AA615)</f>
        <v>O23011745992024020708016</v>
      </c>
      <c r="AF615" s="168" t="str">
        <f>IFERROR(VLOOKUP(AD615,TD!$J$66:$K$89,2,0)," ")</f>
        <v>PM/0131/0108/45990160207</v>
      </c>
      <c r="AG615" s="135" t="s">
        <v>385</v>
      </c>
      <c r="AH615" s="180" t="s">
        <v>193</v>
      </c>
      <c r="AI615" s="181" t="str">
        <f>CONCATENATE(PAA[[#This Row],[Id Interno]],"-",PAA[[#This Row],[tipo de Contrato (TH talento humano - B/S bienes y/o servicios)]],"-",S615,"-",T615,"-",PAA[[#This Row],[Objeto de la contratación]])</f>
        <v>20260604-TH-8126-9-Prestar servicios profesionales para el registro, actualización y reporte de los procesos y decisiones disciplinarias expedidas por la Oficina de Control Disciplinario Interno de la UAECOB en el aplicativo Sistema de Información Disciplinario (SID) .</v>
      </c>
    </row>
    <row r="616" spans="2:35" ht="42" x14ac:dyDescent="0.35">
      <c r="B616" s="149">
        <v>20260605</v>
      </c>
      <c r="C616" s="99" t="s">
        <v>960</v>
      </c>
      <c r="D616" s="23" t="s">
        <v>105</v>
      </c>
      <c r="E616" s="23" t="s">
        <v>363</v>
      </c>
      <c r="F616" s="23" t="s">
        <v>144</v>
      </c>
      <c r="G616" s="129" t="s">
        <v>374</v>
      </c>
      <c r="H616" s="136">
        <v>5</v>
      </c>
      <c r="I616" s="136">
        <v>15</v>
      </c>
      <c r="J616" s="127">
        <v>53900000</v>
      </c>
      <c r="K616" s="88" t="s">
        <v>398</v>
      </c>
      <c r="L616" s="159" t="s">
        <v>45</v>
      </c>
      <c r="M616" s="162" t="s">
        <v>401</v>
      </c>
      <c r="N616" s="23" t="s">
        <v>197</v>
      </c>
      <c r="O616" s="172" t="s">
        <v>945</v>
      </c>
      <c r="P616" s="162" t="s">
        <v>348</v>
      </c>
      <c r="Q616" s="53">
        <v>80111600</v>
      </c>
      <c r="R616" s="162" t="s">
        <v>208</v>
      </c>
      <c r="S616" s="162" t="str">
        <f>MID(PAA[[#This Row],[Meta Proyecto de Inversión]],1,4)</f>
        <v>8126</v>
      </c>
      <c r="T616" s="162" t="str">
        <f>MID(PAA[[#This Row],[Meta Proyecto de Inversión]],6,1)</f>
        <v>9</v>
      </c>
      <c r="U616" s="163" t="str">
        <f>IFERROR(VLOOKUP(N616,TD!$B$50:$F$54,2,0)," ")</f>
        <v>O230117</v>
      </c>
      <c r="V616" s="163" t="str">
        <f>IFERROR(VLOOKUP(N616,TD!$B$50:$F$54,3,0)," ")</f>
        <v>4599</v>
      </c>
      <c r="W616" s="163">
        <f>IFERROR(VLOOKUP(N616,TD!$B$50:$F$54,4,0)," ")</f>
        <v>20240207</v>
      </c>
      <c r="X616" s="172" t="s">
        <v>174</v>
      </c>
      <c r="Y616" s="168" t="str">
        <f>IFERROR(VLOOKUP(X616,TD!$J$51:$K$64,2,0)," ")</f>
        <v>Infraestructura física, mantenimiento y dotación (Sedes construidas, mantenidas reforzadas)</v>
      </c>
      <c r="Z616" s="175" t="str">
        <f>CONCATENATE(X616,"-",Y616)</f>
        <v>08-Infraestructura física, mantenimiento y dotación (Sedes construidas, mantenidas reforzadas)</v>
      </c>
      <c r="AA616" s="172" t="s">
        <v>227</v>
      </c>
      <c r="AB616" s="168" t="str">
        <f>IFERROR(VLOOKUP(AA616,TD!$N$51:$O$66,2,0)," ")</f>
        <v>Sedes mantenidas</v>
      </c>
      <c r="AC616" s="164" t="str">
        <f>CONCATENATE(AA616,"_",AB616)</f>
        <v>016_Sedes mantenidas</v>
      </c>
      <c r="AD616" s="164" t="str">
        <f>CONCATENATE(Z616," ",AC616)</f>
        <v>08-Infraestructura física, mantenimiento y dotación (Sedes construidas, mantenidas reforzadas) 016_Sedes mantenidas</v>
      </c>
      <c r="AE616" s="163" t="str">
        <f>CONCATENATE(U616,V616,W616,X616,AA616)</f>
        <v>O23011745992024020708016</v>
      </c>
      <c r="AF616" s="163" t="str">
        <f>IFERROR(VLOOKUP(AD616,TD!$J$66:$K$89,2,0)," ")</f>
        <v>PM/0131/0108/45990160207</v>
      </c>
      <c r="AG616" s="118" t="s">
        <v>385</v>
      </c>
      <c r="AH616" s="170" t="s">
        <v>194</v>
      </c>
      <c r="AI616" s="181" t="str">
        <f>CONCATENATE(PAA[[#This Row],[Id Interno]],"-",PAA[[#This Row],[tipo de Contrato (TH talento humano - B/S bienes y/o servicios)]],"-",S616,"-",T616,"-",PAA[[#This Row],[Objeto de la contratación]])</f>
        <v>20260605-TH-8126-9-Adición y prórroga al Contrato 175 de 2025 con objeto "Prestar servicios profesionales especializados en el desarrollo de las actividades y de los diferentes procesos que tiene a su cargo y bajo su seguimiento la Dirección General de la UAE Cuerpo Oficial de Bomberos de Bogotá"</v>
      </c>
    </row>
    <row r="617" spans="2:35" ht="84" x14ac:dyDescent="0.35">
      <c r="B617" s="142">
        <v>20260606</v>
      </c>
      <c r="C617" s="121" t="s">
        <v>961</v>
      </c>
      <c r="D617" s="130" t="s">
        <v>105</v>
      </c>
      <c r="E617" s="130" t="s">
        <v>363</v>
      </c>
      <c r="F617" s="130" t="s">
        <v>144</v>
      </c>
      <c r="G617" s="131" t="s">
        <v>374</v>
      </c>
      <c r="H617" s="137">
        <v>5</v>
      </c>
      <c r="I617" s="137">
        <v>0</v>
      </c>
      <c r="J617" s="132">
        <v>50000000</v>
      </c>
      <c r="K617" s="133" t="s">
        <v>398</v>
      </c>
      <c r="L617" s="177" t="s">
        <v>45</v>
      </c>
      <c r="M617" s="173" t="s">
        <v>401</v>
      </c>
      <c r="N617" s="130" t="s">
        <v>197</v>
      </c>
      <c r="O617" s="172" t="s">
        <v>945</v>
      </c>
      <c r="P617" s="173" t="s">
        <v>348</v>
      </c>
      <c r="Q617" s="134">
        <v>80111600</v>
      </c>
      <c r="R617" s="173" t="s">
        <v>208</v>
      </c>
      <c r="S617" s="173" t="str">
        <f>MID(PAA[[#This Row],[Meta Proyecto de Inversión]],1,4)</f>
        <v>8126</v>
      </c>
      <c r="T617" s="173" t="str">
        <f>MID(PAA[[#This Row],[Meta Proyecto de Inversión]],6,1)</f>
        <v>9</v>
      </c>
      <c r="U617" s="178" t="str">
        <f>IFERROR(VLOOKUP(N617,TD!$B$50:$F$54,2,0)," ")</f>
        <v>O230117</v>
      </c>
      <c r="V617" s="178" t="str">
        <f>IFERROR(VLOOKUP(N617,TD!$B$50:$F$54,3,0)," ")</f>
        <v>4599</v>
      </c>
      <c r="W617" s="178">
        <f>IFERROR(VLOOKUP(N617,TD!$B$50:$F$54,4,0)," ")</f>
        <v>20240207</v>
      </c>
      <c r="X617" s="172" t="s">
        <v>174</v>
      </c>
      <c r="Y617" s="168" t="str">
        <f>IFERROR(VLOOKUP(X617,TD!$J$51:$K$64,2,0)," ")</f>
        <v>Infraestructura física, mantenimiento y dotación (Sedes construidas, mantenidas reforzadas)</v>
      </c>
      <c r="Z617" s="175" t="str">
        <f>CONCATENATE(X617,"-",Y617)</f>
        <v>08-Infraestructura física, mantenimiento y dotación (Sedes construidas, mantenidas reforzadas)</v>
      </c>
      <c r="AA617" s="172" t="s">
        <v>227</v>
      </c>
      <c r="AB617" s="168" t="str">
        <f>IFERROR(VLOOKUP(AA617,TD!$N$51:$O$66,2,0)," ")</f>
        <v>Sedes mantenidas</v>
      </c>
      <c r="AC617" s="175" t="str">
        <f>CONCATENATE(AA617,"_",AB617)</f>
        <v>016_Sedes mantenidas</v>
      </c>
      <c r="AD617" s="175" t="str">
        <f>CONCATENATE(Z617," ",AC617)</f>
        <v>08-Infraestructura física, mantenimiento y dotación (Sedes construidas, mantenidas reforzadas) 016_Sedes mantenidas</v>
      </c>
      <c r="AE617" s="178" t="str">
        <f>CONCATENATE(U617,V617,W617,X617,AA617)</f>
        <v>O23011745992024020708016</v>
      </c>
      <c r="AF617" s="163" t="str">
        <f>IFERROR(VLOOKUP(AD617,TD!$J$66:$K$89,2,0)," ")</f>
        <v>PM/0131/0108/45990160207</v>
      </c>
      <c r="AG617" s="118" t="s">
        <v>385</v>
      </c>
      <c r="AH617" s="170" t="s">
        <v>194</v>
      </c>
      <c r="AI617" s="181" t="str">
        <f>CONCATENATE(PAA[[#This Row],[Id Interno]],"-",PAA[[#This Row],[tipo de Contrato (TH talento humano - B/S bienes y/o servicios)]],"-",S617,"-",T617,"-",PAA[[#This Row],[Objeto de la contratación]])</f>
        <v>20260606-TH-8126-9-Adición y prórroga al Contrato 460 de 2025 con objeto "Prestar servicios profesionales especializados en el desarrollo de las actividades estrategicas de la Dirección General de la UAE Cuerpo Oficial de Bomberos de Bogotá"</v>
      </c>
    </row>
    <row r="618" spans="2:35" ht="70" x14ac:dyDescent="0.35">
      <c r="B618" s="142">
        <v>20260607</v>
      </c>
      <c r="C618" s="121" t="s">
        <v>962</v>
      </c>
      <c r="D618" s="130" t="s">
        <v>105</v>
      </c>
      <c r="E618" s="130" t="s">
        <v>363</v>
      </c>
      <c r="F618" s="130" t="s">
        <v>144</v>
      </c>
      <c r="G618" s="131" t="s">
        <v>374</v>
      </c>
      <c r="H618" s="137">
        <v>5</v>
      </c>
      <c r="I618" s="137">
        <v>0</v>
      </c>
      <c r="J618" s="132">
        <v>30000000</v>
      </c>
      <c r="K618" s="133" t="s">
        <v>398</v>
      </c>
      <c r="L618" s="177" t="s">
        <v>150</v>
      </c>
      <c r="M618" s="173" t="s">
        <v>401</v>
      </c>
      <c r="N618" s="130" t="s">
        <v>197</v>
      </c>
      <c r="O618" s="172" t="s">
        <v>945</v>
      </c>
      <c r="P618" s="173" t="s">
        <v>348</v>
      </c>
      <c r="Q618" s="134">
        <v>80111600</v>
      </c>
      <c r="R618" s="162" t="s">
        <v>209</v>
      </c>
      <c r="S618" s="173" t="str">
        <f>MID(PAA[[#This Row],[Meta Proyecto de Inversión]],1,4)</f>
        <v>8126</v>
      </c>
      <c r="T618" s="173" t="str">
        <f>MID(PAA[[#This Row],[Meta Proyecto de Inversión]],6,1)</f>
        <v>1</v>
      </c>
      <c r="U618" s="178" t="str">
        <f>IFERROR(VLOOKUP(N618,TD!$B$50:$F$54,2,0)," ")</f>
        <v>O230117</v>
      </c>
      <c r="V618" s="178" t="str">
        <f>IFERROR(VLOOKUP(N618,TD!$B$50:$F$54,3,0)," ")</f>
        <v>4599</v>
      </c>
      <c r="W618" s="178">
        <f>IFERROR(VLOOKUP(N618,TD!$B$50:$F$54,4,0)," ")</f>
        <v>20240207</v>
      </c>
      <c r="X618" s="172" t="s">
        <v>182</v>
      </c>
      <c r="Y618" s="168" t="str">
        <f>IFERROR(VLOOKUP(X618,TD!$J$51:$K$64,2,0)," ")</f>
        <v>Servicios para la planeación y sistemas de gestión y comunicación estratégica</v>
      </c>
      <c r="Z618" s="175" t="str">
        <f>CONCATENATE(X618,"-",Y618)</f>
        <v>13-Servicios para la planeación y sistemas de gestión y comunicación estratégica</v>
      </c>
      <c r="AA618" s="172" t="s">
        <v>231</v>
      </c>
      <c r="AB618" s="168" t="str">
        <f>IFERROR(VLOOKUP(AA618,TD!$N$51:$O$66,2,0)," ")</f>
        <v>Documentos de planeación</v>
      </c>
      <c r="AC618" s="175" t="str">
        <f>CONCATENATE(AA618,"_",AB618)</f>
        <v>019_Documentos de planeación</v>
      </c>
      <c r="AD618" s="175" t="str">
        <f>CONCATENATE(Z618," ",AC618)</f>
        <v>13-Servicios para la planeación y sistemas de gestión y comunicación estratégica 019_Documentos de planeación</v>
      </c>
      <c r="AE618" s="178" t="str">
        <f>CONCATENATE(U618,V618,W618,X618,AA618)</f>
        <v>O23011745992024020713019</v>
      </c>
      <c r="AF618" s="163" t="str">
        <f>IFERROR(VLOOKUP(AD618,TD!$J$66:$K$89,2,0)," ")</f>
        <v>PM/0131/0113/45990190207</v>
      </c>
      <c r="AG618" s="135" t="s">
        <v>385</v>
      </c>
      <c r="AH618" s="180" t="s">
        <v>194</v>
      </c>
      <c r="AI618" s="181" t="str">
        <f>CONCATENATE(PAA[[#This Row],[Id Interno]],"-",PAA[[#This Row],[tipo de Contrato (TH talento humano - B/S bienes y/o servicios)]],"-",S618,"-",T618,"-",PAA[[#This Row],[Objeto de la contratación]])</f>
        <v>20260607-TH-8126-1-Adición y prórroga al Contrato 211 de 2025 con objeto "Prestación de servicios profesionales en la Dirección en comunicaciones y prensa, para apoyar la difusión de la información al público interno y externo de la UAECOB"</v>
      </c>
    </row>
    <row r="619" spans="2:35" ht="98" x14ac:dyDescent="0.35">
      <c r="B619" s="142">
        <v>20260608</v>
      </c>
      <c r="C619" s="121" t="s">
        <v>963</v>
      </c>
      <c r="D619" s="130" t="s">
        <v>105</v>
      </c>
      <c r="E619" s="130" t="s">
        <v>363</v>
      </c>
      <c r="F619" s="130" t="s">
        <v>144</v>
      </c>
      <c r="G619" s="131" t="s">
        <v>374</v>
      </c>
      <c r="H619" s="137">
        <v>5</v>
      </c>
      <c r="I619" s="137">
        <v>0</v>
      </c>
      <c r="J619" s="132">
        <v>22000000</v>
      </c>
      <c r="K619" s="133" t="s">
        <v>398</v>
      </c>
      <c r="L619" s="177" t="s">
        <v>150</v>
      </c>
      <c r="M619" s="173" t="s">
        <v>401</v>
      </c>
      <c r="N619" s="130" t="s">
        <v>197</v>
      </c>
      <c r="O619" s="172" t="s">
        <v>945</v>
      </c>
      <c r="P619" s="173" t="s">
        <v>348</v>
      </c>
      <c r="Q619" s="134">
        <v>80111600</v>
      </c>
      <c r="R619" s="162" t="s">
        <v>209</v>
      </c>
      <c r="S619" s="173" t="str">
        <f>MID(PAA[[#This Row],[Meta Proyecto de Inversión]],1,4)</f>
        <v>8126</v>
      </c>
      <c r="T619" s="173" t="str">
        <f>MID(PAA[[#This Row],[Meta Proyecto de Inversión]],6,1)</f>
        <v>1</v>
      </c>
      <c r="U619" s="178" t="str">
        <f>IFERROR(VLOOKUP(N619,TD!$B$50:$F$54,2,0)," ")</f>
        <v>O230117</v>
      </c>
      <c r="V619" s="178" t="str">
        <f>IFERROR(VLOOKUP(N619,TD!$B$50:$F$54,3,0)," ")</f>
        <v>4599</v>
      </c>
      <c r="W619" s="178">
        <f>IFERROR(VLOOKUP(N619,TD!$B$50:$F$54,4,0)," ")</f>
        <v>20240207</v>
      </c>
      <c r="X619" s="172" t="s">
        <v>182</v>
      </c>
      <c r="Y619" s="168" t="str">
        <f>IFERROR(VLOOKUP(X619,TD!$J$51:$K$64,2,0)," ")</f>
        <v>Servicios para la planeación y sistemas de gestión y comunicación estratégica</v>
      </c>
      <c r="Z619" s="175" t="str">
        <f>CONCATENATE(X619,"-",Y619)</f>
        <v>13-Servicios para la planeación y sistemas de gestión y comunicación estratégica</v>
      </c>
      <c r="AA619" s="172" t="s">
        <v>231</v>
      </c>
      <c r="AB619" s="168" t="str">
        <f>IFERROR(VLOOKUP(AA619,TD!$N$51:$O$66,2,0)," ")</f>
        <v>Documentos de planeación</v>
      </c>
      <c r="AC619" s="175" t="str">
        <f>CONCATENATE(AA619,"_",AB619)</f>
        <v>019_Documentos de planeación</v>
      </c>
      <c r="AD619" s="175" t="str">
        <f>CONCATENATE(Z619," ",AC619)</f>
        <v>13-Servicios para la planeación y sistemas de gestión y comunicación estratégica 019_Documentos de planeación</v>
      </c>
      <c r="AE619" s="178" t="str">
        <f>CONCATENATE(U619,V619,W619,X619,AA619)</f>
        <v>O23011745992024020713019</v>
      </c>
      <c r="AF619" s="163" t="str">
        <f>IFERROR(VLOOKUP(AD619,TD!$J$66:$K$89,2,0)," ")</f>
        <v>PM/0131/0113/45990190207</v>
      </c>
      <c r="AG619" s="135" t="s">
        <v>385</v>
      </c>
      <c r="AH619" s="180" t="s">
        <v>194</v>
      </c>
      <c r="AI619" s="181" t="str">
        <f>CONCATENATE(PAA[[#This Row],[Id Interno]],"-",PAA[[#This Row],[tipo de Contrato (TH talento humano - B/S bienes y/o servicios)]],"-",S619,"-",T619,"-",PAA[[#This Row],[Objeto de la contratación]])</f>
        <v>20260608-TH-8126-1-Adición y prórroga al Contrato 202 de 2025 con objeto "Prestar servicios de apoyo para la gestión en asuntos de comunicaciones y prensa en la Dirección General, y demás acciones encaminadas al cumplimiento de las estrategias comunicacionales de la UAECOB"</v>
      </c>
    </row>
    <row r="620" spans="2:35" ht="56" x14ac:dyDescent="0.35">
      <c r="B620" s="142">
        <v>20260609</v>
      </c>
      <c r="C620" s="121" t="s">
        <v>964</v>
      </c>
      <c r="D620" s="130" t="s">
        <v>105</v>
      </c>
      <c r="E620" s="130" t="s">
        <v>363</v>
      </c>
      <c r="F620" s="130" t="s">
        <v>144</v>
      </c>
      <c r="G620" s="131" t="s">
        <v>374</v>
      </c>
      <c r="H620" s="137">
        <v>5</v>
      </c>
      <c r="I620" s="137">
        <v>0</v>
      </c>
      <c r="J620" s="132">
        <v>22000000</v>
      </c>
      <c r="K620" s="133" t="s">
        <v>398</v>
      </c>
      <c r="L620" s="177" t="s">
        <v>150</v>
      </c>
      <c r="M620" s="173" t="s">
        <v>401</v>
      </c>
      <c r="N620" s="130" t="s">
        <v>197</v>
      </c>
      <c r="O620" s="172" t="s">
        <v>945</v>
      </c>
      <c r="P620" s="173" t="s">
        <v>348</v>
      </c>
      <c r="Q620" s="134">
        <v>80111600</v>
      </c>
      <c r="R620" s="173" t="s">
        <v>209</v>
      </c>
      <c r="S620" s="173" t="str">
        <f>MID(PAA[[#This Row],[Meta Proyecto de Inversión]],1,4)</f>
        <v>8126</v>
      </c>
      <c r="T620" s="173" t="str">
        <f>MID(PAA[[#This Row],[Meta Proyecto de Inversión]],6,1)</f>
        <v>1</v>
      </c>
      <c r="U620" s="178" t="str">
        <f>IFERROR(VLOOKUP(N620,TD!$B$50:$F$54,2,0)," ")</f>
        <v>O230117</v>
      </c>
      <c r="V620" s="178" t="str">
        <f>IFERROR(VLOOKUP(N620,TD!$B$50:$F$54,3,0)," ")</f>
        <v>4599</v>
      </c>
      <c r="W620" s="178">
        <f>IFERROR(VLOOKUP(N620,TD!$B$50:$F$54,4,0)," ")</f>
        <v>20240207</v>
      </c>
      <c r="X620" s="166" t="s">
        <v>182</v>
      </c>
      <c r="Y620" s="168" t="str">
        <f>IFERROR(VLOOKUP(X620,TD!$J$51:$K$64,2,0)," ")</f>
        <v>Servicios para la planeación y sistemas de gestión y comunicación estratégica</v>
      </c>
      <c r="Z620" s="175" t="str">
        <f>CONCATENATE(X620,"-",Y620)</f>
        <v>13-Servicios para la planeación y sistemas de gestión y comunicación estratégica</v>
      </c>
      <c r="AA620" s="166" t="s">
        <v>231</v>
      </c>
      <c r="AB620" s="168" t="str">
        <f>IFERROR(VLOOKUP(AA620,TD!$N$51:$O$66,2,0)," ")</f>
        <v>Documentos de planeación</v>
      </c>
      <c r="AC620" s="175" t="str">
        <f>CONCATENATE(AA620,"_",AB620)</f>
        <v>019_Documentos de planeación</v>
      </c>
      <c r="AD620" s="175" t="str">
        <f>CONCATENATE(Z620," ",AC620)</f>
        <v>13-Servicios para la planeación y sistemas de gestión y comunicación estratégica 019_Documentos de planeación</v>
      </c>
      <c r="AE620" s="178" t="str">
        <f>CONCATENATE(U620,V620,W620,X620,AA620)</f>
        <v>O23011745992024020713019</v>
      </c>
      <c r="AF620" s="163" t="str">
        <f>IFERROR(VLOOKUP(AD620,TD!$J$66:$K$89,2,0)," ")</f>
        <v>PM/0131/0113/45990190207</v>
      </c>
      <c r="AG620" s="118" t="s">
        <v>385</v>
      </c>
      <c r="AH620" s="162" t="s">
        <v>194</v>
      </c>
      <c r="AI620" s="181" t="str">
        <f>CONCATENATE(PAA[[#This Row],[Id Interno]],"-",PAA[[#This Row],[tipo de Contrato (TH talento humano - B/S bienes y/o servicios)]],"-",S620,"-",T620,"-",PAA[[#This Row],[Objeto de la contratación]])</f>
        <v>20260609-TH-8126-1-Adición y prórroga al Contrato 285 de 2025 con objeto "Prestar apoyo técnico en la Dirección, en asuntos de comunicaciones y prensa, para la producción, diseño y edición de material audiovisual de la UAECOB"</v>
      </c>
    </row>
    <row r="621" spans="2:35" ht="56" x14ac:dyDescent="0.35">
      <c r="B621" s="149">
        <v>20260610</v>
      </c>
      <c r="C621" s="99" t="s">
        <v>965</v>
      </c>
      <c r="D621" s="23" t="s">
        <v>105</v>
      </c>
      <c r="E621" s="23" t="s">
        <v>363</v>
      </c>
      <c r="F621" s="23" t="s">
        <v>145</v>
      </c>
      <c r="G621" s="129" t="s">
        <v>374</v>
      </c>
      <c r="H621" s="136">
        <v>5</v>
      </c>
      <c r="I621" s="136">
        <v>0</v>
      </c>
      <c r="J621" s="127">
        <v>17500000</v>
      </c>
      <c r="K621" s="88" t="s">
        <v>398</v>
      </c>
      <c r="L621" s="159" t="s">
        <v>150</v>
      </c>
      <c r="M621" s="162" t="s">
        <v>401</v>
      </c>
      <c r="N621" s="23" t="s">
        <v>197</v>
      </c>
      <c r="O621" s="166" t="s">
        <v>945</v>
      </c>
      <c r="P621" s="162" t="s">
        <v>348</v>
      </c>
      <c r="Q621" s="53">
        <v>80111600</v>
      </c>
      <c r="R621" s="162" t="s">
        <v>209</v>
      </c>
      <c r="S621" s="162" t="str">
        <f>MID(PAA[[#This Row],[Meta Proyecto de Inversión]],1,4)</f>
        <v>8126</v>
      </c>
      <c r="T621" s="162" t="str">
        <f>MID(PAA[[#This Row],[Meta Proyecto de Inversión]],6,1)</f>
        <v>1</v>
      </c>
      <c r="U621" s="163" t="str">
        <f>IFERROR(VLOOKUP(N621,TD!$B$50:$F$54,2,0)," ")</f>
        <v>O230117</v>
      </c>
      <c r="V621" s="163" t="str">
        <f>IFERROR(VLOOKUP(N621,TD!$B$50:$F$54,3,0)," ")</f>
        <v>4599</v>
      </c>
      <c r="W621" s="163">
        <f>IFERROR(VLOOKUP(N621,TD!$B$50:$F$54,4,0)," ")</f>
        <v>20240207</v>
      </c>
      <c r="X621" s="166" t="s">
        <v>182</v>
      </c>
      <c r="Y621" s="168" t="str">
        <f>IFERROR(VLOOKUP(X621,TD!$J$51:$K$64,2,0)," ")</f>
        <v>Servicios para la planeación y sistemas de gestión y comunicación estratégica</v>
      </c>
      <c r="Z621" s="175" t="str">
        <f>CONCATENATE(X621,"-",Y621)</f>
        <v>13-Servicios para la planeación y sistemas de gestión y comunicación estratégica</v>
      </c>
      <c r="AA621" s="166" t="s">
        <v>231</v>
      </c>
      <c r="AB621" s="168" t="str">
        <f>IFERROR(VLOOKUP(AA621,TD!$N$51:$O$66,2,0)," ")</f>
        <v>Documentos de planeación</v>
      </c>
      <c r="AC621" s="164" t="str">
        <f>CONCATENATE(AA621,"_",AB621)</f>
        <v>019_Documentos de planeación</v>
      </c>
      <c r="AD621" s="164" t="str">
        <f>CONCATENATE(Z621," ",AC621)</f>
        <v>13-Servicios para la planeación y sistemas de gestión y comunicación estratégica 019_Documentos de planeación</v>
      </c>
      <c r="AE621" s="163" t="str">
        <f>CONCATENATE(U621,V621,W621,X621,AA621)</f>
        <v>O23011745992024020713019</v>
      </c>
      <c r="AF621" s="163" t="str">
        <f>IFERROR(VLOOKUP(AD621,TD!$J$66:$K$89,2,0)," ")</f>
        <v>PM/0131/0113/45990190207</v>
      </c>
      <c r="AG621" s="118" t="s">
        <v>385</v>
      </c>
      <c r="AH621" s="170" t="s">
        <v>194</v>
      </c>
      <c r="AI621" s="182" t="str">
        <f>CONCATENATE(PAA[[#This Row],[Id Interno]],"-",PAA[[#This Row],[tipo de Contrato (TH talento humano - B/S bienes y/o servicios)]],"-",S621,"-",T621,"-",PAA[[#This Row],[Objeto de la contratación]])</f>
        <v>20260610-TH-8126-1-Adición y prórroga al Contrato 278 de 2025 con objeto "Prestación de servicios como conductor en los diferentes recorridos de carácter operativo que se requieran en la Dirección General"</v>
      </c>
    </row>
    <row r="622" spans="2:35" ht="56" x14ac:dyDescent="0.35">
      <c r="B622" s="142">
        <v>20260611</v>
      </c>
      <c r="C622" s="121" t="s">
        <v>966</v>
      </c>
      <c r="D622" s="130" t="s">
        <v>105</v>
      </c>
      <c r="E622" s="130" t="s">
        <v>363</v>
      </c>
      <c r="F622" s="130" t="s">
        <v>144</v>
      </c>
      <c r="G622" s="131" t="s">
        <v>374</v>
      </c>
      <c r="H622" s="137">
        <v>5</v>
      </c>
      <c r="I622" s="137">
        <v>0</v>
      </c>
      <c r="J622" s="132">
        <v>26000000</v>
      </c>
      <c r="K622" s="133" t="s">
        <v>398</v>
      </c>
      <c r="L622" s="177" t="s">
        <v>150</v>
      </c>
      <c r="M622" s="173" t="s">
        <v>401</v>
      </c>
      <c r="N622" s="130" t="s">
        <v>197</v>
      </c>
      <c r="O622" s="172" t="s">
        <v>945</v>
      </c>
      <c r="P622" s="173" t="s">
        <v>348</v>
      </c>
      <c r="Q622" s="134">
        <v>80111600</v>
      </c>
      <c r="R622" s="162" t="s">
        <v>209</v>
      </c>
      <c r="S622" s="173" t="str">
        <f>MID(PAA[[#This Row],[Meta Proyecto de Inversión]],1,4)</f>
        <v>8126</v>
      </c>
      <c r="T622" s="173" t="str">
        <f>MID(PAA[[#This Row],[Meta Proyecto de Inversión]],6,1)</f>
        <v>1</v>
      </c>
      <c r="U622" s="178" t="str">
        <f>IFERROR(VLOOKUP(N622,TD!$B$50:$F$54,2,0)," ")</f>
        <v>O230117</v>
      </c>
      <c r="V622" s="178" t="str">
        <f>IFERROR(VLOOKUP(N622,TD!$B$50:$F$54,3,0)," ")</f>
        <v>4599</v>
      </c>
      <c r="W622" s="178">
        <f>IFERROR(VLOOKUP(N622,TD!$B$50:$F$54,4,0)," ")</f>
        <v>20240207</v>
      </c>
      <c r="X622" s="166" t="s">
        <v>182</v>
      </c>
      <c r="Y622" s="168" t="str">
        <f>IFERROR(VLOOKUP(X622,TD!$J$51:$K$64,2,0)," ")</f>
        <v>Servicios para la planeación y sistemas de gestión y comunicación estratégica</v>
      </c>
      <c r="Z622" s="175" t="str">
        <f>CONCATENATE(X622,"-",Y622)</f>
        <v>13-Servicios para la planeación y sistemas de gestión y comunicación estratégica</v>
      </c>
      <c r="AA622" s="166" t="s">
        <v>231</v>
      </c>
      <c r="AB622" s="168" t="str">
        <f>IFERROR(VLOOKUP(AA622,TD!$N$51:$O$66,2,0)," ")</f>
        <v>Documentos de planeación</v>
      </c>
      <c r="AC622" s="175" t="str">
        <f>CONCATENATE(AA622,"_",AB622)</f>
        <v>019_Documentos de planeación</v>
      </c>
      <c r="AD622" s="175" t="str">
        <f>CONCATENATE(Z622," ",AC622)</f>
        <v>13-Servicios para la planeación y sistemas de gestión y comunicación estratégica 019_Documentos de planeación</v>
      </c>
      <c r="AE622" s="178" t="str">
        <f>CONCATENATE(U622,V622,W622,X622,AA622)</f>
        <v>O23011745992024020713019</v>
      </c>
      <c r="AF622" s="163" t="str">
        <f>IFERROR(VLOOKUP(AD622,TD!$J$66:$K$89,2,0)," ")</f>
        <v>PM/0131/0113/45990190207</v>
      </c>
      <c r="AG622" s="118" t="s">
        <v>385</v>
      </c>
      <c r="AH622" s="180" t="s">
        <v>194</v>
      </c>
      <c r="AI622" s="181" t="str">
        <f>CONCATENATE(PAA[[#This Row],[Id Interno]],"-",PAA[[#This Row],[tipo de Contrato (TH talento humano - B/S bienes y/o servicios)]],"-",S622,"-",T622,"-",PAA[[#This Row],[Objeto de la contratación]])</f>
        <v>20260611-TH-8126-1-Adición y prórroga al Contrato 356 de 2025 con objeto "Prestación de servicios profesionales en asuntos de comunicaciones y prensa para apoyar la creación y divulgación audiovisual relacionada con la misionalidad de la UAECOB"</v>
      </c>
    </row>
    <row r="623" spans="2:35" ht="84" x14ac:dyDescent="0.35">
      <c r="B623" s="142">
        <v>20260612</v>
      </c>
      <c r="C623" s="121" t="s">
        <v>967</v>
      </c>
      <c r="D623" s="130" t="s">
        <v>105</v>
      </c>
      <c r="E623" s="130" t="s">
        <v>363</v>
      </c>
      <c r="F623" s="130" t="s">
        <v>145</v>
      </c>
      <c r="G623" s="131" t="s">
        <v>374</v>
      </c>
      <c r="H623" s="137">
        <v>11</v>
      </c>
      <c r="I623" s="137">
        <v>0</v>
      </c>
      <c r="J623" s="132">
        <f>47300000</f>
        <v>47300000</v>
      </c>
      <c r="K623" s="133" t="s">
        <v>398</v>
      </c>
      <c r="L623" s="177" t="s">
        <v>150</v>
      </c>
      <c r="M623" s="173" t="s">
        <v>401</v>
      </c>
      <c r="N623" s="130" t="s">
        <v>197</v>
      </c>
      <c r="O623" s="172" t="s">
        <v>945</v>
      </c>
      <c r="P623" s="173" t="s">
        <v>348</v>
      </c>
      <c r="Q623" s="134">
        <v>80111600</v>
      </c>
      <c r="R623" s="173" t="s">
        <v>209</v>
      </c>
      <c r="S623" s="173" t="str">
        <f>MID(PAA[[#This Row],[Meta Proyecto de Inversión]],1,4)</f>
        <v>8126</v>
      </c>
      <c r="T623" s="173" t="str">
        <f>MID(PAA[[#This Row],[Meta Proyecto de Inversión]],6,1)</f>
        <v>1</v>
      </c>
      <c r="U623" s="178" t="str">
        <f>IFERROR(VLOOKUP(N623,TD!$B$50:$F$54,2,0)," ")</f>
        <v>O230117</v>
      </c>
      <c r="V623" s="178" t="str">
        <f>IFERROR(VLOOKUP(N623,TD!$B$50:$F$54,3,0)," ")</f>
        <v>4599</v>
      </c>
      <c r="W623" s="178">
        <f>IFERROR(VLOOKUP(N623,TD!$B$50:$F$54,4,0)," ")</f>
        <v>20240207</v>
      </c>
      <c r="X623" s="166" t="s">
        <v>182</v>
      </c>
      <c r="Y623" s="168" t="str">
        <f>IFERROR(VLOOKUP(X623,TD!$J$51:$K$64,2,0)," ")</f>
        <v>Servicios para la planeación y sistemas de gestión y comunicación estratégica</v>
      </c>
      <c r="Z623" s="175" t="str">
        <f>CONCATENATE(X623,"-",Y623)</f>
        <v>13-Servicios para la planeación y sistemas de gestión y comunicación estratégica</v>
      </c>
      <c r="AA623" s="166" t="s">
        <v>231</v>
      </c>
      <c r="AB623" s="168" t="str">
        <f>IFERROR(VLOOKUP(AA623,TD!$N$51:$O$66,2,0)," ")</f>
        <v>Documentos de planeación</v>
      </c>
      <c r="AC623" s="175" t="str">
        <f>CONCATENATE(AA623,"_",AB623)</f>
        <v>019_Documentos de planeación</v>
      </c>
      <c r="AD623" s="175" t="str">
        <f>CONCATENATE(Z623," ",AC623)</f>
        <v>13-Servicios para la planeación y sistemas de gestión y comunicación estratégica 019_Documentos de planeación</v>
      </c>
      <c r="AE623" s="178" t="str">
        <f>CONCATENATE(U623,V623,W623,X623,AA623)</f>
        <v>O23011745992024020713019</v>
      </c>
      <c r="AF623" s="163" t="str">
        <f>IFERROR(VLOOKUP(AD623,TD!$J$66:$K$89,2,0)," ")</f>
        <v>PM/0131/0113/45990190207</v>
      </c>
      <c r="AG623" s="135" t="s">
        <v>385</v>
      </c>
      <c r="AH623" s="180" t="s">
        <v>193</v>
      </c>
      <c r="AI623" s="181" t="str">
        <f>CONCATENATE(PAA[[#This Row],[Id Interno]],"-",PAA[[#This Row],[tipo de Contrato (TH talento humano - B/S bienes y/o servicios)]],"-",S623,"-",T623,"-",PAA[[#This Row],[Objeto de la contratación]])</f>
        <v>20260612-TH-8126-1-Prestación de servicios de apoyo a la gestión en asuntos de comunicaciones y prensa para apoyar las labores de reportería, periodismo y de divulgación de información de acuerdo con la misionalidad de la UAECOB.</v>
      </c>
    </row>
    <row r="624" spans="2:35" ht="112" x14ac:dyDescent="0.35">
      <c r="B624" s="142">
        <v>20260613</v>
      </c>
      <c r="C624" s="121" t="s">
        <v>968</v>
      </c>
      <c r="D624" s="130" t="s">
        <v>83</v>
      </c>
      <c r="E624" s="130" t="s">
        <v>402</v>
      </c>
      <c r="F624" s="130" t="s">
        <v>124</v>
      </c>
      <c r="G624" s="131" t="s">
        <v>375</v>
      </c>
      <c r="H624" s="137">
        <v>3</v>
      </c>
      <c r="I624" s="137">
        <v>0</v>
      </c>
      <c r="J624" s="132">
        <v>182388960</v>
      </c>
      <c r="K624" s="133" t="s">
        <v>398</v>
      </c>
      <c r="L624" s="177" t="s">
        <v>156</v>
      </c>
      <c r="M624" s="173" t="s">
        <v>502</v>
      </c>
      <c r="N624" s="130" t="s">
        <v>198</v>
      </c>
      <c r="O624" s="172" t="s">
        <v>946</v>
      </c>
      <c r="P624" s="173" t="s">
        <v>348</v>
      </c>
      <c r="Q624" s="134" t="s">
        <v>528</v>
      </c>
      <c r="R624" s="173" t="s">
        <v>210</v>
      </c>
      <c r="S624" s="173" t="str">
        <f>MID(PAA[[#This Row],[Meta Proyecto de Inversión]],1,4)</f>
        <v>8173</v>
      </c>
      <c r="T624" s="173" t="str">
        <f>MID(PAA[[#This Row],[Meta Proyecto de Inversión]],6,1)</f>
        <v>1</v>
      </c>
      <c r="U624" s="178" t="str">
        <f>IFERROR(VLOOKUP(N624,TD!$B$50:$F$54,2,0)," ")</f>
        <v>O230117</v>
      </c>
      <c r="V624" s="178" t="str">
        <f>IFERROR(VLOOKUP(N624,TD!$B$50:$F$54,3,0)," ")</f>
        <v>4503</v>
      </c>
      <c r="W624" s="178">
        <f>IFERROR(VLOOKUP(N624,TD!$B$50:$F$54,4,0)," ")</f>
        <v>20240255</v>
      </c>
      <c r="X624" s="166" t="s">
        <v>166</v>
      </c>
      <c r="Y624" s="168" t="str">
        <f>IFERROR(VLOOKUP(X624,TD!$J$51:$K$64,2,0)," ")</f>
        <v>Servicio de capacitaciones en gestión del riesgo de incendios  a la ciudadania.</v>
      </c>
      <c r="Z624" s="175" t="str">
        <f>CONCATENATE(X624,"-",Y624)</f>
        <v>05-Servicio de capacitaciones en gestión del riesgo de incendios  a la ciudadania.</v>
      </c>
      <c r="AA624" s="166" t="s">
        <v>223</v>
      </c>
      <c r="AB624" s="168" t="str">
        <f>IFERROR(VLOOKUP(AA624,TD!$N$51:$O$66,2,0)," ")</f>
        <v>Servicio prevención y control de incendios</v>
      </c>
      <c r="AC624" s="175" t="str">
        <f>CONCATENATE(AA624,"_",AB624)</f>
        <v>035_Servicio prevención y control de incendios</v>
      </c>
      <c r="AD624" s="175" t="str">
        <f>CONCATENATE(Z624," ",AC624)</f>
        <v>05-Servicio de capacitaciones en gestión del riesgo de incendios  a la ciudadania. 035_Servicio prevención y control de incendios</v>
      </c>
      <c r="AE624" s="178" t="str">
        <f>CONCATENATE(U624,V624,W624,X624,AA624)</f>
        <v>O23011745032024025505035</v>
      </c>
      <c r="AF624" s="163" t="str">
        <f>IFERROR(VLOOKUP(AD624,TD!$J$66:$K$89,2,0)," ")</f>
        <v>PM/0131/0105/45030350255</v>
      </c>
      <c r="AG624" s="135" t="s">
        <v>559</v>
      </c>
      <c r="AH624" s="180" t="s">
        <v>194</v>
      </c>
      <c r="AI624" s="181" t="str">
        <f>CONCATENATE(PAA[[#This Row],[Id Interno]],"-",PAA[[#This Row],[tipo de Contrato (TH talento humano - B/S bienes y/o servicios)]],"-",S624,"-",T624,"-",PAA[[#This Row],[Objeto de la contratación]])</f>
        <v>20260613-BS-8173-1-Adición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v>
      </c>
    </row>
    <row r="625" spans="2:35" ht="56" x14ac:dyDescent="0.35">
      <c r="B625" s="149">
        <v>20260614</v>
      </c>
      <c r="C625" s="99" t="s">
        <v>970</v>
      </c>
      <c r="D625" s="23" t="s">
        <v>105</v>
      </c>
      <c r="E625" s="23" t="s">
        <v>363</v>
      </c>
      <c r="F625" s="23" t="s">
        <v>144</v>
      </c>
      <c r="G625" s="129" t="s">
        <v>971</v>
      </c>
      <c r="H625" s="136">
        <v>10</v>
      </c>
      <c r="I625" s="136">
        <v>0</v>
      </c>
      <c r="J625" s="127">
        <v>65000000</v>
      </c>
      <c r="K625" s="88" t="s">
        <v>398</v>
      </c>
      <c r="L625" s="159" t="s">
        <v>152</v>
      </c>
      <c r="M625" s="162" t="s">
        <v>958</v>
      </c>
      <c r="N625" s="23" t="s">
        <v>197</v>
      </c>
      <c r="O625" s="166" t="s">
        <v>945</v>
      </c>
      <c r="P625" s="162" t="s">
        <v>348</v>
      </c>
      <c r="Q625" s="53">
        <v>80111600</v>
      </c>
      <c r="R625" s="162" t="s">
        <v>208</v>
      </c>
      <c r="S625" s="162" t="str">
        <f>MID(PAA[[#This Row],[Meta Proyecto de Inversión]],1,4)</f>
        <v>8126</v>
      </c>
      <c r="T625" s="162" t="str">
        <f>MID(PAA[[#This Row],[Meta Proyecto de Inversión]],6,1)</f>
        <v>9</v>
      </c>
      <c r="U625" s="163" t="str">
        <f>IFERROR(VLOOKUP(N625,TD!$B$50:$F$54,2,0)," ")</f>
        <v>O230117</v>
      </c>
      <c r="V625" s="163" t="str">
        <f>IFERROR(VLOOKUP(N625,TD!$B$50:$F$54,3,0)," ")</f>
        <v>4599</v>
      </c>
      <c r="W625" s="163">
        <f>IFERROR(VLOOKUP(N625,TD!$B$50:$F$54,4,0)," ")</f>
        <v>20240207</v>
      </c>
      <c r="X625" s="166" t="s">
        <v>174</v>
      </c>
      <c r="Y625" s="168" t="str">
        <f>IFERROR(VLOOKUP(X625,TD!$J$51:$K$64,2,0)," ")</f>
        <v>Infraestructura física, mantenimiento y dotación (Sedes construidas, mantenidas reforzadas)</v>
      </c>
      <c r="Z625" s="175" t="str">
        <f>CONCATENATE(X625,"-",Y625)</f>
        <v>08-Infraestructura física, mantenimiento y dotación (Sedes construidas, mantenidas reforzadas)</v>
      </c>
      <c r="AA625" s="166" t="s">
        <v>227</v>
      </c>
      <c r="AB625" s="168" t="str">
        <f>IFERROR(VLOOKUP(AA625,TD!$N$51:$O$66,2,0)," ")</f>
        <v>Sedes mantenidas</v>
      </c>
      <c r="AC625" s="164" t="str">
        <f>CONCATENATE(AA625,"_",AB625)</f>
        <v>016_Sedes mantenidas</v>
      </c>
      <c r="AD625" s="164" t="str">
        <f>CONCATENATE(Z625," ",AC625)</f>
        <v>08-Infraestructura física, mantenimiento y dotación (Sedes construidas, mantenidas reforzadas) 016_Sedes mantenidas</v>
      </c>
      <c r="AE625" s="163" t="str">
        <f>CONCATENATE(U625,V625,W625,X625,AA625)</f>
        <v>O23011745992024020708016</v>
      </c>
      <c r="AF625" s="163" t="str">
        <f>IFERROR(VLOOKUP(AD625,TD!$J$66:$K$89,2,0)," ")</f>
        <v>PM/0131/0108/45990160207</v>
      </c>
      <c r="AG625" s="118" t="s">
        <v>385</v>
      </c>
      <c r="AH625" s="170" t="s">
        <v>193</v>
      </c>
      <c r="AI625" s="182" t="str">
        <f>CONCATENATE(PAA[[#This Row],[Id Interno]],"-",PAA[[#This Row],[tipo de Contrato (TH talento humano - B/S bienes y/o servicios)]],"-",S625,"-",T625,"-",PAA[[#This Row],[Objeto de la contratación]])</f>
        <v>20260614-TH-8126-9-Prestar los servicios profesionales  en la Oficina de Control Interno para el desarrollo del Plan Anual de Auditorías.</v>
      </c>
    </row>
    <row r="626" spans="2:35" ht="70" x14ac:dyDescent="0.35">
      <c r="B626" s="142">
        <v>20260615</v>
      </c>
      <c r="C626" s="121" t="s">
        <v>970</v>
      </c>
      <c r="D626" s="130" t="s">
        <v>105</v>
      </c>
      <c r="E626" s="130" t="s">
        <v>363</v>
      </c>
      <c r="F626" s="130" t="s">
        <v>144</v>
      </c>
      <c r="G626" s="131" t="s">
        <v>971</v>
      </c>
      <c r="H626" s="137">
        <v>10</v>
      </c>
      <c r="I626" s="137">
        <v>0</v>
      </c>
      <c r="J626" s="132">
        <v>77000000</v>
      </c>
      <c r="K626" s="133" t="s">
        <v>398</v>
      </c>
      <c r="L626" s="177" t="s">
        <v>152</v>
      </c>
      <c r="M626" s="173" t="s">
        <v>958</v>
      </c>
      <c r="N626" s="130" t="s">
        <v>197</v>
      </c>
      <c r="O626" s="172" t="s">
        <v>945</v>
      </c>
      <c r="P626" s="173" t="s">
        <v>348</v>
      </c>
      <c r="Q626" s="134">
        <v>80111600</v>
      </c>
      <c r="R626" s="173" t="s">
        <v>208</v>
      </c>
      <c r="S626" s="173" t="str">
        <f>MID(PAA[[#This Row],[Meta Proyecto de Inversión]],1,4)</f>
        <v>8126</v>
      </c>
      <c r="T626" s="173" t="str">
        <f>MID(PAA[[#This Row],[Meta Proyecto de Inversión]],6,1)</f>
        <v>9</v>
      </c>
      <c r="U626" s="178" t="str">
        <f>IFERROR(VLOOKUP(N626,TD!$B$50:$F$54,2,0)," ")</f>
        <v>O230117</v>
      </c>
      <c r="V626" s="178" t="str">
        <f>IFERROR(VLOOKUP(N626,TD!$B$50:$F$54,3,0)," ")</f>
        <v>4599</v>
      </c>
      <c r="W626" s="178">
        <f>IFERROR(VLOOKUP(N626,TD!$B$50:$F$54,4,0)," ")</f>
        <v>20240207</v>
      </c>
      <c r="X626" s="166" t="s">
        <v>174</v>
      </c>
      <c r="Y626" s="168" t="str">
        <f>IFERROR(VLOOKUP(X626,TD!$J$51:$K$64,2,0)," ")</f>
        <v>Infraestructura física, mantenimiento y dotación (Sedes construidas, mantenidas reforzadas)</v>
      </c>
      <c r="Z626" s="175" t="str">
        <f>CONCATENATE(X626,"-",Y626)</f>
        <v>08-Infraestructura física, mantenimiento y dotación (Sedes construidas, mantenidas reforzadas)</v>
      </c>
      <c r="AA626" s="166" t="s">
        <v>227</v>
      </c>
      <c r="AB626" s="168" t="str">
        <f>IFERROR(VLOOKUP(AA626,TD!$N$51:$O$66,2,0)," ")</f>
        <v>Sedes mantenidas</v>
      </c>
      <c r="AC626" s="175" t="str">
        <f>CONCATENATE(AA626,"_",AB626)</f>
        <v>016_Sedes mantenidas</v>
      </c>
      <c r="AD626" s="175" t="str">
        <f>CONCATENATE(Z626," ",AC626)</f>
        <v>08-Infraestructura física, mantenimiento y dotación (Sedes construidas, mantenidas reforzadas) 016_Sedes mantenidas</v>
      </c>
      <c r="AE626" s="178" t="str">
        <f>CONCATENATE(U626,V626,W626,X626,AA626)</f>
        <v>O23011745992024020708016</v>
      </c>
      <c r="AF626" s="163" t="str">
        <f>IFERROR(VLOOKUP(AD626,TD!$J$66:$K$89,2,0)," ")</f>
        <v>PM/0131/0108/45990160207</v>
      </c>
      <c r="AG626" s="118" t="s">
        <v>385</v>
      </c>
      <c r="AH626" s="180" t="s">
        <v>193</v>
      </c>
      <c r="AI626" s="181" t="str">
        <f>CONCATENATE(PAA[[#This Row],[Id Interno]],"-",PAA[[#This Row],[tipo de Contrato (TH talento humano - B/S bienes y/o servicios)]],"-",S626,"-",T626,"-",PAA[[#This Row],[Objeto de la contratación]])</f>
        <v>20260615-TH-8126-9-Prestar los servicios profesionales  en la Oficina de Control Interno para el desarrollo del Plan Anual de Auditorías.</v>
      </c>
    </row>
    <row r="627" spans="2:35" ht="70" x14ac:dyDescent="0.35">
      <c r="B627" s="142">
        <v>20260616</v>
      </c>
      <c r="C627" s="121" t="s">
        <v>972</v>
      </c>
      <c r="D627" s="130" t="s">
        <v>105</v>
      </c>
      <c r="E627" s="130" t="s">
        <v>363</v>
      </c>
      <c r="F627" s="130" t="s">
        <v>145</v>
      </c>
      <c r="G627" s="131" t="s">
        <v>373</v>
      </c>
      <c r="H627" s="137">
        <v>8</v>
      </c>
      <c r="I627" s="137">
        <v>0</v>
      </c>
      <c r="J627" s="132">
        <v>28000000</v>
      </c>
      <c r="K627" s="133" t="s">
        <v>398</v>
      </c>
      <c r="L627" s="177" t="s">
        <v>158</v>
      </c>
      <c r="M627" s="173" t="s">
        <v>421</v>
      </c>
      <c r="N627" s="130" t="s">
        <v>198</v>
      </c>
      <c r="O627" s="172" t="s">
        <v>946</v>
      </c>
      <c r="P627" s="173" t="s">
        <v>348</v>
      </c>
      <c r="Q627" s="134">
        <v>80111600</v>
      </c>
      <c r="R627" s="173" t="s">
        <v>211</v>
      </c>
      <c r="S627" s="173" t="str">
        <f>MID(PAA[[#This Row],[Meta Proyecto de Inversión]],1,4)</f>
        <v>8173</v>
      </c>
      <c r="T627" s="173" t="str">
        <f>MID(PAA[[#This Row],[Meta Proyecto de Inversión]],6,1)</f>
        <v>2</v>
      </c>
      <c r="U627" s="178" t="str">
        <f>IFERROR(VLOOKUP(N627,TD!$B$50:$F$54,2,0)," ")</f>
        <v>O230117</v>
      </c>
      <c r="V627" s="178" t="str">
        <f>IFERROR(VLOOKUP(N627,TD!$B$50:$F$54,3,0)," ")</f>
        <v>4503</v>
      </c>
      <c r="W627" s="178">
        <f>IFERROR(VLOOKUP(N627,TD!$B$50:$F$54,4,0)," ")</f>
        <v>20240255</v>
      </c>
      <c r="X627" s="166" t="s">
        <v>164</v>
      </c>
      <c r="Y627" s="168" t="str">
        <f>IFERROR(VLOOKUP(X627,TD!$J$51:$K$64,2,0)," ")</f>
        <v>Servicio de atención a incidentes y emergencias.</v>
      </c>
      <c r="Z627" s="175" t="str">
        <f>CONCATENATE(X627,"-",Y627)</f>
        <v>04-Servicio de atención a incidentes y emergencias.</v>
      </c>
      <c r="AA627" s="166" t="s">
        <v>221</v>
      </c>
      <c r="AB627" s="168" t="str">
        <f>IFERROR(VLOOKUP(AA627,TD!$N$51:$O$66,2,0)," ")</f>
        <v>Servicio de atención a emergencias y desastres</v>
      </c>
      <c r="AC627" s="175" t="str">
        <f>CONCATENATE(AA627,"_",AB627)</f>
        <v>004_Servicio de atención a emergencias y desastres</v>
      </c>
      <c r="AD627" s="175" t="str">
        <f>CONCATENATE(Z627," ",AC627)</f>
        <v>04-Servicio de atención a incidentes y emergencias. 004_Servicio de atención a emergencias y desastres</v>
      </c>
      <c r="AE627" s="178" t="str">
        <f>CONCATENATE(U627,V627,W627,X627,AA627)</f>
        <v>O23011745032024025504004</v>
      </c>
      <c r="AF627" s="163" t="str">
        <f>IFERROR(VLOOKUP(AD627,TD!$J$66:$K$89,2,0)," ")</f>
        <v>PM/0131/0104/45030040255</v>
      </c>
      <c r="AG627" s="118" t="s">
        <v>385</v>
      </c>
      <c r="AH627" s="180" t="s">
        <v>193</v>
      </c>
      <c r="AI627" s="181" t="str">
        <f>CONCATENATE(PAA[[#This Row],[Id Interno]],"-",PAA[[#This Row],[tipo de Contrato (TH talento humano - B/S bienes y/o servicios)]],"-",S627,"-",T627,"-",PAA[[#This Row],[Objeto de la contratación]])</f>
        <v>20260616-TH-8173-2-Prestar servicios de apoyo a la gestión en el desarrollo de las actividades y trámites administrativos y operativos relacionados con los procesos que se encuentran a cargo de la Subdirección Operativa de la UAECOB-SO.</v>
      </c>
    </row>
    <row r="628" spans="2:35" ht="56" x14ac:dyDescent="0.35">
      <c r="B628" s="142">
        <v>20260617</v>
      </c>
      <c r="C628" s="121" t="s">
        <v>973</v>
      </c>
      <c r="D628" s="130" t="s">
        <v>105</v>
      </c>
      <c r="E628" s="130" t="s">
        <v>363</v>
      </c>
      <c r="F628" s="130" t="s">
        <v>144</v>
      </c>
      <c r="G628" s="131" t="s">
        <v>373</v>
      </c>
      <c r="H628" s="137">
        <v>6</v>
      </c>
      <c r="I628" s="137">
        <v>0</v>
      </c>
      <c r="J628" s="132">
        <v>48000000</v>
      </c>
      <c r="K628" s="133" t="s">
        <v>398</v>
      </c>
      <c r="L628" s="177" t="s">
        <v>158</v>
      </c>
      <c r="M628" s="173" t="s">
        <v>421</v>
      </c>
      <c r="N628" s="130" t="s">
        <v>198</v>
      </c>
      <c r="O628" s="172" t="s">
        <v>946</v>
      </c>
      <c r="P628" s="173" t="s">
        <v>348</v>
      </c>
      <c r="Q628" s="134">
        <v>80111600</v>
      </c>
      <c r="R628" s="173" t="s">
        <v>211</v>
      </c>
      <c r="S628" s="173" t="str">
        <f>MID(PAA[[#This Row],[Meta Proyecto de Inversión]],1,4)</f>
        <v>8173</v>
      </c>
      <c r="T628" s="173" t="str">
        <f>MID(PAA[[#This Row],[Meta Proyecto de Inversión]],6,1)</f>
        <v>2</v>
      </c>
      <c r="U628" s="178" t="str">
        <f>IFERROR(VLOOKUP(N628,TD!$B$50:$F$54,2,0)," ")</f>
        <v>O230117</v>
      </c>
      <c r="V628" s="178" t="str">
        <f>IFERROR(VLOOKUP(N628,TD!$B$50:$F$54,3,0)," ")</f>
        <v>4503</v>
      </c>
      <c r="W628" s="178">
        <f>IFERROR(VLOOKUP(N628,TD!$B$50:$F$54,4,0)," ")</f>
        <v>20240255</v>
      </c>
      <c r="X628" s="166" t="s">
        <v>164</v>
      </c>
      <c r="Y628" s="168" t="str">
        <f>IFERROR(VLOOKUP(X628,TD!$J$51:$K$64,2,0)," ")</f>
        <v>Servicio de atención a incidentes y emergencias.</v>
      </c>
      <c r="Z628" s="175" t="str">
        <f>CONCATENATE(X628,"-",Y628)</f>
        <v>04-Servicio de atención a incidentes y emergencias.</v>
      </c>
      <c r="AA628" s="166" t="s">
        <v>221</v>
      </c>
      <c r="AB628" s="168" t="str">
        <f>IFERROR(VLOOKUP(AA628,TD!$N$51:$O$66,2,0)," ")</f>
        <v>Servicio de atención a emergencias y desastres</v>
      </c>
      <c r="AC628" s="175" t="str">
        <f>CONCATENATE(AA628,"_",AB628)</f>
        <v>004_Servicio de atención a emergencias y desastres</v>
      </c>
      <c r="AD628" s="175" t="str">
        <f>CONCATENATE(Z628," ",AC628)</f>
        <v>04-Servicio de atención a incidentes y emergencias. 004_Servicio de atención a emergencias y desastres</v>
      </c>
      <c r="AE628" s="178" t="str">
        <f>CONCATENATE(U628,V628,W628,X628,AA628)</f>
        <v>O23011745032024025504004</v>
      </c>
      <c r="AF628" s="163" t="str">
        <f>IFERROR(VLOOKUP(AD628,TD!$J$66:$K$89,2,0)," ")</f>
        <v>PM/0131/0104/45030040255</v>
      </c>
      <c r="AG628" s="135" t="s">
        <v>385</v>
      </c>
      <c r="AH628" s="180" t="s">
        <v>193</v>
      </c>
      <c r="AI628" s="181" t="str">
        <f>CONCATENATE(PAA[[#This Row],[Id Interno]],"-",PAA[[#This Row],[tipo de Contrato (TH talento humano - B/S bienes y/o servicios)]],"-",S628,"-",T628,"-",PAA[[#This Row],[Objeto de la contratación]])</f>
        <v>20260617-TH-8173-2-Prestar los servicios profesionales a la Subdirección Operativa de la UAECOB desde el componente jurídico, en los asuntos a cargo de la dependencia para el adecuado alcance de las metas e indicadores asignados a esta, brindando plena aplicación a la normatividad vigente-S.O.</v>
      </c>
    </row>
    <row r="629" spans="2:35" ht="56" x14ac:dyDescent="0.35">
      <c r="B629" s="142">
        <v>20260619</v>
      </c>
      <c r="C629" s="121" t="s">
        <v>975</v>
      </c>
      <c r="D629" s="130" t="s">
        <v>114</v>
      </c>
      <c r="E629" s="130" t="s">
        <v>402</v>
      </c>
      <c r="F629" s="130" t="s">
        <v>79</v>
      </c>
      <c r="G629" s="131" t="s">
        <v>373</v>
      </c>
      <c r="H629" s="137">
        <v>2</v>
      </c>
      <c r="I629" s="137">
        <v>0</v>
      </c>
      <c r="J629" s="132">
        <v>5093340</v>
      </c>
      <c r="K629" s="133" t="s">
        <v>398</v>
      </c>
      <c r="L629" s="177" t="s">
        <v>158</v>
      </c>
      <c r="M629" s="173" t="s">
        <v>421</v>
      </c>
      <c r="N629" s="130" t="s">
        <v>198</v>
      </c>
      <c r="O629" s="172" t="s">
        <v>946</v>
      </c>
      <c r="P629" s="173" t="s">
        <v>348</v>
      </c>
      <c r="Q629" s="134">
        <v>80111600</v>
      </c>
      <c r="R629" s="173" t="s">
        <v>211</v>
      </c>
      <c r="S629" s="173" t="str">
        <f>MID(PAA[[#This Row],[Meta Proyecto de Inversión]],1,4)</f>
        <v>8173</v>
      </c>
      <c r="T629" s="173" t="str">
        <f>MID(PAA[[#This Row],[Meta Proyecto de Inversión]],6,1)</f>
        <v>2</v>
      </c>
      <c r="U629" s="178" t="str">
        <f>IFERROR(VLOOKUP(N629,TD!$B$50:$F$54,2,0)," ")</f>
        <v>O230117</v>
      </c>
      <c r="V629" s="178" t="str">
        <f>IFERROR(VLOOKUP(N629,TD!$B$50:$F$54,3,0)," ")</f>
        <v>4503</v>
      </c>
      <c r="W629" s="178">
        <f>IFERROR(VLOOKUP(N629,TD!$B$50:$F$54,4,0)," ")</f>
        <v>20240255</v>
      </c>
      <c r="X629" s="166" t="s">
        <v>178</v>
      </c>
      <c r="Y629" s="168" t="str">
        <f>IFERROR(VLOOKUP(X629,TD!$J$51:$K$64,2,0)," ")</f>
        <v>Servicio de dotación y equipamento para el personal operativo</v>
      </c>
      <c r="Z629" s="175" t="str">
        <f>CONCATENATE(X629,"-",Y629)</f>
        <v>10-Servicio de dotación y equipamento para el personal operativo</v>
      </c>
      <c r="AA629" s="166" t="s">
        <v>221</v>
      </c>
      <c r="AB629" s="168" t="str">
        <f>IFERROR(VLOOKUP(AA629,TD!$N$51:$O$66,2,0)," ")</f>
        <v>Servicio de atención a emergencias y desastres</v>
      </c>
      <c r="AC629" s="175" t="str">
        <f>CONCATENATE(AA629,"_",AB629)</f>
        <v>004_Servicio de atención a emergencias y desastres</v>
      </c>
      <c r="AD629" s="175" t="str">
        <f>CONCATENATE(Z629," ",AC629)</f>
        <v>10-Servicio de dotación y equipamento para el personal operativo 004_Servicio de atención a emergencias y desastres</v>
      </c>
      <c r="AE629" s="178" t="str">
        <f>CONCATENATE(U629,V629,W629,X629,AA629)</f>
        <v>O23011745032024025510004</v>
      </c>
      <c r="AF629" s="163" t="str">
        <f>IFERROR(VLOOKUP(AD629,TD!$J$66:$K$89,2,0)," ")</f>
        <v>PM/0131/0110/45030040255</v>
      </c>
      <c r="AG629" s="135" t="s">
        <v>80</v>
      </c>
      <c r="AH629" s="180" t="s">
        <v>194</v>
      </c>
      <c r="AI629" s="181" t="str">
        <f>CONCATENATE(PAA[[#This Row],[Id Interno]],"-",PAA[[#This Row],[tipo de Contrato (TH talento humano - B/S bienes y/o servicios)]],"-",S629,"-",T629,"-",PAA[[#This Row],[Objeto de la contratación]])</f>
        <v>20260619-BS-8173-2-Adición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v>
      </c>
    </row>
    <row r="630" spans="2:35" ht="56" x14ac:dyDescent="0.35">
      <c r="B630" s="142">
        <v>20260620</v>
      </c>
      <c r="C630" s="121" t="s">
        <v>976</v>
      </c>
      <c r="D630" s="130" t="s">
        <v>119</v>
      </c>
      <c r="E630" s="130" t="s">
        <v>402</v>
      </c>
      <c r="F630" s="130" t="s">
        <v>128</v>
      </c>
      <c r="G630" s="131" t="s">
        <v>380</v>
      </c>
      <c r="H630" s="137">
        <v>11</v>
      </c>
      <c r="I630" s="137">
        <v>0</v>
      </c>
      <c r="J630" s="132">
        <v>180000000</v>
      </c>
      <c r="K630" s="133" t="s">
        <v>398</v>
      </c>
      <c r="L630" s="177" t="s">
        <v>154</v>
      </c>
      <c r="M630" s="173" t="s">
        <v>451</v>
      </c>
      <c r="N630" s="130" t="s">
        <v>330</v>
      </c>
      <c r="O630" s="173" t="s">
        <v>945</v>
      </c>
      <c r="P630" s="173" t="s">
        <v>161</v>
      </c>
      <c r="Q630" s="134" t="s">
        <v>333</v>
      </c>
      <c r="R630" s="173" t="s">
        <v>331</v>
      </c>
      <c r="S630" s="173" t="str">
        <f>MID(PAA[[#This Row],[Meta Proyecto de Inversión]],1,4)</f>
        <v>No a</v>
      </c>
      <c r="T630" s="173" t="str">
        <f>MID(PAA[[#This Row],[Meta Proyecto de Inversión]],6,1)</f>
        <v>l</v>
      </c>
      <c r="U630" s="178" t="str">
        <f>IFERROR(VLOOKUP(N630,TD!$B$50:$F$54,2,0)," ")</f>
        <v>NA</v>
      </c>
      <c r="V630" s="178" t="str">
        <f>IFERROR(VLOOKUP(N630,TD!$B$50:$F$54,3,0)," ")</f>
        <v>NA</v>
      </c>
      <c r="W630" s="178" t="str">
        <f>IFERROR(VLOOKUP(N630,TD!$B$50:$F$54,4,0)," ")</f>
        <v>NA</v>
      </c>
      <c r="X630" s="166" t="s">
        <v>335</v>
      </c>
      <c r="Y630" s="168" t="str">
        <f>IFERROR(VLOOKUP(X630,TD!$J$51:$K$64,2,0)," ")</f>
        <v>N/A</v>
      </c>
      <c r="Z630" s="175" t="str">
        <f>CONCATENATE(X630,"-",Y630)</f>
        <v>N/A-N/A</v>
      </c>
      <c r="AA630" s="166" t="s">
        <v>335</v>
      </c>
      <c r="AB630" s="168" t="str">
        <f>IFERROR(VLOOKUP(AA630,TD!$N$51:$O$66,2,0)," ")</f>
        <v>N/A</v>
      </c>
      <c r="AC630" s="175" t="str">
        <f>CONCATENATE(AA630,"_",AB630)</f>
        <v>N/A_N/A</v>
      </c>
      <c r="AD630" s="175" t="str">
        <f>CONCATENATE(Z630," ",AC630)</f>
        <v>N/A-N/A N/A_N/A</v>
      </c>
      <c r="AE630" s="178" t="str">
        <f>CONCATENATE(U630,V630,W630,X630,AA630)</f>
        <v>NANANAN/AN/A</v>
      </c>
      <c r="AF630" s="163" t="str">
        <f>IFERROR(VLOOKUP(AD630,TD!$J$66:$K$89,2,0)," ")</f>
        <v>N/A</v>
      </c>
      <c r="AG630" s="135" t="s">
        <v>332</v>
      </c>
      <c r="AH630" s="180" t="s">
        <v>193</v>
      </c>
      <c r="AI630" s="183" t="str">
        <f>CONCATENATE(PAA[[#This Row],[Id Interno]],"-",PAA[[#This Row],[tipo de Contrato (TH talento humano - B/S bienes y/o servicios)]],"-",S630,"-",T630,"-",PAA[[#This Row],[Objeto de la contratación]])</f>
        <v>20260620-BS-No a-l-SGH - INCENTIVOS</v>
      </c>
    </row>
    <row r="631" spans="2:35" ht="76.5" customHeight="1" x14ac:dyDescent="0.35">
      <c r="B631" s="142">
        <v>20260621</v>
      </c>
      <c r="C631" s="121" t="s">
        <v>977</v>
      </c>
      <c r="D631" s="130" t="s">
        <v>105</v>
      </c>
      <c r="E631" s="130" t="s">
        <v>363</v>
      </c>
      <c r="F631" s="130" t="s">
        <v>144</v>
      </c>
      <c r="G631" s="131" t="s">
        <v>373</v>
      </c>
      <c r="H631" s="137">
        <v>3</v>
      </c>
      <c r="I631" s="137">
        <v>0</v>
      </c>
      <c r="J631" s="132">
        <v>29400000</v>
      </c>
      <c r="K631" s="133" t="s">
        <v>398</v>
      </c>
      <c r="L631" s="177" t="s">
        <v>154</v>
      </c>
      <c r="M631" s="173" t="s">
        <v>451</v>
      </c>
      <c r="N631" s="130" t="s">
        <v>197</v>
      </c>
      <c r="O631" s="173" t="s">
        <v>945</v>
      </c>
      <c r="P631" s="173" t="s">
        <v>348</v>
      </c>
      <c r="Q631" s="134">
        <v>80111600</v>
      </c>
      <c r="R631" s="173" t="s">
        <v>208</v>
      </c>
      <c r="S631" s="173" t="str">
        <f>MID(PAA[[#This Row],[Meta Proyecto de Inversión]],1,4)</f>
        <v>8126</v>
      </c>
      <c r="T631" s="173" t="str">
        <f>MID(PAA[[#This Row],[Meta Proyecto de Inversión]],6,1)</f>
        <v>9</v>
      </c>
      <c r="U631" s="178" t="str">
        <f>IFERROR(VLOOKUP(N631,TD!$B$50:$F$54,2,0)," ")</f>
        <v>O230117</v>
      </c>
      <c r="V631" s="178" t="str">
        <f>IFERROR(VLOOKUP(N631,TD!$B$50:$F$54,3,0)," ")</f>
        <v>4599</v>
      </c>
      <c r="W631" s="178">
        <f>IFERROR(VLOOKUP(N631,TD!$B$50:$F$54,4,0)," ")</f>
        <v>20240207</v>
      </c>
      <c r="X631" s="166" t="s">
        <v>174</v>
      </c>
      <c r="Y631" s="168" t="str">
        <f>IFERROR(VLOOKUP(X631,TD!$J$51:$K$64,2,0)," ")</f>
        <v>Infraestructura física, mantenimiento y dotación (Sedes construidas, mantenidas reforzadas)</v>
      </c>
      <c r="Z631" s="175" t="str">
        <f>CONCATENATE(X631,"-",Y631)</f>
        <v>08-Infraestructura física, mantenimiento y dotación (Sedes construidas, mantenidas reforzadas)</v>
      </c>
      <c r="AA631" s="166" t="s">
        <v>227</v>
      </c>
      <c r="AB631" s="168" t="str">
        <f>IFERROR(VLOOKUP(AA631,TD!$N$51:$O$66,2,0)," ")</f>
        <v>Sedes mantenidas</v>
      </c>
      <c r="AC631" s="175" t="str">
        <f>CONCATENATE(AA631,"_",AB631)</f>
        <v>016_Sedes mantenidas</v>
      </c>
      <c r="AD631" s="175" t="str">
        <f>CONCATENATE(Z631," ",AC631)</f>
        <v>08-Infraestructura física, mantenimiento y dotación (Sedes construidas, mantenidas reforzadas) 016_Sedes mantenidas</v>
      </c>
      <c r="AE631" s="178" t="str">
        <f>CONCATENATE(U631,V631,W631,X631,AA631)</f>
        <v>O23011745992024020708016</v>
      </c>
      <c r="AF631" s="163" t="str">
        <f>IFERROR(VLOOKUP(AD631,TD!$J$66:$K$89,2,0)," ")</f>
        <v>PM/0131/0108/45990160207</v>
      </c>
      <c r="AG631" s="135" t="s">
        <v>385</v>
      </c>
      <c r="AH631" s="180" t="s">
        <v>193</v>
      </c>
      <c r="AI631" s="181" t="str">
        <f>CONCATENATE(PAA[[#This Row],[Id Interno]],"-",PAA[[#This Row],[tipo de Contrato (TH talento humano - B/S bienes y/o servicios)]],"-",S631,"-",T631,"-",PAA[[#This Row],[Objeto de la contratación]])</f>
        <v>20260621-TH-8126-9-SGH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v>
      </c>
    </row>
    <row r="632" spans="2:35" ht="84" x14ac:dyDescent="0.35">
      <c r="B632" s="142">
        <v>20260622</v>
      </c>
      <c r="C632" s="121" t="s">
        <v>999</v>
      </c>
      <c r="D632" s="130" t="s">
        <v>114</v>
      </c>
      <c r="E632" s="130" t="s">
        <v>402</v>
      </c>
      <c r="F632" s="130" t="s">
        <v>111</v>
      </c>
      <c r="G632" s="131" t="s">
        <v>375</v>
      </c>
      <c r="H632" s="137">
        <v>10</v>
      </c>
      <c r="I632" s="137">
        <v>0</v>
      </c>
      <c r="J632" s="132">
        <v>800000000</v>
      </c>
      <c r="K632" s="133" t="s">
        <v>398</v>
      </c>
      <c r="L632" s="177" t="s">
        <v>157</v>
      </c>
      <c r="M632" s="173" t="s">
        <v>501</v>
      </c>
      <c r="N632" s="130" t="s">
        <v>198</v>
      </c>
      <c r="O632" s="173" t="s">
        <v>946</v>
      </c>
      <c r="P632" s="173" t="s">
        <v>348</v>
      </c>
      <c r="Q632" s="134">
        <v>15101500</v>
      </c>
      <c r="R632" s="173" t="s">
        <v>213</v>
      </c>
      <c r="S632" s="173" t="str">
        <f>MID(PAA[[#This Row],[Meta Proyecto de Inversión]],1,4)</f>
        <v>8173</v>
      </c>
      <c r="T632" s="173" t="str">
        <f>MID(PAA[[#This Row],[Meta Proyecto de Inversión]],6,1)</f>
        <v>4</v>
      </c>
      <c r="U632" s="178" t="str">
        <f>IFERROR(VLOOKUP(N632,TD!$B$50:$F$54,2,0)," ")</f>
        <v>O230117</v>
      </c>
      <c r="V632" s="178" t="str">
        <f>IFERROR(VLOOKUP(N632,TD!$B$50:$F$54,3,0)," ")</f>
        <v>4503</v>
      </c>
      <c r="W632" s="178">
        <f>IFERROR(VLOOKUP(N632,TD!$B$50:$F$54,4,0)," ")</f>
        <v>20240255</v>
      </c>
      <c r="X632" s="162" t="s">
        <v>180</v>
      </c>
      <c r="Y632" s="163" t="str">
        <f>IFERROR(VLOOKUP(X632,TD!$J$51:$K$64,2,0)," ")</f>
        <v>Servicio de apoyo   logístico  en eventos operativos y/o emergencias.</v>
      </c>
      <c r="Z632" s="175" t="str">
        <f>CONCATENATE(X632,"-",Y632)</f>
        <v>12-Servicio de apoyo   logístico  en eventos operativos y/o emergencias.</v>
      </c>
      <c r="AA632" s="162" t="s">
        <v>221</v>
      </c>
      <c r="AB632" s="163" t="str">
        <f>IFERROR(VLOOKUP(AA632,TD!$N$51:$O$66,2,0)," ")</f>
        <v>Servicio de atención a emergencias y desastres</v>
      </c>
      <c r="AC632" s="175" t="str">
        <f>CONCATENATE(AA632,"_",AB632)</f>
        <v>004_Servicio de atención a emergencias y desastres</v>
      </c>
      <c r="AD632" s="175" t="str">
        <f>CONCATENATE(Z632," ",AC632)</f>
        <v>12-Servicio de apoyo   logístico  en eventos operativos y/o emergencias. 004_Servicio de atención a emergencias y desastres</v>
      </c>
      <c r="AE632" s="178" t="str">
        <f>CONCATENATE(U632,V632,W632,X632,AA632)</f>
        <v>O23011745032024025512004</v>
      </c>
      <c r="AF632" s="163" t="str">
        <f>IFERROR(VLOOKUP(AD632,TD!$J$66:$K$89,2,0)," ")</f>
        <v>PM/0131/0112/45030040255</v>
      </c>
      <c r="AG632" s="135" t="s">
        <v>85</v>
      </c>
      <c r="AH632" s="180" t="s">
        <v>193</v>
      </c>
      <c r="AI632" s="181" t="str">
        <f>CONCATENATE(PAA[[#This Row],[Id Interno]],"-",PAA[[#This Row],[tipo de Contrato (TH talento humano - B/S bienes y/o servicios)]],"-",S632,"-",T632,"-",PAA[[#This Row],[Objeto de la contratación]])</f>
        <v>20260622-BS-8173-4-Suministrar combustible para el parque automotor y los equipos especializados de la U.A.E. Cuerpo Oficial de Bomberos Bogotá, dentro y fuera del perímetro del Distrito Capital – SBLG.</v>
      </c>
    </row>
    <row r="633" spans="2:35" ht="70" x14ac:dyDescent="0.35">
      <c r="B633" s="142">
        <v>20260623</v>
      </c>
      <c r="C633" s="121" t="s">
        <v>686</v>
      </c>
      <c r="D633" s="130" t="s">
        <v>105</v>
      </c>
      <c r="E633" s="130" t="s">
        <v>363</v>
      </c>
      <c r="F633" s="130" t="s">
        <v>145</v>
      </c>
      <c r="G633" s="131" t="s">
        <v>373</v>
      </c>
      <c r="H633" s="137">
        <v>6</v>
      </c>
      <c r="I633" s="137">
        <v>0</v>
      </c>
      <c r="J633" s="132">
        <v>16890834</v>
      </c>
      <c r="K633" s="133" t="s">
        <v>398</v>
      </c>
      <c r="L633" s="177" t="s">
        <v>155</v>
      </c>
      <c r="M633" s="173" t="s">
        <v>422</v>
      </c>
      <c r="N633" s="130" t="s">
        <v>197</v>
      </c>
      <c r="O633" s="173" t="s">
        <v>945</v>
      </c>
      <c r="P633" s="173" t="s">
        <v>348</v>
      </c>
      <c r="Q633" s="134" t="s">
        <v>766</v>
      </c>
      <c r="R633" s="173" t="s">
        <v>208</v>
      </c>
      <c r="S633" s="173" t="str">
        <f>MID(PAA[[#This Row],[Meta Proyecto de Inversión]],1,4)</f>
        <v>8126</v>
      </c>
      <c r="T633" s="173" t="str">
        <f>MID(PAA[[#This Row],[Meta Proyecto de Inversión]],6,1)</f>
        <v>9</v>
      </c>
      <c r="U633" s="178" t="str">
        <f>IFERROR(VLOOKUP(N633,TD!$B$50:$F$54,2,0)," ")</f>
        <v>O230117</v>
      </c>
      <c r="V633" s="178" t="str">
        <f>IFERROR(VLOOKUP(N633,TD!$B$50:$F$54,3,0)," ")</f>
        <v>4599</v>
      </c>
      <c r="W633" s="178">
        <f>IFERROR(VLOOKUP(N633,TD!$B$50:$F$54,4,0)," ")</f>
        <v>20240207</v>
      </c>
      <c r="X633" s="162" t="s">
        <v>174</v>
      </c>
      <c r="Y633" s="163" t="str">
        <f>IFERROR(VLOOKUP(X633,TD!$J$51:$K$64,2,0)," ")</f>
        <v>Infraestructura física, mantenimiento y dotación (Sedes construidas, mantenidas reforzadas)</v>
      </c>
      <c r="Z633" s="175" t="str">
        <f>CONCATENATE(X633,"-",Y633)</f>
        <v>08-Infraestructura física, mantenimiento y dotación (Sedes construidas, mantenidas reforzadas)</v>
      </c>
      <c r="AA633" s="162" t="s">
        <v>227</v>
      </c>
      <c r="AB633" s="163" t="str">
        <f>IFERROR(VLOOKUP(AA633,TD!$N$51:$O$66,2,0)," ")</f>
        <v>Sedes mantenidas</v>
      </c>
      <c r="AC633" s="175" t="str">
        <f>CONCATENATE(AA633,"_",AB633)</f>
        <v>016_Sedes mantenidas</v>
      </c>
      <c r="AD633" s="175" t="str">
        <f>CONCATENATE(Z633," ",AC633)</f>
        <v>08-Infraestructura física, mantenimiento y dotación (Sedes construidas, mantenidas reforzadas) 016_Sedes mantenidas</v>
      </c>
      <c r="AE633" s="178" t="str">
        <f>CONCATENATE(U633,V633,W633,X633,AA633)</f>
        <v>O23011745992024020708016</v>
      </c>
      <c r="AF633" s="163" t="str">
        <f>IFERROR(VLOOKUP(AD633,TD!$J$66:$K$89,2,0)," ")</f>
        <v>PM/0131/0108/45990160207</v>
      </c>
      <c r="AG633" s="135" t="s">
        <v>385</v>
      </c>
      <c r="AH633" s="180" t="s">
        <v>193</v>
      </c>
      <c r="AI633" s="181" t="str">
        <f>CONCATENATE(PAA[[#This Row],[Id Interno]],"-",PAA[[#This Row],[tipo de Contrato (TH talento humano - B/S bienes y/o servicios)]],"-",S633,"-",T633,"-",PAA[[#This Row],[Objeto de la contratación]])</f>
        <v>20260623-TH-8126-9-Prestación de servicios de apoyo a la gestión documental de la Subdirección de Gestión Corporativa de la Unidad.-SGC</v>
      </c>
    </row>
    <row r="634" spans="2:35" ht="56" x14ac:dyDescent="0.35">
      <c r="B634" s="142">
        <v>20260624</v>
      </c>
      <c r="C634" s="121" t="s">
        <v>978</v>
      </c>
      <c r="D634" s="130" t="s">
        <v>105</v>
      </c>
      <c r="E634" s="130" t="s">
        <v>363</v>
      </c>
      <c r="F634" s="130" t="s">
        <v>145</v>
      </c>
      <c r="G634" s="131" t="s">
        <v>373</v>
      </c>
      <c r="H634" s="137">
        <v>6</v>
      </c>
      <c r="I634" s="137">
        <v>0</v>
      </c>
      <c r="J634" s="132">
        <v>22118946</v>
      </c>
      <c r="K634" s="133" t="s">
        <v>398</v>
      </c>
      <c r="L634" s="177" t="s">
        <v>155</v>
      </c>
      <c r="M634" s="173" t="s">
        <v>422</v>
      </c>
      <c r="N634" s="130" t="s">
        <v>197</v>
      </c>
      <c r="O634" s="173" t="s">
        <v>945</v>
      </c>
      <c r="P634" s="173" t="s">
        <v>348</v>
      </c>
      <c r="Q634" s="134" t="s">
        <v>766</v>
      </c>
      <c r="R634" s="173" t="s">
        <v>208</v>
      </c>
      <c r="S634" s="173" t="str">
        <f>MID(PAA[[#This Row],[Meta Proyecto de Inversión]],1,4)</f>
        <v>8126</v>
      </c>
      <c r="T634" s="173" t="str">
        <f>MID(PAA[[#This Row],[Meta Proyecto de Inversión]],6,1)</f>
        <v>9</v>
      </c>
      <c r="U634" s="178" t="str">
        <f>IFERROR(VLOOKUP(N634,TD!$B$50:$F$54,2,0)," ")</f>
        <v>O230117</v>
      </c>
      <c r="V634" s="178" t="str">
        <f>IFERROR(VLOOKUP(N634,TD!$B$50:$F$54,3,0)," ")</f>
        <v>4599</v>
      </c>
      <c r="W634" s="178">
        <f>IFERROR(VLOOKUP(N634,TD!$B$50:$F$54,4,0)," ")</f>
        <v>20240207</v>
      </c>
      <c r="X634" s="162" t="s">
        <v>174</v>
      </c>
      <c r="Y634" s="163" t="str">
        <f>IFERROR(VLOOKUP(X634,TD!$J$51:$K$64,2,0)," ")</f>
        <v>Infraestructura física, mantenimiento y dotación (Sedes construidas, mantenidas reforzadas)</v>
      </c>
      <c r="Z634" s="175" t="str">
        <f>CONCATENATE(X634,"-",Y634)</f>
        <v>08-Infraestructura física, mantenimiento y dotación (Sedes construidas, mantenidas reforzadas)</v>
      </c>
      <c r="AA634" s="162" t="s">
        <v>227</v>
      </c>
      <c r="AB634" s="163" t="str">
        <f>IFERROR(VLOOKUP(AA634,TD!$N$51:$O$66,2,0)," ")</f>
        <v>Sedes mantenidas</v>
      </c>
      <c r="AC634" s="175" t="str">
        <f>CONCATENATE(AA634,"_",AB634)</f>
        <v>016_Sedes mantenidas</v>
      </c>
      <c r="AD634" s="175" t="str">
        <f>CONCATENATE(Z634," ",AC634)</f>
        <v>08-Infraestructura física, mantenimiento y dotación (Sedes construidas, mantenidas reforzadas) 016_Sedes mantenidas</v>
      </c>
      <c r="AE634" s="178" t="str">
        <f>CONCATENATE(U634,V634,W634,X634,AA634)</f>
        <v>O23011745992024020708016</v>
      </c>
      <c r="AF634" s="163" t="str">
        <f>IFERROR(VLOOKUP(AD634,TD!$J$66:$K$89,2,0)," ")</f>
        <v>PM/0131/0108/45990160207</v>
      </c>
      <c r="AG634" s="135" t="s">
        <v>385</v>
      </c>
      <c r="AH634" s="180" t="s">
        <v>193</v>
      </c>
      <c r="AI634" s="181" t="str">
        <f>CONCATENATE(PAA[[#This Row],[Id Interno]],"-",PAA[[#This Row],[tipo de Contrato (TH talento humano - B/S bienes y/o servicios)]],"-",S634,"-",T634,"-",PAA[[#This Row],[Objeto de la contratación]])</f>
        <v>20260624-TH-8126-9- Prestación de servicios de apoyo a la gestión en la Subdirección de Gestión Corporativa, en las actividades asociadas a los procesos y procedimientos del almacén de la Entidad.- SGC</v>
      </c>
    </row>
    <row r="635" spans="2:35" ht="42" x14ac:dyDescent="0.35">
      <c r="B635" s="142">
        <v>20260625</v>
      </c>
      <c r="C635" s="121" t="s">
        <v>979</v>
      </c>
      <c r="D635" s="130" t="s">
        <v>105</v>
      </c>
      <c r="E635" s="130" t="s">
        <v>363</v>
      </c>
      <c r="F635" s="130" t="s">
        <v>144</v>
      </c>
      <c r="G635" s="131" t="s">
        <v>373</v>
      </c>
      <c r="H635" s="137">
        <v>7</v>
      </c>
      <c r="I635" s="137">
        <v>0</v>
      </c>
      <c r="J635" s="132">
        <v>54600000</v>
      </c>
      <c r="K635" s="133" t="s">
        <v>398</v>
      </c>
      <c r="L635" s="177" t="s">
        <v>154</v>
      </c>
      <c r="M635" s="173" t="s">
        <v>451</v>
      </c>
      <c r="N635" s="130" t="s">
        <v>198</v>
      </c>
      <c r="O635" s="173" t="s">
        <v>946</v>
      </c>
      <c r="P635" s="173" t="s">
        <v>348</v>
      </c>
      <c r="Q635" s="134">
        <v>80111600</v>
      </c>
      <c r="R635" s="173" t="s">
        <v>218</v>
      </c>
      <c r="S635" s="173" t="str">
        <f>MID(PAA[[#This Row],[Meta Proyecto de Inversión]],1,4)</f>
        <v>8173</v>
      </c>
      <c r="T635" s="173" t="str">
        <f>MID(PAA[[#This Row],[Meta Proyecto de Inversión]],6,1)</f>
        <v>9</v>
      </c>
      <c r="U635" s="178" t="str">
        <f>IFERROR(VLOOKUP(N635,TD!$B$50:$F$54,2,0)," ")</f>
        <v>O230117</v>
      </c>
      <c r="V635" s="178" t="str">
        <f>IFERROR(VLOOKUP(N635,TD!$B$50:$F$54,3,0)," ")</f>
        <v>4503</v>
      </c>
      <c r="W635" s="178">
        <f>IFERROR(VLOOKUP(N635,TD!$B$50:$F$54,4,0)," ")</f>
        <v>20240255</v>
      </c>
      <c r="X635" s="162" t="s">
        <v>172</v>
      </c>
      <c r="Y635" s="163" t="str">
        <f>IFERROR(VLOOKUP(X635,TD!$J$51:$K$64,2,0)," ")</f>
        <v>Servicio de formación en gestión del riesgo de incendios para el personal UAECOB</v>
      </c>
      <c r="Z635" s="175" t="str">
        <f>CONCATENATE(X635,"-",Y635)</f>
        <v>07-Servicio de formación en gestión del riesgo de incendios para el personal UAECOB</v>
      </c>
      <c r="AA635" s="162" t="s">
        <v>222</v>
      </c>
      <c r="AB635" s="163" t="str">
        <f>IFERROR(VLOOKUP(AA635,TD!$N$51:$O$66,2,0)," ")</f>
        <v>Servicio de educación informal</v>
      </c>
      <c r="AC635" s="175" t="str">
        <f>CONCATENATE(AA635,"_",AB635)</f>
        <v>002_Servicio de educación informal</v>
      </c>
      <c r="AD635" s="175" t="str">
        <f>CONCATENATE(Z635," ",AC635)</f>
        <v>07-Servicio de formación en gestión del riesgo de incendios para el personal UAECOB 002_Servicio de educación informal</v>
      </c>
      <c r="AE635" s="178" t="str">
        <f>CONCATENATE(U635,V635,W635,X635,AA635)</f>
        <v>O23011745032024025507002</v>
      </c>
      <c r="AF635" s="163" t="str">
        <f>IFERROR(VLOOKUP(AD635,TD!$J$66:$K$89,2,0)," ")</f>
        <v>PM/0131/0107/45030020255</v>
      </c>
      <c r="AG635" s="135" t="s">
        <v>385</v>
      </c>
      <c r="AH635" s="180" t="s">
        <v>193</v>
      </c>
      <c r="AI635" s="181" t="str">
        <f>CONCATENATE(PAA[[#This Row],[Id Interno]],"-",PAA[[#This Row],[tipo de Contrato (TH talento humano - B/S bienes y/o servicios)]],"-",S635,"-",T635,"-",PAA[[#This Row],[Objeto de la contratación]])</f>
        <v xml:space="preserve">20260625-TH-8173-9-SGH -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 </v>
      </c>
    </row>
    <row r="636" spans="2:35" ht="56" x14ac:dyDescent="0.35">
      <c r="B636" s="142">
        <v>20260626</v>
      </c>
      <c r="C636" s="121" t="s">
        <v>980</v>
      </c>
      <c r="D636" s="130" t="s">
        <v>105</v>
      </c>
      <c r="E636" s="130" t="s">
        <v>363</v>
      </c>
      <c r="F636" s="130" t="s">
        <v>145</v>
      </c>
      <c r="G636" s="131" t="s">
        <v>373</v>
      </c>
      <c r="H636" s="137">
        <v>7</v>
      </c>
      <c r="I636" s="137">
        <v>0</v>
      </c>
      <c r="J636" s="132">
        <v>25830000</v>
      </c>
      <c r="K636" s="133" t="s">
        <v>398</v>
      </c>
      <c r="L636" s="177" t="s">
        <v>154</v>
      </c>
      <c r="M636" s="173" t="s">
        <v>451</v>
      </c>
      <c r="N636" s="130" t="s">
        <v>198</v>
      </c>
      <c r="O636" s="173" t="s">
        <v>946</v>
      </c>
      <c r="P636" s="173" t="s">
        <v>348</v>
      </c>
      <c r="Q636" s="134">
        <v>80111600</v>
      </c>
      <c r="R636" s="173" t="s">
        <v>218</v>
      </c>
      <c r="S636" s="173" t="str">
        <f>MID(PAA[[#This Row],[Meta Proyecto de Inversión]],1,4)</f>
        <v>8173</v>
      </c>
      <c r="T636" s="173" t="str">
        <f>MID(PAA[[#This Row],[Meta Proyecto de Inversión]],6,1)</f>
        <v>9</v>
      </c>
      <c r="U636" s="178" t="str">
        <f>IFERROR(VLOOKUP(N636,TD!$B$50:$F$54,2,0)," ")</f>
        <v>O230117</v>
      </c>
      <c r="V636" s="178" t="str">
        <f>IFERROR(VLOOKUP(N636,TD!$B$50:$F$54,3,0)," ")</f>
        <v>4503</v>
      </c>
      <c r="W636" s="178">
        <f>IFERROR(VLOOKUP(N636,TD!$B$50:$F$54,4,0)," ")</f>
        <v>20240255</v>
      </c>
      <c r="X636" s="173" t="s">
        <v>172</v>
      </c>
      <c r="Y636" s="163" t="str">
        <f>IFERROR(VLOOKUP(X636,TD!$J$51:$K$64,2,0)," ")</f>
        <v>Servicio de formación en gestión del riesgo de incendios para el personal UAECOB</v>
      </c>
      <c r="Z636" s="175" t="str">
        <f>CONCATENATE(X636,"-",Y636)</f>
        <v>07-Servicio de formación en gestión del riesgo de incendios para el personal UAECOB</v>
      </c>
      <c r="AA636" s="173" t="s">
        <v>222</v>
      </c>
      <c r="AB636" s="163" t="str">
        <f>IFERROR(VLOOKUP(AA636,TD!$N$51:$O$66,2,0)," ")</f>
        <v>Servicio de educación informal</v>
      </c>
      <c r="AC636" s="175" t="str">
        <f>CONCATENATE(AA636,"_",AB636)</f>
        <v>002_Servicio de educación informal</v>
      </c>
      <c r="AD636" s="175" t="str">
        <f>CONCATENATE(Z636," ",AC636)</f>
        <v>07-Servicio de formación en gestión del riesgo de incendios para el personal UAECOB 002_Servicio de educación informal</v>
      </c>
      <c r="AE636" s="178" t="str">
        <f>CONCATENATE(U636,V636,W636,X636,AA636)</f>
        <v>O23011745032024025507002</v>
      </c>
      <c r="AF636" s="163" t="str">
        <f>IFERROR(VLOOKUP(AD636,TD!$J$66:$K$89,2,0)," ")</f>
        <v>PM/0131/0107/45030020255</v>
      </c>
      <c r="AG636" s="135" t="s">
        <v>385</v>
      </c>
      <c r="AH636" s="180" t="s">
        <v>193</v>
      </c>
      <c r="AI636" s="181" t="str">
        <f>CONCATENATE(PAA[[#This Row],[Id Interno]],"-",PAA[[#This Row],[tipo de Contrato (TH talento humano - B/S bienes y/o servicios)]],"-",S636,"-",T636,"-",PAA[[#This Row],[Objeto de la contratación]])</f>
        <v>20260626-TH-8173-9-SGH - 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v>
      </c>
    </row>
    <row r="637" spans="2:35" ht="56" x14ac:dyDescent="0.35">
      <c r="B637" s="142">
        <v>20260627</v>
      </c>
      <c r="C637" s="121" t="s">
        <v>983</v>
      </c>
      <c r="D637" s="130" t="s">
        <v>105</v>
      </c>
      <c r="E637" s="130" t="s">
        <v>363</v>
      </c>
      <c r="F637" s="130" t="s">
        <v>145</v>
      </c>
      <c r="G637" s="131" t="s">
        <v>373</v>
      </c>
      <c r="H637" s="137">
        <v>7</v>
      </c>
      <c r="I637" s="137">
        <v>0</v>
      </c>
      <c r="J637" s="132">
        <v>25802000</v>
      </c>
      <c r="K637" s="133" t="s">
        <v>398</v>
      </c>
      <c r="L637" s="177" t="s">
        <v>158</v>
      </c>
      <c r="M637" s="173" t="s">
        <v>421</v>
      </c>
      <c r="N637" s="130" t="s">
        <v>198</v>
      </c>
      <c r="O637" s="173" t="s">
        <v>946</v>
      </c>
      <c r="P637" s="173" t="s">
        <v>348</v>
      </c>
      <c r="Q637" s="134">
        <v>80111600</v>
      </c>
      <c r="R637" s="173" t="s">
        <v>211</v>
      </c>
      <c r="S637" s="173" t="str">
        <f>MID(PAA[[#This Row],[Meta Proyecto de Inversión]],1,4)</f>
        <v>8173</v>
      </c>
      <c r="T637" s="173" t="str">
        <f>MID(PAA[[#This Row],[Meta Proyecto de Inversión]],6,1)</f>
        <v>2</v>
      </c>
      <c r="U637" s="178" t="str">
        <f>IFERROR(VLOOKUP(N637,TD!$B$50:$F$54,2,0)," ")</f>
        <v>O230117</v>
      </c>
      <c r="V637" s="178" t="str">
        <f>IFERROR(VLOOKUP(N637,TD!$B$50:$F$54,3,0)," ")</f>
        <v>4503</v>
      </c>
      <c r="W637" s="178">
        <f>IFERROR(VLOOKUP(N637,TD!$B$50:$F$54,4,0)," ")</f>
        <v>20240255</v>
      </c>
      <c r="X637" s="173" t="s">
        <v>164</v>
      </c>
      <c r="Y637" s="163" t="str">
        <f>IFERROR(VLOOKUP(X637,TD!$J$51:$K$64,2,0)," ")</f>
        <v>Servicio de atención a incidentes y emergencias.</v>
      </c>
      <c r="Z637" s="175" t="str">
        <f>CONCATENATE(X637,"-",Y637)</f>
        <v>04-Servicio de atención a incidentes y emergencias.</v>
      </c>
      <c r="AA637" s="173" t="s">
        <v>221</v>
      </c>
      <c r="AB637" s="163" t="str">
        <f>IFERROR(VLOOKUP(AA637,TD!$N$51:$O$66,2,0)," ")</f>
        <v>Servicio de atención a emergencias y desastres</v>
      </c>
      <c r="AC637" s="175" t="str">
        <f>CONCATENATE(AA637,"_",AB637)</f>
        <v>004_Servicio de atención a emergencias y desastres</v>
      </c>
      <c r="AD637" s="175" t="str">
        <f>CONCATENATE(Z637," ",AC637)</f>
        <v>04-Servicio de atención a incidentes y emergencias. 004_Servicio de atención a emergencias y desastres</v>
      </c>
      <c r="AE637" s="178" t="str">
        <f>CONCATENATE(U637,V637,W637,X637,AA637)</f>
        <v>O23011745032024025504004</v>
      </c>
      <c r="AF637" s="163" t="str">
        <f>IFERROR(VLOOKUP(AD637,TD!$J$66:$K$89,2,0)," ")</f>
        <v>PM/0131/0104/45030040255</v>
      </c>
      <c r="AG637" s="135" t="s">
        <v>385</v>
      </c>
      <c r="AH637" s="180" t="s">
        <v>193</v>
      </c>
      <c r="AI637" s="181" t="str">
        <f>CONCATENATE(PAA[[#This Row],[Id Interno]],"-",PAA[[#This Row],[tipo de Contrato (TH talento humano - B/S bienes y/o servicios)]],"-",S637,"-",T637,"-",PAA[[#This Row],[Objeto de la contratación]])</f>
        <v>20260627-TH-8173-2-Prestación de servicios de apoyo para el desarrollo de las actividades y trámites administrativos y operativos relacionados con los procesos que se encuentran a cargo de la Subdirección Operativa-SO.</v>
      </c>
    </row>
    <row r="638" spans="2:35" ht="126" x14ac:dyDescent="0.35">
      <c r="B638" s="142">
        <v>20260628</v>
      </c>
      <c r="C638" s="121" t="s">
        <v>984</v>
      </c>
      <c r="D638" s="130" t="s">
        <v>105</v>
      </c>
      <c r="E638" s="130" t="s">
        <v>363</v>
      </c>
      <c r="F638" s="130" t="s">
        <v>145</v>
      </c>
      <c r="G638" s="131" t="s">
        <v>374</v>
      </c>
      <c r="H638" s="137">
        <v>4</v>
      </c>
      <c r="I638" s="137">
        <v>0</v>
      </c>
      <c r="J638" s="132">
        <v>13136000</v>
      </c>
      <c r="K638" s="133" t="s">
        <v>398</v>
      </c>
      <c r="L638" s="177" t="s">
        <v>158</v>
      </c>
      <c r="M638" s="173" t="s">
        <v>421</v>
      </c>
      <c r="N638" s="130" t="s">
        <v>198</v>
      </c>
      <c r="O638" s="173" t="s">
        <v>946</v>
      </c>
      <c r="P638" s="173" t="s">
        <v>348</v>
      </c>
      <c r="Q638" s="134">
        <v>80111600</v>
      </c>
      <c r="R638" s="173" t="s">
        <v>211</v>
      </c>
      <c r="S638" s="173" t="str">
        <f>MID(PAA[[#This Row],[Meta Proyecto de Inversión]],1,4)</f>
        <v>8173</v>
      </c>
      <c r="T638" s="173" t="str">
        <f>MID(PAA[[#This Row],[Meta Proyecto de Inversión]],6,1)</f>
        <v>2</v>
      </c>
      <c r="U638" s="178" t="str">
        <f>IFERROR(VLOOKUP(N638,TD!$B$50:$F$54,2,0)," ")</f>
        <v>O230117</v>
      </c>
      <c r="V638" s="178" t="str">
        <f>IFERROR(VLOOKUP(N638,TD!$B$50:$F$54,3,0)," ")</f>
        <v>4503</v>
      </c>
      <c r="W638" s="178">
        <f>IFERROR(VLOOKUP(N638,TD!$B$50:$F$54,4,0)," ")</f>
        <v>20240255</v>
      </c>
      <c r="X638" s="173" t="s">
        <v>164</v>
      </c>
      <c r="Y638" s="163" t="str">
        <f>IFERROR(VLOOKUP(X638,TD!$J$51:$K$64,2,0)," ")</f>
        <v>Servicio de atención a incidentes y emergencias.</v>
      </c>
      <c r="Z638" s="175" t="str">
        <f>CONCATENATE(X638,"-",Y638)</f>
        <v>04-Servicio de atención a incidentes y emergencias.</v>
      </c>
      <c r="AA638" s="173" t="s">
        <v>221</v>
      </c>
      <c r="AB638" s="163" t="str">
        <f>IFERROR(VLOOKUP(AA638,TD!$N$51:$O$66,2,0)," ")</f>
        <v>Servicio de atención a emergencias y desastres</v>
      </c>
      <c r="AC638" s="175" t="str">
        <f>CONCATENATE(AA638,"_",AB638)</f>
        <v>004_Servicio de atención a emergencias y desastres</v>
      </c>
      <c r="AD638" s="175" t="str">
        <f>CONCATENATE(Z638," ",AC638)</f>
        <v>04-Servicio de atención a incidentes y emergencias. 004_Servicio de atención a emergencias y desastres</v>
      </c>
      <c r="AE638" s="178" t="str">
        <f>CONCATENATE(U638,V638,W638,X638,AA638)</f>
        <v>O23011745032024025504004</v>
      </c>
      <c r="AF638" s="163" t="str">
        <f>IFERROR(VLOOKUP(AD638,TD!$J$66:$K$89,2,0)," ")</f>
        <v>PM/0131/0104/45030040255</v>
      </c>
      <c r="AG638" s="135" t="s">
        <v>385</v>
      </c>
      <c r="AH638" s="180" t="s">
        <v>194</v>
      </c>
      <c r="AI638" s="181" t="str">
        <f>CONCATENATE(PAA[[#This Row],[Id Interno]],"-",PAA[[#This Row],[tipo de Contrato (TH talento humano - B/S bienes y/o servicios)]],"-",S638,"-",T638,"-",PAA[[#This Row],[Objeto de la contratación]])</f>
        <v>20260628-TH-8173-2-Adición y Prórroga al contrato de prestación de servicios # 446-2025, cuyo objeto es: "Prestar servicios de apoyo a la gestión en las actividades de monitoreo, seguimiento y reporte de información del Centro de Coordinación y Comunicaciones de la Subdirección Operativa".</v>
      </c>
    </row>
    <row r="639" spans="2:35" ht="70" x14ac:dyDescent="0.35">
      <c r="B639" s="142">
        <v>20260629</v>
      </c>
      <c r="C639" s="121" t="s">
        <v>985</v>
      </c>
      <c r="D639" s="130" t="s">
        <v>105</v>
      </c>
      <c r="E639" s="130" t="s">
        <v>363</v>
      </c>
      <c r="F639" s="130" t="s">
        <v>144</v>
      </c>
      <c r="G639" s="131" t="s">
        <v>373</v>
      </c>
      <c r="H639" s="137">
        <v>7</v>
      </c>
      <c r="I639" s="137">
        <v>0</v>
      </c>
      <c r="J639" s="132">
        <v>49000000</v>
      </c>
      <c r="K639" s="133" t="s">
        <v>398</v>
      </c>
      <c r="L639" s="177" t="s">
        <v>158</v>
      </c>
      <c r="M639" s="173" t="s">
        <v>421</v>
      </c>
      <c r="N639" s="130" t="s">
        <v>198</v>
      </c>
      <c r="O639" s="173" t="s">
        <v>946</v>
      </c>
      <c r="P639" s="173" t="s">
        <v>348</v>
      </c>
      <c r="Q639" s="134">
        <v>80111600</v>
      </c>
      <c r="R639" s="173" t="s">
        <v>211</v>
      </c>
      <c r="S639" s="173" t="str">
        <f>MID(PAA[[#This Row],[Meta Proyecto de Inversión]],1,4)</f>
        <v>8173</v>
      </c>
      <c r="T639" s="173" t="str">
        <f>MID(PAA[[#This Row],[Meta Proyecto de Inversión]],6,1)</f>
        <v>2</v>
      </c>
      <c r="U639" s="178" t="str">
        <f>IFERROR(VLOOKUP(N639,TD!$B$50:$F$54,2,0)," ")</f>
        <v>O230117</v>
      </c>
      <c r="V639" s="178" t="str">
        <f>IFERROR(VLOOKUP(N639,TD!$B$50:$F$54,3,0)," ")</f>
        <v>4503</v>
      </c>
      <c r="W639" s="178">
        <f>IFERROR(VLOOKUP(N639,TD!$B$50:$F$54,4,0)," ")</f>
        <v>20240255</v>
      </c>
      <c r="X639" s="173" t="s">
        <v>164</v>
      </c>
      <c r="Y639" s="163" t="str">
        <f>IFERROR(VLOOKUP(X639,TD!$J$51:$K$64,2,0)," ")</f>
        <v>Servicio de atención a incidentes y emergencias.</v>
      </c>
      <c r="Z639" s="175" t="str">
        <f>CONCATENATE(X639,"-",Y639)</f>
        <v>04-Servicio de atención a incidentes y emergencias.</v>
      </c>
      <c r="AA639" s="173" t="s">
        <v>221</v>
      </c>
      <c r="AB639" s="163" t="str">
        <f>IFERROR(VLOOKUP(AA639,TD!$N$51:$O$66,2,0)," ")</f>
        <v>Servicio de atención a emergencias y desastres</v>
      </c>
      <c r="AC639" s="175" t="str">
        <f>CONCATENATE(AA639,"_",AB639)</f>
        <v>004_Servicio de atención a emergencias y desastres</v>
      </c>
      <c r="AD639" s="175" t="str">
        <f>CONCATENATE(Z639," ",AC639)</f>
        <v>04-Servicio de atención a incidentes y emergencias. 004_Servicio de atención a emergencias y desastres</v>
      </c>
      <c r="AE639" s="178" t="str">
        <f>CONCATENATE(U639,V639,W639,X639,AA639)</f>
        <v>O23011745032024025504004</v>
      </c>
      <c r="AF639" s="163" t="str">
        <f>IFERROR(VLOOKUP(AD639,TD!$J$66:$K$89,2,0)," ")</f>
        <v>PM/0131/0104/45030040255</v>
      </c>
      <c r="AG639" s="135" t="s">
        <v>385</v>
      </c>
      <c r="AH639" s="180" t="s">
        <v>193</v>
      </c>
      <c r="AI639" s="181" t="str">
        <f>CONCATENATE(PAA[[#This Row],[Id Interno]],"-",PAA[[#This Row],[tipo de Contrato (TH talento humano - B/S bienes y/o servicios)]],"-",S639,"-",T639,"-",PAA[[#This Row],[Objeto de la contratación]])</f>
        <v>20260629-TH-8173-2-Prestar servicios profesionales para apoyar jurídicamente el seguimiento y la revisión de derechos de petición y demás requerimientos, así como en la revisión de documentación referida a procesos de contratación a cargo de la Subdirección Operativa S.O.</v>
      </c>
    </row>
    <row r="640" spans="2:35" ht="70" x14ac:dyDescent="0.35">
      <c r="B640" s="142">
        <v>20260630</v>
      </c>
      <c r="C640" s="121" t="s">
        <v>943</v>
      </c>
      <c r="D640" s="130" t="s">
        <v>105</v>
      </c>
      <c r="E640" s="130" t="s">
        <v>363</v>
      </c>
      <c r="F640" s="130" t="s">
        <v>145</v>
      </c>
      <c r="G640" s="131" t="s">
        <v>373</v>
      </c>
      <c r="H640" s="137">
        <v>7</v>
      </c>
      <c r="I640" s="137">
        <v>0</v>
      </c>
      <c r="J640" s="132">
        <v>26250000</v>
      </c>
      <c r="K640" s="133" t="s">
        <v>398</v>
      </c>
      <c r="L640" s="177" t="s">
        <v>156</v>
      </c>
      <c r="M640" s="173" t="s">
        <v>502</v>
      </c>
      <c r="N640" s="130" t="s">
        <v>198</v>
      </c>
      <c r="O640" s="173" t="s">
        <v>946</v>
      </c>
      <c r="P640" s="173" t="s">
        <v>348</v>
      </c>
      <c r="Q640" s="134">
        <v>80111600</v>
      </c>
      <c r="R640" s="173" t="s">
        <v>210</v>
      </c>
      <c r="S640" s="173" t="str">
        <f>MID(PAA[[#This Row],[Meta Proyecto de Inversión]],1,4)</f>
        <v>8173</v>
      </c>
      <c r="T640" s="173" t="str">
        <f>MID(PAA[[#This Row],[Meta Proyecto de Inversión]],6,1)</f>
        <v>1</v>
      </c>
      <c r="U640" s="178" t="str">
        <f>IFERROR(VLOOKUP(N640,TD!$B$50:$F$54,2,0)," ")</f>
        <v>O230117</v>
      </c>
      <c r="V640" s="178" t="str">
        <f>IFERROR(VLOOKUP(N640,TD!$B$50:$F$54,3,0)," ")</f>
        <v>4503</v>
      </c>
      <c r="W640" s="178">
        <f>IFERROR(VLOOKUP(N640,TD!$B$50:$F$54,4,0)," ")</f>
        <v>20240255</v>
      </c>
      <c r="X640" s="173" t="s">
        <v>166</v>
      </c>
      <c r="Y640" s="163" t="str">
        <f>IFERROR(VLOOKUP(X640,TD!$J$51:$K$64,2,0)," ")</f>
        <v>Servicio de capacitaciones en gestión del riesgo de incendios  a la ciudadania.</v>
      </c>
      <c r="Z640" s="175" t="str">
        <f>CONCATENATE(X640,"-",Y640)</f>
        <v>05-Servicio de capacitaciones en gestión del riesgo de incendios  a la ciudadania.</v>
      </c>
      <c r="AA640" s="173" t="s">
        <v>223</v>
      </c>
      <c r="AB640" s="163" t="str">
        <f>IFERROR(VLOOKUP(AA640,TD!$N$51:$O$66,2,0)," ")</f>
        <v>Servicio prevención y control de incendios</v>
      </c>
      <c r="AC640" s="175" t="str">
        <f>CONCATENATE(AA640,"_",AB640)</f>
        <v>035_Servicio prevención y control de incendios</v>
      </c>
      <c r="AD640" s="175" t="str">
        <f>CONCATENATE(Z640," ",AC640)</f>
        <v>05-Servicio de capacitaciones en gestión del riesgo de incendios  a la ciudadania. 035_Servicio prevención y control de incendios</v>
      </c>
      <c r="AE640" s="178" t="str">
        <f>CONCATENATE(U640,V640,W640,X640,AA640)</f>
        <v>O23011745032024025505035</v>
      </c>
      <c r="AF640" s="163" t="str">
        <f>IFERROR(VLOOKUP(AD640,TD!$J$66:$K$89,2,0)," ")</f>
        <v>PM/0131/0105/45030350255</v>
      </c>
      <c r="AG640" s="135" t="s">
        <v>385</v>
      </c>
      <c r="AH640" s="180" t="s">
        <v>193</v>
      </c>
      <c r="AI640" s="181" t="str">
        <f>CONCATENATE(PAA[[#This Row],[Id Interno]],"-",PAA[[#This Row],[tipo de Contrato (TH talento humano - B/S bienes y/o servicios)]],"-",S640,"-",T640,"-",PAA[[#This Row],[Objeto de la contratación]])</f>
        <v>20260630-TH-8173-1-Prestar servicios de apoyo como conductor a las acciones misionales de la Subdirección de Gestión del Riesgo.</v>
      </c>
    </row>
    <row r="641" spans="2:35" ht="70" x14ac:dyDescent="0.35">
      <c r="B641" s="142">
        <v>20260631</v>
      </c>
      <c r="C641" s="121" t="s">
        <v>547</v>
      </c>
      <c r="D641" s="130" t="s">
        <v>105</v>
      </c>
      <c r="E641" s="130" t="s">
        <v>363</v>
      </c>
      <c r="F641" s="130" t="s">
        <v>144</v>
      </c>
      <c r="G641" s="131" t="s">
        <v>373</v>
      </c>
      <c r="H641" s="137">
        <v>6</v>
      </c>
      <c r="I641" s="137">
        <v>0</v>
      </c>
      <c r="J641" s="132">
        <v>21750000</v>
      </c>
      <c r="K641" s="133" t="s">
        <v>398</v>
      </c>
      <c r="L641" s="177" t="s">
        <v>156</v>
      </c>
      <c r="M641" s="173" t="s">
        <v>502</v>
      </c>
      <c r="N641" s="130" t="s">
        <v>198</v>
      </c>
      <c r="O641" s="173" t="s">
        <v>946</v>
      </c>
      <c r="P641" s="173" t="s">
        <v>348</v>
      </c>
      <c r="Q641" s="134">
        <v>80111600</v>
      </c>
      <c r="R641" s="173" t="s">
        <v>210</v>
      </c>
      <c r="S641" s="173" t="str">
        <f>MID(PAA[[#This Row],[Meta Proyecto de Inversión]],1,4)</f>
        <v>8173</v>
      </c>
      <c r="T641" s="173" t="str">
        <f>MID(PAA[[#This Row],[Meta Proyecto de Inversión]],6,1)</f>
        <v>1</v>
      </c>
      <c r="U641" s="178" t="str">
        <f>IFERROR(VLOOKUP(N641,TD!$B$50:$F$54,2,0)," ")</f>
        <v>O230117</v>
      </c>
      <c r="V641" s="178" t="str">
        <f>IFERROR(VLOOKUP(N641,TD!$B$50:$F$54,3,0)," ")</f>
        <v>4503</v>
      </c>
      <c r="W641" s="178">
        <f>IFERROR(VLOOKUP(N641,TD!$B$50:$F$54,4,0)," ")</f>
        <v>20240255</v>
      </c>
      <c r="X641" s="173" t="s">
        <v>166</v>
      </c>
      <c r="Y641" s="163" t="str">
        <f>IFERROR(VLOOKUP(X641,TD!$J$51:$K$64,2,0)," ")</f>
        <v>Servicio de capacitaciones en gestión del riesgo de incendios  a la ciudadania.</v>
      </c>
      <c r="Z641" s="175" t="str">
        <f>CONCATENATE(X641,"-",Y641)</f>
        <v>05-Servicio de capacitaciones en gestión del riesgo de incendios  a la ciudadania.</v>
      </c>
      <c r="AA641" s="173" t="s">
        <v>223</v>
      </c>
      <c r="AB641" s="163" t="str">
        <f>IFERROR(VLOOKUP(AA641,TD!$N$51:$O$66,2,0)," ")</f>
        <v>Servicio prevención y control de incendios</v>
      </c>
      <c r="AC641" s="175" t="str">
        <f>CONCATENATE(AA641,"_",AB641)</f>
        <v>035_Servicio prevención y control de incendios</v>
      </c>
      <c r="AD641" s="175" t="str">
        <f>CONCATENATE(Z641," ",AC641)</f>
        <v>05-Servicio de capacitaciones en gestión del riesgo de incendios  a la ciudadania. 035_Servicio prevención y control de incendios</v>
      </c>
      <c r="AE641" s="178" t="str">
        <f>CONCATENATE(U641,V641,W641,X641,AA641)</f>
        <v>O23011745032024025505035</v>
      </c>
      <c r="AF641" s="163" t="str">
        <f>IFERROR(VLOOKUP(AD641,TD!$J$66:$K$89,2,0)," ")</f>
        <v>PM/0131/0105/45030350255</v>
      </c>
      <c r="AG641" s="135" t="s">
        <v>385</v>
      </c>
      <c r="AH641" s="180" t="s">
        <v>193</v>
      </c>
      <c r="AI641" s="181" t="str">
        <f>CONCATENATE(PAA[[#This Row],[Id Interno]],"-",PAA[[#This Row],[tipo de Contrato (TH talento humano - B/S bienes y/o servicios)]],"-",S641,"-",T641,"-",PAA[[#This Row],[Objeto de la contratación]])</f>
        <v>20260631-TH-8173-1-Prestar servicios de apoyo en las actividades de Programas y Campañas de Prevención para la Subdirección de Gestión del Riesgo. _SGR</v>
      </c>
    </row>
    <row r="642" spans="2:35" ht="56" x14ac:dyDescent="0.35">
      <c r="B642" s="142">
        <v>20260632</v>
      </c>
      <c r="C642" s="121" t="s">
        <v>987</v>
      </c>
      <c r="D642" s="130" t="s">
        <v>92</v>
      </c>
      <c r="E642" s="130" t="s">
        <v>402</v>
      </c>
      <c r="F642" s="130" t="s">
        <v>142</v>
      </c>
      <c r="G642" s="131" t="s">
        <v>374</v>
      </c>
      <c r="H642" s="137">
        <v>2</v>
      </c>
      <c r="I642" s="137">
        <v>0</v>
      </c>
      <c r="J642" s="132">
        <v>6664000</v>
      </c>
      <c r="K642" s="133" t="s">
        <v>398</v>
      </c>
      <c r="L642" s="177" t="s">
        <v>151</v>
      </c>
      <c r="M642" s="173" t="s">
        <v>401</v>
      </c>
      <c r="N642" s="130" t="s">
        <v>197</v>
      </c>
      <c r="O642" s="173" t="s">
        <v>945</v>
      </c>
      <c r="P642" s="173" t="s">
        <v>348</v>
      </c>
      <c r="Q642" s="134">
        <v>81112401</v>
      </c>
      <c r="R642" s="173" t="s">
        <v>204</v>
      </c>
      <c r="S642" s="173" t="str">
        <f>MID(PAA[[#This Row],[Meta Proyecto de Inversión]],1,4)</f>
        <v>8126</v>
      </c>
      <c r="T642" s="173" t="str">
        <f>MID(PAA[[#This Row],[Meta Proyecto de Inversión]],6,1)</f>
        <v>5</v>
      </c>
      <c r="U642" s="178" t="str">
        <f>IFERROR(VLOOKUP(N642,TD!$B$50:$F$54,2,0)," ")</f>
        <v>O230117</v>
      </c>
      <c r="V642" s="178" t="str">
        <f>IFERROR(VLOOKUP(N642,TD!$B$50:$F$54,3,0)," ")</f>
        <v>4599</v>
      </c>
      <c r="W642" s="178">
        <f>IFERROR(VLOOKUP(N642,TD!$B$50:$F$54,4,0)," ")</f>
        <v>20240207</v>
      </c>
      <c r="X642" s="173" t="s">
        <v>168</v>
      </c>
      <c r="Y642" s="163" t="str">
        <f>IFERROR(VLOOKUP(X642,TD!$J$51:$K$64,2,0)," ")</f>
        <v>Infraestructura Tecnológica   (Sistemas de Información y Tecnologia)</v>
      </c>
      <c r="Z642" s="175" t="str">
        <f>CONCATENATE(X642,"-",Y642)</f>
        <v>11-Infraestructura Tecnológica   (Sistemas de Información y Tecnologia)</v>
      </c>
      <c r="AA642" s="173" t="s">
        <v>228</v>
      </c>
      <c r="AB642" s="163" t="str">
        <f>IFERROR(VLOOKUP(AA642,TD!$N$51:$O$66,2,0)," ")</f>
        <v>Servicios tecnológicos</v>
      </c>
      <c r="AC642" s="175" t="str">
        <f>CONCATENATE(AA642,"_",AB642)</f>
        <v>007_Servicios tecnológicos</v>
      </c>
      <c r="AD642" s="175" t="str">
        <f>CONCATENATE(Z642," ",AC642)</f>
        <v>11-Infraestructura Tecnológica   (Sistemas de Información y Tecnologia) 007_Servicios tecnológicos</v>
      </c>
      <c r="AE642" s="178" t="str">
        <f>CONCATENATE(U642,V642,W642,X642,AA642)</f>
        <v>O23011745992024020711007</v>
      </c>
      <c r="AF642" s="163" t="str">
        <f>IFERROR(VLOOKUP(AD642,TD!$J$66:$K$89,2,0)," ")</f>
        <v>PM/0131/0111/45990070207</v>
      </c>
      <c r="AG642" s="135" t="s">
        <v>121</v>
      </c>
      <c r="AH642" s="180" t="s">
        <v>194</v>
      </c>
      <c r="AI642" s="181" t="str">
        <f>CONCATENATE(PAA[[#This Row],[Id Interno]],"-",PAA[[#This Row],[tipo de Contrato (TH talento humano - B/S bienes y/o servicios)]],"-",S642,"-",T642,"-",PAA[[#This Row],[Objeto de la contratación]])</f>
        <v>20260632-BS-8126-5-Adición y prórroga al contrato No. 490 de 2025 cuyo objeto es: "contratar el alquiler de equipos tecnológicos, periféricos y servicios complementarios para la U.A.E Cuerpo Oficial de bomberos de Bogota- TIC"</v>
      </c>
    </row>
    <row r="643" spans="2:35" ht="56" x14ac:dyDescent="0.35">
      <c r="B643" s="142">
        <v>20260633</v>
      </c>
      <c r="C643" s="121" t="s">
        <v>986</v>
      </c>
      <c r="D643" s="130" t="s">
        <v>114</v>
      </c>
      <c r="E643" s="130" t="s">
        <v>402</v>
      </c>
      <c r="F643" s="130" t="s">
        <v>89</v>
      </c>
      <c r="G643" s="131" t="s">
        <v>374</v>
      </c>
      <c r="H643" s="137">
        <v>2</v>
      </c>
      <c r="I643" s="137">
        <v>0</v>
      </c>
      <c r="J643" s="132">
        <v>20246686</v>
      </c>
      <c r="K643" s="133" t="s">
        <v>398</v>
      </c>
      <c r="L643" s="177" t="s">
        <v>151</v>
      </c>
      <c r="M643" s="173" t="s">
        <v>401</v>
      </c>
      <c r="N643" s="130" t="s">
        <v>197</v>
      </c>
      <c r="O643" s="173" t="s">
        <v>945</v>
      </c>
      <c r="P643" s="173" t="s">
        <v>348</v>
      </c>
      <c r="Q643" s="134" t="s">
        <v>441</v>
      </c>
      <c r="R643" s="173" t="s">
        <v>203</v>
      </c>
      <c r="S643" s="173" t="str">
        <f>MID(PAA[[#This Row],[Meta Proyecto de Inversión]],1,4)</f>
        <v>8126</v>
      </c>
      <c r="T643" s="173" t="str">
        <f>MID(PAA[[#This Row],[Meta Proyecto de Inversión]],6,1)</f>
        <v>4</v>
      </c>
      <c r="U643" s="178" t="str">
        <f>IFERROR(VLOOKUP(N643,TD!$B$50:$F$54,2,0)," ")</f>
        <v>O230117</v>
      </c>
      <c r="V643" s="178" t="str">
        <f>IFERROR(VLOOKUP(N643,TD!$B$50:$F$54,3,0)," ")</f>
        <v>4599</v>
      </c>
      <c r="W643" s="178">
        <f>IFERROR(VLOOKUP(N643,TD!$B$50:$F$54,4,0)," ")</f>
        <v>20240207</v>
      </c>
      <c r="X643" s="173" t="s">
        <v>168</v>
      </c>
      <c r="Y643" s="163" t="str">
        <f>IFERROR(VLOOKUP(X643,TD!$J$51:$K$64,2,0)," ")</f>
        <v>Infraestructura Tecnológica   (Sistemas de Información y Tecnologia)</v>
      </c>
      <c r="Z643" s="175" t="str">
        <f>CONCATENATE(X643,"-",Y643)</f>
        <v>11-Infraestructura Tecnológica   (Sistemas de Información y Tecnologia)</v>
      </c>
      <c r="AA643" s="173" t="s">
        <v>228</v>
      </c>
      <c r="AB643" s="163" t="str">
        <f>IFERROR(VLOOKUP(AA643,TD!$N$51:$O$66,2,0)," ")</f>
        <v>Servicios tecnológicos</v>
      </c>
      <c r="AC643" s="175" t="str">
        <f>CONCATENATE(AA643,"_",AB643)</f>
        <v>007_Servicios tecnológicos</v>
      </c>
      <c r="AD643" s="175" t="str">
        <f>CONCATENATE(Z643," ",AC643)</f>
        <v>11-Infraestructura Tecnológica   (Sistemas de Información y Tecnologia) 007_Servicios tecnológicos</v>
      </c>
      <c r="AE643" s="178" t="str">
        <f>CONCATENATE(U643,V643,W643,X643,AA643)</f>
        <v>O23011745992024020711007</v>
      </c>
      <c r="AF643" s="163" t="str">
        <f>IFERROR(VLOOKUP(AD643,TD!$J$66:$K$89,2,0)," ")</f>
        <v>PM/0131/0111/45990070207</v>
      </c>
      <c r="AG643" s="135" t="s">
        <v>116</v>
      </c>
      <c r="AH643" s="180" t="s">
        <v>194</v>
      </c>
      <c r="AI643" s="181" t="str">
        <f>CONCATENATE(PAA[[#This Row],[Id Interno]],"-",PAA[[#This Row],[tipo de Contrato (TH talento humano - B/S bienes y/o servicios)]],"-",S643,"-",T643,"-",PAA[[#This Row],[Objeto de la contratación]])</f>
        <v>20260633-BS-8126-4-Adición y prórroga al contrato No. 411 de 2025 cuyo objeto es: "Contratar la prestación del servicio de monitoreo, control y seguimiento satelital a los vehículos de propiedad de la U.A.E. Cuerpo Oficial de Bomberos de Bogotá - TIC"</v>
      </c>
    </row>
    <row r="644" spans="2:35" ht="56" x14ac:dyDescent="0.35">
      <c r="B644" s="142">
        <v>20260634</v>
      </c>
      <c r="C644" s="121" t="s">
        <v>990</v>
      </c>
      <c r="D644" s="130" t="s">
        <v>105</v>
      </c>
      <c r="E644" s="130" t="s">
        <v>363</v>
      </c>
      <c r="F644" s="130" t="s">
        <v>145</v>
      </c>
      <c r="G644" s="131" t="s">
        <v>373</v>
      </c>
      <c r="H644" s="137">
        <v>5</v>
      </c>
      <c r="I644" s="137">
        <v>0</v>
      </c>
      <c r="J644" s="132">
        <v>16400000</v>
      </c>
      <c r="K644" s="133" t="s">
        <v>398</v>
      </c>
      <c r="L644" s="177" t="s">
        <v>157</v>
      </c>
      <c r="M644" s="173" t="s">
        <v>501</v>
      </c>
      <c r="N644" s="130" t="s">
        <v>198</v>
      </c>
      <c r="O644" s="173" t="s">
        <v>946</v>
      </c>
      <c r="P644" s="173" t="s">
        <v>348</v>
      </c>
      <c r="Q644" s="134">
        <v>80111600</v>
      </c>
      <c r="R644" s="173" t="s">
        <v>213</v>
      </c>
      <c r="S644" s="173" t="str">
        <f>MID(PAA[[#This Row],[Meta Proyecto de Inversión]],1,4)</f>
        <v>8173</v>
      </c>
      <c r="T644" s="173" t="str">
        <f>MID(PAA[[#This Row],[Meta Proyecto de Inversión]],6,1)</f>
        <v>4</v>
      </c>
      <c r="U644" s="178" t="str">
        <f>IFERROR(VLOOKUP(N644,TD!$B$50:$F$54,2,0)," ")</f>
        <v>O230117</v>
      </c>
      <c r="V644" s="178" t="str">
        <f>IFERROR(VLOOKUP(N644,TD!$B$50:$F$54,3,0)," ")</f>
        <v>4503</v>
      </c>
      <c r="W644" s="178">
        <f>IFERROR(VLOOKUP(N644,TD!$B$50:$F$54,4,0)," ")</f>
        <v>20240255</v>
      </c>
      <c r="X644" s="173" t="s">
        <v>176</v>
      </c>
      <c r="Y644" s="163" t="str">
        <f>IFERROR(VLOOKUP(X644,TD!$J$51:$K$64,2,0)," ")</f>
        <v>Servicio de mantenimiento, dotación (HEA´s y equipo menor) y adquisición de vehiculos   especializados para la atención de emergencias.</v>
      </c>
      <c r="Z644" s="175" t="str">
        <f>CONCATENATE(X644,"-",Y644)</f>
        <v>09-Servicio de mantenimiento, dotación (HEA´s y equipo menor) y adquisición de vehiculos   especializados para la atención de emergencias.</v>
      </c>
      <c r="AA644" s="173" t="s">
        <v>221</v>
      </c>
      <c r="AB644" s="163" t="str">
        <f>IFERROR(VLOOKUP(AA644,TD!$N$51:$O$66,2,0)," ")</f>
        <v>Servicio de atención a emergencias y desastres</v>
      </c>
      <c r="AC644" s="175" t="str">
        <f>CONCATENATE(AA644,"_",AB644)</f>
        <v>004_Servicio de atención a emergencias y desastres</v>
      </c>
      <c r="AD644" s="175" t="str">
        <f>CONCATENATE(Z644," ",AC644)</f>
        <v>09-Servicio de mantenimiento, dotación (HEA´s y equipo menor) y adquisición de vehiculos   especializados para la atención de emergencias. 004_Servicio de atención a emergencias y desastres</v>
      </c>
      <c r="AE644" s="178" t="str">
        <f>CONCATENATE(U644,V644,W644,X644,AA644)</f>
        <v>O23011745032024025509004</v>
      </c>
      <c r="AF644" s="163" t="str">
        <f>IFERROR(VLOOKUP(AD644,TD!$J$66:$K$89,2,0)," ")</f>
        <v>PM/0131/0109/45030040255</v>
      </c>
      <c r="AG644" s="135" t="s">
        <v>385</v>
      </c>
      <c r="AH644" s="180" t="s">
        <v>193</v>
      </c>
      <c r="AI644" s="181" t="str">
        <f>CONCATENATE(PAA[[#This Row],[Id Interno]],"-",PAA[[#This Row],[tipo de Contrato (TH talento humano - B/S bienes y/o servicios)]],"-",S644,"-",T644,"-",PAA[[#This Row],[Objeto de la contratación]])</f>
        <v>20260634-TH-8173-4-Prestar servicio de apoyo a la gestión administrativa y operativa de los mantenimientos requeridos a los equipos menores y/o parque automotor de la Subdirección Logística - SBLG</v>
      </c>
    </row>
    <row r="645" spans="2:35" ht="56" x14ac:dyDescent="0.35">
      <c r="B645" s="142">
        <v>20260636</v>
      </c>
      <c r="C645" s="121" t="s">
        <v>988</v>
      </c>
      <c r="D645" s="130" t="s">
        <v>105</v>
      </c>
      <c r="E645" s="130" t="s">
        <v>363</v>
      </c>
      <c r="F645" s="130" t="s">
        <v>144</v>
      </c>
      <c r="G645" s="131" t="s">
        <v>992</v>
      </c>
      <c r="H645" s="137">
        <v>0</v>
      </c>
      <c r="I645" s="137">
        <v>0</v>
      </c>
      <c r="J645" s="132">
        <v>95000000</v>
      </c>
      <c r="K645" s="133" t="s">
        <v>398</v>
      </c>
      <c r="L645" s="177" t="s">
        <v>151</v>
      </c>
      <c r="M645" s="173" t="s">
        <v>401</v>
      </c>
      <c r="N645" s="130" t="s">
        <v>197</v>
      </c>
      <c r="O645" s="173" t="s">
        <v>945</v>
      </c>
      <c r="P645" s="173" t="s">
        <v>348</v>
      </c>
      <c r="Q645" s="134">
        <v>80111600</v>
      </c>
      <c r="R645" s="173" t="s">
        <v>204</v>
      </c>
      <c r="S645" s="173" t="str">
        <f>MID(PAA[[#This Row],[Meta Proyecto de Inversión]],1,4)</f>
        <v>8126</v>
      </c>
      <c r="T645" s="173" t="str">
        <f>MID(PAA[[#This Row],[Meta Proyecto de Inversión]],6,1)</f>
        <v>5</v>
      </c>
      <c r="U645" s="178" t="str">
        <f>IFERROR(VLOOKUP(N645,TD!$B$50:$F$54,2,0)," ")</f>
        <v>O230117</v>
      </c>
      <c r="V645" s="178" t="str">
        <f>IFERROR(VLOOKUP(N645,TD!$B$50:$F$54,3,0)," ")</f>
        <v>4599</v>
      </c>
      <c r="W645" s="178">
        <f>IFERROR(VLOOKUP(N645,TD!$B$50:$F$54,4,0)," ")</f>
        <v>20240207</v>
      </c>
      <c r="X645" s="173" t="s">
        <v>168</v>
      </c>
      <c r="Y645" s="163" t="str">
        <f>IFERROR(VLOOKUP(X645,TD!$J$51:$K$64,2,0)," ")</f>
        <v>Infraestructura Tecnológica   (Sistemas de Información y Tecnologia)</v>
      </c>
      <c r="Z645" s="175" t="str">
        <f>CONCATENATE(X645,"-",Y645)</f>
        <v>11-Infraestructura Tecnológica   (Sistemas de Información y Tecnologia)</v>
      </c>
      <c r="AA645" s="173" t="s">
        <v>228</v>
      </c>
      <c r="AB645" s="163" t="str">
        <f>IFERROR(VLOOKUP(AA645,TD!$N$51:$O$66,2,0)," ")</f>
        <v>Servicios tecnológicos</v>
      </c>
      <c r="AC645" s="175" t="str">
        <f>CONCATENATE(AA645,"_",AB645)</f>
        <v>007_Servicios tecnológicos</v>
      </c>
      <c r="AD645" s="175" t="str">
        <f>CONCATENATE(Z645," ",AC645)</f>
        <v>11-Infraestructura Tecnológica   (Sistemas de Información y Tecnologia) 007_Servicios tecnológicos</v>
      </c>
      <c r="AE645" s="178" t="str">
        <f>CONCATENATE(U645,V645,W645,X645,AA645)</f>
        <v>O23011745992024020711007</v>
      </c>
      <c r="AF645" s="163" t="str">
        <f>IFERROR(VLOOKUP(AD645,TD!$J$66:$K$89,2,0)," ")</f>
        <v>PM/0131/0111/45990070207</v>
      </c>
      <c r="AG645" s="135" t="s">
        <v>385</v>
      </c>
      <c r="AH645" s="180" t="s">
        <v>194</v>
      </c>
      <c r="AI645" s="183" t="str">
        <f>CONCATENATE(PAA[[#This Row],[Id Interno]],"-",PAA[[#This Row],[tipo de Contrato (TH talento humano - B/S bienes y/o servicios)]],"-",S645,"-",T645,"-",PAA[[#This Row],[Objeto de la contratación]])</f>
        <v>20260636-TH-8126-5-Congelamiento recursos 5% proyecto 8126</v>
      </c>
    </row>
    <row r="646" spans="2:35" ht="56" x14ac:dyDescent="0.35">
      <c r="B646" s="142">
        <v>20260637</v>
      </c>
      <c r="C646" s="121" t="s">
        <v>988</v>
      </c>
      <c r="D646" s="130" t="s">
        <v>114</v>
      </c>
      <c r="E646" s="130" t="s">
        <v>402</v>
      </c>
      <c r="F646" s="130" t="s">
        <v>89</v>
      </c>
      <c r="G646" s="131" t="s">
        <v>992</v>
      </c>
      <c r="H646" s="137">
        <v>0</v>
      </c>
      <c r="I646" s="137">
        <v>0</v>
      </c>
      <c r="J646" s="132">
        <v>65650000</v>
      </c>
      <c r="K646" s="133" t="s">
        <v>398</v>
      </c>
      <c r="L646" s="177" t="s">
        <v>151</v>
      </c>
      <c r="M646" s="173" t="s">
        <v>401</v>
      </c>
      <c r="N646" s="130" t="s">
        <v>197</v>
      </c>
      <c r="O646" s="173" t="s">
        <v>945</v>
      </c>
      <c r="P646" s="173" t="s">
        <v>348</v>
      </c>
      <c r="Q646" s="134" t="s">
        <v>441</v>
      </c>
      <c r="R646" s="173" t="s">
        <v>203</v>
      </c>
      <c r="S646" s="173" t="str">
        <f>MID(PAA[[#This Row],[Meta Proyecto de Inversión]],1,4)</f>
        <v>8126</v>
      </c>
      <c r="T646" s="173" t="str">
        <f>MID(PAA[[#This Row],[Meta Proyecto de Inversión]],6,1)</f>
        <v>4</v>
      </c>
      <c r="U646" s="178" t="str">
        <f>IFERROR(VLOOKUP(N646,TD!$B$50:$F$54,2,0)," ")</f>
        <v>O230117</v>
      </c>
      <c r="V646" s="178" t="str">
        <f>IFERROR(VLOOKUP(N646,TD!$B$50:$F$54,3,0)," ")</f>
        <v>4599</v>
      </c>
      <c r="W646" s="178">
        <f>IFERROR(VLOOKUP(N646,TD!$B$50:$F$54,4,0)," ")</f>
        <v>20240207</v>
      </c>
      <c r="X646" s="173" t="s">
        <v>168</v>
      </c>
      <c r="Y646" s="163" t="str">
        <f>IFERROR(VLOOKUP(X646,TD!$J$51:$K$64,2,0)," ")</f>
        <v>Infraestructura Tecnológica   (Sistemas de Información y Tecnologia)</v>
      </c>
      <c r="Z646" s="175" t="str">
        <f>CONCATENATE(X646,"-",Y646)</f>
        <v>11-Infraestructura Tecnológica   (Sistemas de Información y Tecnologia)</v>
      </c>
      <c r="AA646" s="173" t="s">
        <v>228</v>
      </c>
      <c r="AB646" s="163" t="str">
        <f>IFERROR(VLOOKUP(AA646,TD!$N$51:$O$66,2,0)," ")</f>
        <v>Servicios tecnológicos</v>
      </c>
      <c r="AC646" s="175" t="str">
        <f>CONCATENATE(AA646,"_",AB646)</f>
        <v>007_Servicios tecnológicos</v>
      </c>
      <c r="AD646" s="175" t="str">
        <f>CONCATENATE(Z646," ",AC646)</f>
        <v>11-Infraestructura Tecnológica   (Sistemas de Información y Tecnologia) 007_Servicios tecnológicos</v>
      </c>
      <c r="AE646" s="178" t="str">
        <f>CONCATENATE(U646,V646,W646,X646,AA646)</f>
        <v>O23011745992024020711007</v>
      </c>
      <c r="AF646" s="163" t="str">
        <f>IFERROR(VLOOKUP(AD646,TD!$J$66:$K$89,2,0)," ")</f>
        <v>PM/0131/0111/45990070207</v>
      </c>
      <c r="AG646" s="135" t="s">
        <v>116</v>
      </c>
      <c r="AH646" s="180" t="s">
        <v>194</v>
      </c>
      <c r="AI646" s="183" t="str">
        <f>CONCATENATE(PAA[[#This Row],[Id Interno]],"-",PAA[[#This Row],[tipo de Contrato (TH talento humano - B/S bienes y/o servicios)]],"-",S646,"-",T646,"-",PAA[[#This Row],[Objeto de la contratación]])</f>
        <v>20260637-BS-8126-4-Congelamiento recursos 5% proyecto 8126</v>
      </c>
    </row>
    <row r="647" spans="2:35" ht="56" x14ac:dyDescent="0.35">
      <c r="B647" s="142">
        <v>20260638</v>
      </c>
      <c r="C647" s="121" t="s">
        <v>988</v>
      </c>
      <c r="D647" s="130" t="s">
        <v>105</v>
      </c>
      <c r="E647" s="130" t="s">
        <v>363</v>
      </c>
      <c r="F647" s="130" t="s">
        <v>144</v>
      </c>
      <c r="G647" s="131" t="s">
        <v>992</v>
      </c>
      <c r="H647" s="137">
        <v>0</v>
      </c>
      <c r="I647" s="137">
        <v>0</v>
      </c>
      <c r="J647" s="132">
        <f>335350000+51177500</f>
        <v>386527500</v>
      </c>
      <c r="K647" s="133" t="s">
        <v>398</v>
      </c>
      <c r="L647" s="177" t="s">
        <v>155</v>
      </c>
      <c r="M647" s="173" t="s">
        <v>401</v>
      </c>
      <c r="N647" s="130" t="s">
        <v>197</v>
      </c>
      <c r="O647" s="173" t="s">
        <v>945</v>
      </c>
      <c r="P647" s="173" t="s">
        <v>348</v>
      </c>
      <c r="Q647" s="134" t="s">
        <v>766</v>
      </c>
      <c r="R647" s="173" t="s">
        <v>208</v>
      </c>
      <c r="S647" s="173" t="str">
        <f>MID(PAA[[#This Row],[Meta Proyecto de Inversión]],1,4)</f>
        <v>8126</v>
      </c>
      <c r="T647" s="173" t="str">
        <f>MID(PAA[[#This Row],[Meta Proyecto de Inversión]],6,1)</f>
        <v>9</v>
      </c>
      <c r="U647" s="178" t="str">
        <f>IFERROR(VLOOKUP(N647,TD!$B$50:$F$54,2,0)," ")</f>
        <v>O230117</v>
      </c>
      <c r="V647" s="178" t="str">
        <f>IFERROR(VLOOKUP(N647,TD!$B$50:$F$54,3,0)," ")</f>
        <v>4599</v>
      </c>
      <c r="W647" s="178">
        <f>IFERROR(VLOOKUP(N647,TD!$B$50:$F$54,4,0)," ")</f>
        <v>20240207</v>
      </c>
      <c r="X647" s="173" t="s">
        <v>174</v>
      </c>
      <c r="Y647" s="163" t="str">
        <f>IFERROR(VLOOKUP(X647,TD!$J$51:$K$64,2,0)," ")</f>
        <v>Infraestructura física, mantenimiento y dotación (Sedes construidas, mantenidas reforzadas)</v>
      </c>
      <c r="Z647" s="175" t="str">
        <f>CONCATENATE(X647,"-",Y647)</f>
        <v>08-Infraestructura física, mantenimiento y dotación (Sedes construidas, mantenidas reforzadas)</v>
      </c>
      <c r="AA647" s="173" t="s">
        <v>227</v>
      </c>
      <c r="AB647" s="163" t="str">
        <f>IFERROR(VLOOKUP(AA647,TD!$N$51:$O$66,2,0)," ")</f>
        <v>Sedes mantenidas</v>
      </c>
      <c r="AC647" s="175" t="str">
        <f>CONCATENATE(AA647,"_",AB647)</f>
        <v>016_Sedes mantenidas</v>
      </c>
      <c r="AD647" s="175" t="str">
        <f>CONCATENATE(Z647," ",AC647)</f>
        <v>08-Infraestructura física, mantenimiento y dotación (Sedes construidas, mantenidas reforzadas) 016_Sedes mantenidas</v>
      </c>
      <c r="AE647" s="178" t="str">
        <f>CONCATENATE(U647,V647,W647,X647,AA647)</f>
        <v>O23011745992024020708016</v>
      </c>
      <c r="AF647" s="163" t="str">
        <f>IFERROR(VLOOKUP(AD647,TD!$J$66:$K$89,2,0)," ")</f>
        <v>PM/0131/0108/45990160207</v>
      </c>
      <c r="AG647" s="135" t="s">
        <v>385</v>
      </c>
      <c r="AH647" s="180" t="s">
        <v>194</v>
      </c>
      <c r="AI647" s="183" t="str">
        <f>CONCATENATE(PAA[[#This Row],[Id Interno]],"-",PAA[[#This Row],[tipo de Contrato (TH talento humano - B/S bienes y/o servicios)]],"-",S647,"-",T647,"-",PAA[[#This Row],[Objeto de la contratación]])</f>
        <v>20260638-TH-8126-9-Congelamiento recursos 5% proyecto 8126</v>
      </c>
    </row>
    <row r="648" spans="2:35" ht="56" x14ac:dyDescent="0.35">
      <c r="B648" s="142">
        <v>20260639</v>
      </c>
      <c r="C648" s="121" t="s">
        <v>989</v>
      </c>
      <c r="D648" s="130" t="s">
        <v>78</v>
      </c>
      <c r="E648" s="130" t="s">
        <v>402</v>
      </c>
      <c r="F648" s="130" t="s">
        <v>97</v>
      </c>
      <c r="G648" s="131" t="s">
        <v>992</v>
      </c>
      <c r="H648" s="137">
        <v>0</v>
      </c>
      <c r="I648" s="137">
        <v>0</v>
      </c>
      <c r="J648" s="132">
        <v>3760200</v>
      </c>
      <c r="K648" s="133" t="s">
        <v>398</v>
      </c>
      <c r="L648" s="177" t="s">
        <v>155</v>
      </c>
      <c r="M648" s="173" t="s">
        <v>401</v>
      </c>
      <c r="N648" s="130" t="s">
        <v>198</v>
      </c>
      <c r="O648" s="173" t="s">
        <v>946</v>
      </c>
      <c r="P648" s="173" t="s">
        <v>348</v>
      </c>
      <c r="Q648" s="134" t="s">
        <v>764</v>
      </c>
      <c r="R648" s="173" t="s">
        <v>216</v>
      </c>
      <c r="S648" s="173" t="str">
        <f>MID(PAA[[#This Row],[Meta Proyecto de Inversión]],1,4)</f>
        <v>8173</v>
      </c>
      <c r="T648" s="173" t="str">
        <f>MID(PAA[[#This Row],[Meta Proyecto de Inversión]],6,1)</f>
        <v>7</v>
      </c>
      <c r="U648" s="178" t="str">
        <f>IFERROR(VLOOKUP(N648,TD!$B$50:$F$54,2,0)," ")</f>
        <v>O230117</v>
      </c>
      <c r="V648" s="178" t="str">
        <f>IFERROR(VLOOKUP(N648,TD!$B$50:$F$54,3,0)," ")</f>
        <v>4503</v>
      </c>
      <c r="W648" s="178">
        <f>IFERROR(VLOOKUP(N648,TD!$B$50:$F$54,4,0)," ")</f>
        <v>20240255</v>
      </c>
      <c r="X648" s="173" t="s">
        <v>174</v>
      </c>
      <c r="Y648" s="163" t="str">
        <f>IFERROR(VLOOKUP(X648,TD!$J$51:$K$64,2,0)," ")</f>
        <v>Infraestructura física, mantenimiento y dotación (Sedes construidas, mantenidas reforzadas)</v>
      </c>
      <c r="Z648" s="175" t="str">
        <f>CONCATENATE(X648,"-",Y648)</f>
        <v>08-Infraestructura física, mantenimiento y dotación (Sedes construidas, mantenidas reforzadas)</v>
      </c>
      <c r="AA648" s="173" t="s">
        <v>282</v>
      </c>
      <c r="AB648" s="163" t="str">
        <f>IFERROR(VLOOKUP(AA648,TD!$N$51:$O$66,2,0)," ")</f>
        <v>Documentos de lineamientos técnicos</v>
      </c>
      <c r="AC648" s="175" t="str">
        <f>CONCATENATE(AA648,"_",AB648)</f>
        <v>031__Documentos de lineamientos técnicos</v>
      </c>
      <c r="AD648" s="175" t="str">
        <f>CONCATENATE(Z648," ",AC648)</f>
        <v>08-Infraestructura física, mantenimiento y dotación (Sedes construidas, mantenidas reforzadas) 031__Documentos de lineamientos técnicos</v>
      </c>
      <c r="AE648" s="178" t="str">
        <f>CONCATENATE(U648,V648,W648,X648,AA648)</f>
        <v>O23011745032024025508031_</v>
      </c>
      <c r="AF648" s="163" t="str">
        <f>IFERROR(VLOOKUP(AD648,TD!$J$66:$K$89,2,0)," ")</f>
        <v>PM/0131/0108/45030310255</v>
      </c>
      <c r="AG648" s="135" t="s">
        <v>385</v>
      </c>
      <c r="AH648" s="180" t="s">
        <v>194</v>
      </c>
      <c r="AI648" s="183" t="str">
        <f>CONCATENATE(PAA[[#This Row],[Id Interno]],"-",PAA[[#This Row],[tipo de Contrato (TH talento humano - B/S bienes y/o servicios)]],"-",S648,"-",T648,"-",PAA[[#This Row],[Objeto de la contratación]])</f>
        <v>20260639-BS-8173-7-Congelamiento recursos 5% proyecto 8173</v>
      </c>
    </row>
    <row r="649" spans="2:35" ht="56" x14ac:dyDescent="0.35">
      <c r="B649" s="142">
        <v>20260640</v>
      </c>
      <c r="C649" s="121" t="s">
        <v>988</v>
      </c>
      <c r="D649" s="130" t="s">
        <v>105</v>
      </c>
      <c r="E649" s="130" t="s">
        <v>363</v>
      </c>
      <c r="F649" s="130" t="s">
        <v>144</v>
      </c>
      <c r="G649" s="131" t="s">
        <v>992</v>
      </c>
      <c r="H649" s="137">
        <v>0</v>
      </c>
      <c r="I649" s="137">
        <v>0</v>
      </c>
      <c r="J649" s="132">
        <v>20296300</v>
      </c>
      <c r="K649" s="133" t="s">
        <v>398</v>
      </c>
      <c r="L649" s="177" t="s">
        <v>36</v>
      </c>
      <c r="M649" s="173" t="s">
        <v>401</v>
      </c>
      <c r="N649" s="130" t="s">
        <v>197</v>
      </c>
      <c r="O649" s="173" t="s">
        <v>945</v>
      </c>
      <c r="P649" s="173" t="s">
        <v>348</v>
      </c>
      <c r="Q649" s="134">
        <v>80111600</v>
      </c>
      <c r="R649" s="173" t="s">
        <v>201</v>
      </c>
      <c r="S649" s="173" t="str">
        <f>MID(PAA[[#This Row],[Meta Proyecto de Inversión]],1,4)</f>
        <v>8126</v>
      </c>
      <c r="T649" s="173" t="str">
        <f>MID(PAA[[#This Row],[Meta Proyecto de Inversión]],6,1)</f>
        <v>2</v>
      </c>
      <c r="U649" s="178" t="str">
        <f>IFERROR(VLOOKUP(N649,TD!$B$50:$F$54,2,0)," ")</f>
        <v>O230117</v>
      </c>
      <c r="V649" s="178" t="str">
        <f>IFERROR(VLOOKUP(N649,TD!$B$50:$F$54,3,0)," ")</f>
        <v>4599</v>
      </c>
      <c r="W649" s="178">
        <f>IFERROR(VLOOKUP(N649,TD!$B$50:$F$54,4,0)," ")</f>
        <v>20240207</v>
      </c>
      <c r="X649" s="173" t="s">
        <v>182</v>
      </c>
      <c r="Y649" s="163" t="str">
        <f>IFERROR(VLOOKUP(X649,TD!$J$51:$K$64,2,0)," ")</f>
        <v>Servicios para la planeación y sistemas de gestión y comunicación estratégica</v>
      </c>
      <c r="Z649" s="175" t="str">
        <f>CONCATENATE(X649,"-",Y649)</f>
        <v>13-Servicios para la planeación y sistemas de gestión y comunicación estratégica</v>
      </c>
      <c r="AA649" s="173" t="s">
        <v>230</v>
      </c>
      <c r="AB649" s="163" t="str">
        <f>IFERROR(VLOOKUP(AA649,TD!$N$51:$O$66,2,0)," ")</f>
        <v>Servicio de Implementación Sistemas de Gestión</v>
      </c>
      <c r="AC649" s="175" t="str">
        <f>CONCATENATE(AA649,"_",AB649)</f>
        <v>023_Servicio de Implementación Sistemas de Gestión</v>
      </c>
      <c r="AD649" s="175" t="str">
        <f>CONCATENATE(Z649," ",AC649)</f>
        <v>13-Servicios para la planeación y sistemas de gestión y comunicación estratégica 023_Servicio de Implementación Sistemas de Gestión</v>
      </c>
      <c r="AE649" s="178" t="str">
        <f>CONCATENATE(U649,V649,W649,X649,AA649)</f>
        <v>O23011745992024020713023</v>
      </c>
      <c r="AF649" s="163" t="str">
        <f>IFERROR(VLOOKUP(AD649,TD!$J$66:$K$89,2,0)," ")</f>
        <v>PM/0131/0113/45990230207</v>
      </c>
      <c r="AG649" s="135" t="s">
        <v>385</v>
      </c>
      <c r="AH649" s="180" t="s">
        <v>194</v>
      </c>
      <c r="AI649" s="181" t="str">
        <f>CONCATENATE(PAA[[#This Row],[Id Interno]],"-",PAA[[#This Row],[tipo de Contrato (TH talento humano - B/S bienes y/o servicios)]],"-",S649,"-",T649,"-",PAA[[#This Row],[Objeto de la contratación]])</f>
        <v>20260640-TH-8126-2-Congelamiento recursos 5% proyecto 8126</v>
      </c>
    </row>
    <row r="650" spans="2:35" ht="70" x14ac:dyDescent="0.35">
      <c r="B650" s="142">
        <v>20260641</v>
      </c>
      <c r="C650" s="121" t="s">
        <v>988</v>
      </c>
      <c r="D650" s="130" t="s">
        <v>105</v>
      </c>
      <c r="E650" s="130" t="s">
        <v>363</v>
      </c>
      <c r="F650" s="130" t="s">
        <v>144</v>
      </c>
      <c r="G650" s="131" t="s">
        <v>992</v>
      </c>
      <c r="H650" s="137">
        <v>0</v>
      </c>
      <c r="I650" s="137">
        <v>0</v>
      </c>
      <c r="J650" s="132">
        <v>55442250</v>
      </c>
      <c r="K650" s="133" t="s">
        <v>398</v>
      </c>
      <c r="L650" s="177" t="s">
        <v>36</v>
      </c>
      <c r="M650" s="173" t="s">
        <v>401</v>
      </c>
      <c r="N650" s="130" t="s">
        <v>197</v>
      </c>
      <c r="O650" s="173" t="s">
        <v>945</v>
      </c>
      <c r="P650" s="173" t="s">
        <v>348</v>
      </c>
      <c r="Q650" s="134">
        <v>80111600</v>
      </c>
      <c r="R650" s="173" t="s">
        <v>200</v>
      </c>
      <c r="S650" s="173" t="str">
        <f>MID(PAA[[#This Row],[Meta Proyecto de Inversión]],1,4)</f>
        <v>8126</v>
      </c>
      <c r="T650" s="173" t="str">
        <f>MID(PAA[[#This Row],[Meta Proyecto de Inversión]],6,1)</f>
        <v>1</v>
      </c>
      <c r="U650" s="178" t="str">
        <f>IFERROR(VLOOKUP(N650,TD!$B$50:$F$54,2,0)," ")</f>
        <v>O230117</v>
      </c>
      <c r="V650" s="178" t="str">
        <f>IFERROR(VLOOKUP(N650,TD!$B$50:$F$54,3,0)," ")</f>
        <v>4599</v>
      </c>
      <c r="W650" s="178">
        <f>IFERROR(VLOOKUP(N650,TD!$B$50:$F$54,4,0)," ")</f>
        <v>20240207</v>
      </c>
      <c r="X650" s="173" t="s">
        <v>182</v>
      </c>
      <c r="Y650" s="163" t="str">
        <f>IFERROR(VLOOKUP(X650,TD!$J$51:$K$64,2,0)," ")</f>
        <v>Servicios para la planeación y sistemas de gestión y comunicación estratégica</v>
      </c>
      <c r="Z650" s="175" t="str">
        <f>CONCATENATE(X650,"-",Y650)</f>
        <v>13-Servicios para la planeación y sistemas de gestión y comunicación estratégica</v>
      </c>
      <c r="AA650" s="173" t="s">
        <v>229</v>
      </c>
      <c r="AB650" s="163" t="str">
        <f>IFERROR(VLOOKUP(AA650,TD!$N$51:$O$66,2,0)," ")</f>
        <v>Servicio de asistencia técnica</v>
      </c>
      <c r="AC650" s="175" t="str">
        <f>CONCATENATE(AA650,"_",AB650)</f>
        <v>031_Servicio de asistencia técnica</v>
      </c>
      <c r="AD650" s="175" t="str">
        <f>CONCATENATE(Z650," ",AC650)</f>
        <v>13-Servicios para la planeación y sistemas de gestión y comunicación estratégica 031_Servicio de asistencia técnica</v>
      </c>
      <c r="AE650" s="178" t="str">
        <f>CONCATENATE(U650,V650,W650,X650,AA650)</f>
        <v>O23011745992024020713031</v>
      </c>
      <c r="AF650" s="163" t="str">
        <f>IFERROR(VLOOKUP(AD650,TD!$J$66:$K$89,2,0)," ")</f>
        <v>PM/0131/0113/45990310207</v>
      </c>
      <c r="AG650" s="135" t="s">
        <v>385</v>
      </c>
      <c r="AH650" s="180" t="s">
        <v>194</v>
      </c>
      <c r="AI650" s="181" t="str">
        <f>CONCATENATE(PAA[[#This Row],[Id Interno]],"-",PAA[[#This Row],[tipo de Contrato (TH talento humano - B/S bienes y/o servicios)]],"-",S650,"-",T650,"-",PAA[[#This Row],[Objeto de la contratación]])</f>
        <v>20260641-TH-8126-1-Congelamiento recursos 5% proyecto 8126</v>
      </c>
    </row>
    <row r="651" spans="2:35" ht="98" x14ac:dyDescent="0.35">
      <c r="B651" s="142">
        <v>20260642</v>
      </c>
      <c r="C651" s="121" t="s">
        <v>988</v>
      </c>
      <c r="D651" s="130" t="s">
        <v>83</v>
      </c>
      <c r="E651" s="130" t="s">
        <v>402</v>
      </c>
      <c r="F651" s="130" t="s">
        <v>89</v>
      </c>
      <c r="G651" s="131" t="s">
        <v>992</v>
      </c>
      <c r="H651" s="137">
        <v>0</v>
      </c>
      <c r="I651" s="137">
        <v>0</v>
      </c>
      <c r="J651" s="132">
        <v>0</v>
      </c>
      <c r="K651" s="133" t="s">
        <v>398</v>
      </c>
      <c r="L651" s="177" t="s">
        <v>151</v>
      </c>
      <c r="M651" s="173" t="s">
        <v>401</v>
      </c>
      <c r="N651" s="130" t="s">
        <v>197</v>
      </c>
      <c r="O651" s="173" t="s">
        <v>945</v>
      </c>
      <c r="P651" s="173" t="s">
        <v>348</v>
      </c>
      <c r="Q651" s="134" t="s">
        <v>442</v>
      </c>
      <c r="R651" s="173" t="s">
        <v>204</v>
      </c>
      <c r="S651" s="173" t="str">
        <f>MID(PAA[[#This Row],[Meta Proyecto de Inversión]],1,4)</f>
        <v>8126</v>
      </c>
      <c r="T651" s="173" t="str">
        <f>MID(PAA[[#This Row],[Meta Proyecto de Inversión]],6,1)</f>
        <v>5</v>
      </c>
      <c r="U651" s="178" t="str">
        <f>IFERROR(VLOOKUP(N651,TD!$B$50:$F$54,2,0)," ")</f>
        <v>O230117</v>
      </c>
      <c r="V651" s="178" t="str">
        <f>IFERROR(VLOOKUP(N651,TD!$B$50:$F$54,3,0)," ")</f>
        <v>4599</v>
      </c>
      <c r="W651" s="178">
        <f>IFERROR(VLOOKUP(N651,TD!$B$50:$F$54,4,0)," ")</f>
        <v>20240207</v>
      </c>
      <c r="X651" s="173" t="s">
        <v>168</v>
      </c>
      <c r="Y651" s="163" t="str">
        <f>IFERROR(VLOOKUP(X651,TD!$J$51:$K$64,2,0)," ")</f>
        <v>Infraestructura Tecnológica   (Sistemas de Información y Tecnologia)</v>
      </c>
      <c r="Z651" s="175" t="str">
        <f>CONCATENATE(X651,"-",Y651)</f>
        <v>11-Infraestructura Tecnológica   (Sistemas de Información y Tecnologia)</v>
      </c>
      <c r="AA651" s="173" t="s">
        <v>228</v>
      </c>
      <c r="AB651" s="163" t="str">
        <f>IFERROR(VLOOKUP(AA651,TD!$N$51:$O$66,2,0)," ")</f>
        <v>Servicios tecnológicos</v>
      </c>
      <c r="AC651" s="175" t="str">
        <f>CONCATENATE(AA651,"_",AB651)</f>
        <v>007_Servicios tecnológicos</v>
      </c>
      <c r="AD651" s="175" t="str">
        <f>CONCATENATE(Z651," ",AC651)</f>
        <v>11-Infraestructura Tecnológica   (Sistemas de Información y Tecnologia) 007_Servicios tecnológicos</v>
      </c>
      <c r="AE651" s="178" t="str">
        <f>CONCATENATE(U651,V651,W651,X651,AA651)</f>
        <v>O23011745992024020711007</v>
      </c>
      <c r="AF651" s="163" t="str">
        <f>IFERROR(VLOOKUP(AD651,TD!$J$66:$K$89,2,0)," ")</f>
        <v>PM/0131/0111/45990070207</v>
      </c>
      <c r="AG651" s="135" t="s">
        <v>121</v>
      </c>
      <c r="AH651" s="180" t="s">
        <v>194</v>
      </c>
      <c r="AI651" s="183" t="str">
        <f>CONCATENATE(PAA[[#This Row],[Id Interno]],"-",PAA[[#This Row],[tipo de Contrato (TH talento humano - B/S bienes y/o servicios)]],"-",S651,"-",T651,"-",PAA[[#This Row],[Objeto de la contratación]])</f>
        <v>20260642-BS-8126-5-Congelamiento recursos 5% proyecto 8126</v>
      </c>
    </row>
    <row r="652" spans="2:35" ht="72" customHeight="1" x14ac:dyDescent="0.35">
      <c r="B652" s="142">
        <v>20260643</v>
      </c>
      <c r="C652" s="121" t="s">
        <v>988</v>
      </c>
      <c r="D652" s="130" t="s">
        <v>105</v>
      </c>
      <c r="E652" s="130" t="s">
        <v>363</v>
      </c>
      <c r="F652" s="130" t="s">
        <v>144</v>
      </c>
      <c r="G652" s="131" t="s">
        <v>992</v>
      </c>
      <c r="H652" s="137">
        <v>0</v>
      </c>
      <c r="I652" s="137">
        <v>0</v>
      </c>
      <c r="J652" s="132">
        <v>0</v>
      </c>
      <c r="K652" s="133" t="s">
        <v>398</v>
      </c>
      <c r="L652" s="177" t="s">
        <v>150</v>
      </c>
      <c r="M652" s="173" t="s">
        <v>401</v>
      </c>
      <c r="N652" s="130" t="s">
        <v>197</v>
      </c>
      <c r="O652" s="173" t="s">
        <v>945</v>
      </c>
      <c r="P652" s="173" t="s">
        <v>348</v>
      </c>
      <c r="Q652" s="134">
        <v>80111600</v>
      </c>
      <c r="R652" s="173" t="s">
        <v>209</v>
      </c>
      <c r="S652" s="173" t="str">
        <f>MID(PAA[[#This Row],[Meta Proyecto de Inversión]],1,4)</f>
        <v>8126</v>
      </c>
      <c r="T652" s="173" t="str">
        <f>MID(PAA[[#This Row],[Meta Proyecto de Inversión]],6,1)</f>
        <v>1</v>
      </c>
      <c r="U652" s="178" t="str">
        <f>IFERROR(VLOOKUP(N652,TD!$B$50:$F$54,2,0)," ")</f>
        <v>O230117</v>
      </c>
      <c r="V652" s="178" t="str">
        <f>IFERROR(VLOOKUP(N652,TD!$B$50:$F$54,3,0)," ")</f>
        <v>4599</v>
      </c>
      <c r="W652" s="178">
        <f>IFERROR(VLOOKUP(N652,TD!$B$50:$F$54,4,0)," ")</f>
        <v>20240207</v>
      </c>
      <c r="X652" s="173" t="s">
        <v>182</v>
      </c>
      <c r="Y652" s="163" t="str">
        <f>IFERROR(VLOOKUP(X652,TD!$J$51:$K$64,2,0)," ")</f>
        <v>Servicios para la planeación y sistemas de gestión y comunicación estratégica</v>
      </c>
      <c r="Z652" s="175" t="str">
        <f>CONCATENATE(X652,"-",Y652)</f>
        <v>13-Servicios para la planeación y sistemas de gestión y comunicación estratégica</v>
      </c>
      <c r="AA652" s="173" t="s">
        <v>231</v>
      </c>
      <c r="AB652" s="163" t="str">
        <f>IFERROR(VLOOKUP(AA652,TD!$N$51:$O$66,2,0)," ")</f>
        <v>Documentos de planeación</v>
      </c>
      <c r="AC652" s="175" t="str">
        <f>CONCATENATE(AA652,"_",AB652)</f>
        <v>019_Documentos de planeación</v>
      </c>
      <c r="AD652" s="175" t="str">
        <f>CONCATENATE(Z652," ",AC652)</f>
        <v>13-Servicios para la planeación y sistemas de gestión y comunicación estratégica 019_Documentos de planeación</v>
      </c>
      <c r="AE652" s="178" t="str">
        <f>CONCATENATE(U652,V652,W652,X652,AA652)</f>
        <v>O23011745992024020713019</v>
      </c>
      <c r="AF652" s="163" t="str">
        <f>IFERROR(VLOOKUP(AD652,TD!$J$66:$K$89,2,0)," ")</f>
        <v>PM/0131/0113/45990190207</v>
      </c>
      <c r="AG652" s="135" t="s">
        <v>385</v>
      </c>
      <c r="AH652" s="180" t="s">
        <v>194</v>
      </c>
      <c r="AI652" s="183" t="str">
        <f>CONCATENATE(PAA[[#This Row],[Id Interno]],"-",PAA[[#This Row],[tipo de Contrato (TH talento humano - B/S bienes y/o servicios)]],"-",S652,"-",T652,"-",PAA[[#This Row],[Objeto de la contratación]])</f>
        <v>20260643-TH-8126-1-Congelamiento recursos 5% proyecto 8126</v>
      </c>
    </row>
    <row r="653" spans="2:35" ht="72" customHeight="1" x14ac:dyDescent="0.35">
      <c r="B653" s="142">
        <v>20260644</v>
      </c>
      <c r="C653" s="121" t="s">
        <v>988</v>
      </c>
      <c r="D653" s="130" t="s">
        <v>105</v>
      </c>
      <c r="E653" s="130" t="s">
        <v>363</v>
      </c>
      <c r="F653" s="130" t="s">
        <v>144</v>
      </c>
      <c r="G653" s="131" t="s">
        <v>992</v>
      </c>
      <c r="H653" s="137">
        <v>0</v>
      </c>
      <c r="I653" s="137">
        <v>0</v>
      </c>
      <c r="J653" s="132">
        <v>64171317</v>
      </c>
      <c r="K653" s="133" t="s">
        <v>398</v>
      </c>
      <c r="L653" s="177" t="s">
        <v>45</v>
      </c>
      <c r="M653" s="173" t="s">
        <v>401</v>
      </c>
      <c r="N653" s="130" t="s">
        <v>197</v>
      </c>
      <c r="O653" s="173" t="s">
        <v>945</v>
      </c>
      <c r="P653" s="173" t="s">
        <v>348</v>
      </c>
      <c r="Q653" s="134" t="s">
        <v>766</v>
      </c>
      <c r="R653" s="173" t="s">
        <v>208</v>
      </c>
      <c r="S653" s="173" t="str">
        <f>MID(PAA[[#This Row],[Meta Proyecto de Inversión]],1,4)</f>
        <v>8126</v>
      </c>
      <c r="T653" s="173" t="str">
        <f>MID(PAA[[#This Row],[Meta Proyecto de Inversión]],6,1)</f>
        <v>9</v>
      </c>
      <c r="U653" s="178" t="str">
        <f>IFERROR(VLOOKUP(N653,TD!$B$50:$F$54,2,0)," ")</f>
        <v>O230117</v>
      </c>
      <c r="V653" s="178" t="str">
        <f>IFERROR(VLOOKUP(N653,TD!$B$50:$F$54,3,0)," ")</f>
        <v>4599</v>
      </c>
      <c r="W653" s="178">
        <f>IFERROR(VLOOKUP(N653,TD!$B$50:$F$54,4,0)," ")</f>
        <v>20240207</v>
      </c>
      <c r="X653" s="173" t="s">
        <v>174</v>
      </c>
      <c r="Y653" s="163" t="str">
        <f>IFERROR(VLOOKUP(X653,TD!$J$51:$K$64,2,0)," ")</f>
        <v>Infraestructura física, mantenimiento y dotación (Sedes construidas, mantenidas reforzadas)</v>
      </c>
      <c r="Z653" s="175" t="str">
        <f>CONCATENATE(X653,"-",Y653)</f>
        <v>08-Infraestructura física, mantenimiento y dotación (Sedes construidas, mantenidas reforzadas)</v>
      </c>
      <c r="AA653" s="173" t="s">
        <v>227</v>
      </c>
      <c r="AB653" s="163" t="str">
        <f>IFERROR(VLOOKUP(AA653,TD!$N$51:$O$66,2,0)," ")</f>
        <v>Sedes mantenidas</v>
      </c>
      <c r="AC653" s="175" t="str">
        <f>CONCATENATE(AA653,"_",AB653)</f>
        <v>016_Sedes mantenidas</v>
      </c>
      <c r="AD653" s="175" t="str">
        <f>CONCATENATE(Z653," ",AC653)</f>
        <v>08-Infraestructura física, mantenimiento y dotación (Sedes construidas, mantenidas reforzadas) 016_Sedes mantenidas</v>
      </c>
      <c r="AE653" s="178" t="str">
        <f>CONCATENATE(U653,V653,W653,X653,AA653)</f>
        <v>O23011745992024020708016</v>
      </c>
      <c r="AF653" s="163" t="str">
        <f>IFERROR(VLOOKUP(AD653,TD!$J$66:$K$89,2,0)," ")</f>
        <v>PM/0131/0108/45990160207</v>
      </c>
      <c r="AG653" s="135" t="s">
        <v>385</v>
      </c>
      <c r="AH653" s="180" t="s">
        <v>194</v>
      </c>
      <c r="AI653" s="183" t="str">
        <f>CONCATENATE(PAA[[#This Row],[Id Interno]],"-",PAA[[#This Row],[tipo de Contrato (TH talento humano - B/S bienes y/o servicios)]],"-",S653,"-",T653,"-",PAA[[#This Row],[Objeto de la contratación]])</f>
        <v>20260644-TH-8126-9-Congelamiento recursos 5% proyecto 8126</v>
      </c>
    </row>
    <row r="654" spans="2:35" ht="140" x14ac:dyDescent="0.35">
      <c r="B654" s="142">
        <v>20260645</v>
      </c>
      <c r="C654" s="121" t="s">
        <v>988</v>
      </c>
      <c r="D654" s="130" t="s">
        <v>105</v>
      </c>
      <c r="E654" s="130" t="s">
        <v>363</v>
      </c>
      <c r="F654" s="130" t="s">
        <v>144</v>
      </c>
      <c r="G654" s="131" t="s">
        <v>992</v>
      </c>
      <c r="H654" s="137">
        <v>0</v>
      </c>
      <c r="I654" s="137">
        <v>0</v>
      </c>
      <c r="J654" s="132">
        <v>24231997</v>
      </c>
      <c r="K654" s="133" t="s">
        <v>398</v>
      </c>
      <c r="L654" s="177" t="s">
        <v>46</v>
      </c>
      <c r="M654" s="173" t="s">
        <v>401</v>
      </c>
      <c r="N654" s="130" t="s">
        <v>197</v>
      </c>
      <c r="O654" s="173" t="s">
        <v>945</v>
      </c>
      <c r="P654" s="173" t="s">
        <v>348</v>
      </c>
      <c r="Q654" s="134" t="s">
        <v>766</v>
      </c>
      <c r="R654" s="173" t="s">
        <v>208</v>
      </c>
      <c r="S654" s="173" t="str">
        <f>MID(PAA[[#This Row],[Meta Proyecto de Inversión]],1,4)</f>
        <v>8126</v>
      </c>
      <c r="T654" s="173" t="str">
        <f>MID(PAA[[#This Row],[Meta Proyecto de Inversión]],6,1)</f>
        <v>9</v>
      </c>
      <c r="U654" s="178" t="str">
        <f>IFERROR(VLOOKUP(N654,TD!$B$50:$F$54,2,0)," ")</f>
        <v>O230117</v>
      </c>
      <c r="V654" s="178" t="str">
        <f>IFERROR(VLOOKUP(N654,TD!$B$50:$F$54,3,0)," ")</f>
        <v>4599</v>
      </c>
      <c r="W654" s="178">
        <f>IFERROR(VLOOKUP(N654,TD!$B$50:$F$54,4,0)," ")</f>
        <v>20240207</v>
      </c>
      <c r="X654" s="173" t="s">
        <v>174</v>
      </c>
      <c r="Y654" s="163" t="str">
        <f>IFERROR(VLOOKUP(X654,TD!$J$51:$K$64,2,0)," ")</f>
        <v>Infraestructura física, mantenimiento y dotación (Sedes construidas, mantenidas reforzadas)</v>
      </c>
      <c r="Z654" s="175" t="str">
        <f>CONCATENATE(X654,"-",Y654)</f>
        <v>08-Infraestructura física, mantenimiento y dotación (Sedes construidas, mantenidas reforzadas)</v>
      </c>
      <c r="AA654" s="173" t="s">
        <v>227</v>
      </c>
      <c r="AB654" s="163" t="str">
        <f>IFERROR(VLOOKUP(AA654,TD!$N$51:$O$66,2,0)," ")</f>
        <v>Sedes mantenidas</v>
      </c>
      <c r="AC654" s="175" t="str">
        <f>CONCATENATE(AA654,"_",AB654)</f>
        <v>016_Sedes mantenidas</v>
      </c>
      <c r="AD654" s="175" t="str">
        <f>CONCATENATE(Z654," ",AC654)</f>
        <v>08-Infraestructura física, mantenimiento y dotación (Sedes construidas, mantenidas reforzadas) 016_Sedes mantenidas</v>
      </c>
      <c r="AE654" s="178" t="str">
        <f>CONCATENATE(U654,V654,W654,X654,AA654)</f>
        <v>O23011745992024020708016</v>
      </c>
      <c r="AF654" s="163" t="str">
        <f>IFERROR(VLOOKUP(AD654,TD!$J$66:$K$89,2,0)," ")</f>
        <v>PM/0131/0108/45990160207</v>
      </c>
      <c r="AG654" s="135" t="s">
        <v>385</v>
      </c>
      <c r="AH654" s="180" t="s">
        <v>194</v>
      </c>
      <c r="AI654" s="183" t="str">
        <f>CONCATENATE(PAA[[#This Row],[Id Interno]],"-",PAA[[#This Row],[tipo de Contrato (TH talento humano - B/S bienes y/o servicios)]],"-",S654,"-",T654,"-",PAA[[#This Row],[Objeto de la contratación]])</f>
        <v>20260645-TH-8126-9-Congelamiento recursos 5% proyecto 8126</v>
      </c>
    </row>
    <row r="655" spans="2:35" ht="56" x14ac:dyDescent="0.35">
      <c r="B655" s="142">
        <v>20260646</v>
      </c>
      <c r="C655" s="121" t="s">
        <v>988</v>
      </c>
      <c r="D655" s="130" t="s">
        <v>105</v>
      </c>
      <c r="E655" s="130" t="s">
        <v>363</v>
      </c>
      <c r="F655" s="130" t="s">
        <v>144</v>
      </c>
      <c r="G655" s="131" t="s">
        <v>992</v>
      </c>
      <c r="H655" s="137">
        <v>0</v>
      </c>
      <c r="I655" s="137">
        <v>0</v>
      </c>
      <c r="J655" s="132">
        <v>24969186</v>
      </c>
      <c r="K655" s="133" t="s">
        <v>398</v>
      </c>
      <c r="L655" s="177" t="s">
        <v>152</v>
      </c>
      <c r="M655" s="173" t="s">
        <v>401</v>
      </c>
      <c r="N655" s="130" t="s">
        <v>197</v>
      </c>
      <c r="O655" s="173" t="s">
        <v>945</v>
      </c>
      <c r="P655" s="173" t="s">
        <v>348</v>
      </c>
      <c r="Q655" s="134" t="s">
        <v>766</v>
      </c>
      <c r="R655" s="173" t="s">
        <v>208</v>
      </c>
      <c r="S655" s="173" t="str">
        <f>MID(PAA[[#This Row],[Meta Proyecto de Inversión]],1,4)</f>
        <v>8126</v>
      </c>
      <c r="T655" s="173" t="str">
        <f>MID(PAA[[#This Row],[Meta Proyecto de Inversión]],6,1)</f>
        <v>9</v>
      </c>
      <c r="U655" s="178" t="str">
        <f>IFERROR(VLOOKUP(N655,TD!$B$50:$F$54,2,0)," ")</f>
        <v>O230117</v>
      </c>
      <c r="V655" s="178" t="str">
        <f>IFERROR(VLOOKUP(N655,TD!$B$50:$F$54,3,0)," ")</f>
        <v>4599</v>
      </c>
      <c r="W655" s="178">
        <f>IFERROR(VLOOKUP(N655,TD!$B$50:$F$54,4,0)," ")</f>
        <v>20240207</v>
      </c>
      <c r="X655" s="173" t="s">
        <v>174</v>
      </c>
      <c r="Y655" s="163" t="str">
        <f>IFERROR(VLOOKUP(X655,TD!$J$51:$K$64,2,0)," ")</f>
        <v>Infraestructura física, mantenimiento y dotación (Sedes construidas, mantenidas reforzadas)</v>
      </c>
      <c r="Z655" s="175" t="str">
        <f>CONCATENATE(X655,"-",Y655)</f>
        <v>08-Infraestructura física, mantenimiento y dotación (Sedes construidas, mantenidas reforzadas)</v>
      </c>
      <c r="AA655" s="173" t="s">
        <v>227</v>
      </c>
      <c r="AB655" s="163" t="str">
        <f>IFERROR(VLOOKUP(AA655,TD!$N$51:$O$66,2,0)," ")</f>
        <v>Sedes mantenidas</v>
      </c>
      <c r="AC655" s="175" t="str">
        <f>CONCATENATE(AA655,"_",AB655)</f>
        <v>016_Sedes mantenidas</v>
      </c>
      <c r="AD655" s="175" t="str">
        <f>CONCATENATE(Z655," ",AC655)</f>
        <v>08-Infraestructura física, mantenimiento y dotación (Sedes construidas, mantenidas reforzadas) 016_Sedes mantenidas</v>
      </c>
      <c r="AE655" s="178" t="str">
        <f>CONCATENATE(U655,V655,W655,X655,AA655)</f>
        <v>O23011745992024020708016</v>
      </c>
      <c r="AF655" s="163" t="str">
        <f>IFERROR(VLOOKUP(AD655,TD!$J$66:$K$89,2,0)," ")</f>
        <v>PM/0131/0108/45990160207</v>
      </c>
      <c r="AG655" s="135" t="s">
        <v>385</v>
      </c>
      <c r="AH655" s="180" t="s">
        <v>194</v>
      </c>
      <c r="AI655" s="183" t="str">
        <f>CONCATENATE(PAA[[#This Row],[Id Interno]],"-",PAA[[#This Row],[tipo de Contrato (TH talento humano - B/S bienes y/o servicios)]],"-",S655,"-",T655,"-",PAA[[#This Row],[Objeto de la contratación]])</f>
        <v>20260646-TH-8126-9-Congelamiento recursos 5% proyecto 8126</v>
      </c>
    </row>
    <row r="656" spans="2:35" ht="56" x14ac:dyDescent="0.35">
      <c r="B656" s="142">
        <v>20260647</v>
      </c>
      <c r="C656" s="121" t="s">
        <v>988</v>
      </c>
      <c r="D656" s="130" t="s">
        <v>105</v>
      </c>
      <c r="E656" s="130" t="s">
        <v>363</v>
      </c>
      <c r="F656" s="130" t="s">
        <v>144</v>
      </c>
      <c r="G656" s="131" t="s">
        <v>992</v>
      </c>
      <c r="H656" s="137">
        <v>0</v>
      </c>
      <c r="I656" s="137">
        <v>0</v>
      </c>
      <c r="J656" s="132">
        <v>0</v>
      </c>
      <c r="K656" s="133" t="s">
        <v>398</v>
      </c>
      <c r="L656" s="177" t="s">
        <v>153</v>
      </c>
      <c r="M656" s="173" t="s">
        <v>401</v>
      </c>
      <c r="N656" s="130" t="s">
        <v>197</v>
      </c>
      <c r="O656" s="173" t="s">
        <v>945</v>
      </c>
      <c r="P656" s="173" t="s">
        <v>348</v>
      </c>
      <c r="Q656" s="134" t="s">
        <v>766</v>
      </c>
      <c r="R656" s="173" t="s">
        <v>208</v>
      </c>
      <c r="S656" s="173" t="str">
        <f>MID(PAA[[#This Row],[Meta Proyecto de Inversión]],1,4)</f>
        <v>8126</v>
      </c>
      <c r="T656" s="173" t="str">
        <f>MID(PAA[[#This Row],[Meta Proyecto de Inversión]],6,1)</f>
        <v>9</v>
      </c>
      <c r="U656" s="178" t="str">
        <f>IFERROR(VLOOKUP(N656,TD!$B$50:$F$54,2,0)," ")</f>
        <v>O230117</v>
      </c>
      <c r="V656" s="178" t="str">
        <f>IFERROR(VLOOKUP(N656,TD!$B$50:$F$54,3,0)," ")</f>
        <v>4599</v>
      </c>
      <c r="W656" s="178">
        <f>IFERROR(VLOOKUP(N656,TD!$B$50:$F$54,4,0)," ")</f>
        <v>20240207</v>
      </c>
      <c r="X656" s="173" t="s">
        <v>174</v>
      </c>
      <c r="Y656" s="163" t="str">
        <f>IFERROR(VLOOKUP(X656,TD!$J$51:$K$64,2,0)," ")</f>
        <v>Infraestructura física, mantenimiento y dotación (Sedes construidas, mantenidas reforzadas)</v>
      </c>
      <c r="Z656" s="175" t="str">
        <f>CONCATENATE(X656,"-",Y656)</f>
        <v>08-Infraestructura física, mantenimiento y dotación (Sedes construidas, mantenidas reforzadas)</v>
      </c>
      <c r="AA656" s="173" t="s">
        <v>227</v>
      </c>
      <c r="AB656" s="163" t="str">
        <f>IFERROR(VLOOKUP(AA656,TD!$N$51:$O$66,2,0)," ")</f>
        <v>Sedes mantenidas</v>
      </c>
      <c r="AC656" s="175" t="str">
        <f>CONCATENATE(AA656,"_",AB656)</f>
        <v>016_Sedes mantenidas</v>
      </c>
      <c r="AD656" s="175" t="str">
        <f>CONCATENATE(Z656," ",AC656)</f>
        <v>08-Infraestructura física, mantenimiento y dotación (Sedes construidas, mantenidas reforzadas) 016_Sedes mantenidas</v>
      </c>
      <c r="AE656" s="178" t="str">
        <f>CONCATENATE(U656,V656,W656,X656,AA656)</f>
        <v>O23011745992024020708016</v>
      </c>
      <c r="AF656" s="163" t="str">
        <f>IFERROR(VLOOKUP(AD656,TD!$J$66:$K$89,2,0)," ")</f>
        <v>PM/0131/0108/45990160207</v>
      </c>
      <c r="AG656" s="135" t="s">
        <v>385</v>
      </c>
      <c r="AH656" s="180" t="s">
        <v>194</v>
      </c>
      <c r="AI656" s="183" t="str">
        <f>CONCATENATE(PAA[[#This Row],[Id Interno]],"-",PAA[[#This Row],[tipo de Contrato (TH talento humano - B/S bienes y/o servicios)]],"-",S656,"-",T656,"-",PAA[[#This Row],[Objeto de la contratación]])</f>
        <v>20260647-TH-8126-9-Congelamiento recursos 5% proyecto 8126</v>
      </c>
    </row>
    <row r="657" spans="2:35" ht="70" x14ac:dyDescent="0.35">
      <c r="B657" s="142">
        <v>20260648</v>
      </c>
      <c r="C657" s="121" t="s">
        <v>988</v>
      </c>
      <c r="D657" s="130" t="s">
        <v>105</v>
      </c>
      <c r="E657" s="130" t="s">
        <v>363</v>
      </c>
      <c r="F657" s="130" t="s">
        <v>144</v>
      </c>
      <c r="G657" s="131" t="s">
        <v>992</v>
      </c>
      <c r="H657" s="137">
        <v>0</v>
      </c>
      <c r="I657" s="137">
        <v>0</v>
      </c>
      <c r="J657" s="132"/>
      <c r="K657" s="133" t="s">
        <v>398</v>
      </c>
      <c r="L657" s="177" t="s">
        <v>154</v>
      </c>
      <c r="M657" s="173" t="s">
        <v>401</v>
      </c>
      <c r="N657" s="130" t="s">
        <v>197</v>
      </c>
      <c r="O657" s="173" t="s">
        <v>945</v>
      </c>
      <c r="P657" s="173" t="s">
        <v>348</v>
      </c>
      <c r="Q657" s="134" t="s">
        <v>766</v>
      </c>
      <c r="R657" s="173" t="s">
        <v>208</v>
      </c>
      <c r="S657" s="173" t="str">
        <f>MID(PAA[[#This Row],[Meta Proyecto de Inversión]],1,4)</f>
        <v>8126</v>
      </c>
      <c r="T657" s="173" t="str">
        <f>MID(PAA[[#This Row],[Meta Proyecto de Inversión]],6,1)</f>
        <v>9</v>
      </c>
      <c r="U657" s="178" t="str">
        <f>IFERROR(VLOOKUP(N657,TD!$B$50:$F$54,2,0)," ")</f>
        <v>O230117</v>
      </c>
      <c r="V657" s="178" t="str">
        <f>IFERROR(VLOOKUP(N657,TD!$B$50:$F$54,3,0)," ")</f>
        <v>4599</v>
      </c>
      <c r="W657" s="178">
        <f>IFERROR(VLOOKUP(N657,TD!$B$50:$F$54,4,0)," ")</f>
        <v>20240207</v>
      </c>
      <c r="X657" s="173" t="s">
        <v>174</v>
      </c>
      <c r="Y657" s="163" t="str">
        <f>IFERROR(VLOOKUP(X657,TD!$J$51:$K$64,2,0)," ")</f>
        <v>Infraestructura física, mantenimiento y dotación (Sedes construidas, mantenidas reforzadas)</v>
      </c>
      <c r="Z657" s="175" t="str">
        <f>CONCATENATE(X657,"-",Y657)</f>
        <v>08-Infraestructura física, mantenimiento y dotación (Sedes construidas, mantenidas reforzadas)</v>
      </c>
      <c r="AA657" s="173" t="s">
        <v>227</v>
      </c>
      <c r="AB657" s="163" t="str">
        <f>IFERROR(VLOOKUP(AA657,TD!$N$51:$O$66,2,0)," ")</f>
        <v>Sedes mantenidas</v>
      </c>
      <c r="AC657" s="175" t="str">
        <f>CONCATENATE(AA657,"_",AB657)</f>
        <v>016_Sedes mantenidas</v>
      </c>
      <c r="AD657" s="175" t="str">
        <f>CONCATENATE(Z657," ",AC657)</f>
        <v>08-Infraestructura física, mantenimiento y dotación (Sedes construidas, mantenidas reforzadas) 016_Sedes mantenidas</v>
      </c>
      <c r="AE657" s="178" t="str">
        <f>CONCATENATE(U657,V657,W657,X657,AA657)</f>
        <v>O23011745992024020708016</v>
      </c>
      <c r="AF657" s="163" t="str">
        <f>IFERROR(VLOOKUP(AD657,TD!$J$66:$K$89,2,0)," ")</f>
        <v>PM/0131/0108/45990160207</v>
      </c>
      <c r="AG657" s="135" t="s">
        <v>385</v>
      </c>
      <c r="AH657" s="180" t="s">
        <v>194</v>
      </c>
      <c r="AI657" s="183" t="str">
        <f>CONCATENATE(PAA[[#This Row],[Id Interno]],"-",PAA[[#This Row],[tipo de Contrato (TH talento humano - B/S bienes y/o servicios)]],"-",S657,"-",T657,"-",PAA[[#This Row],[Objeto de la contratación]])</f>
        <v>20260648-TH-8126-9-Congelamiento recursos 5% proyecto 8126</v>
      </c>
    </row>
    <row r="658" spans="2:35" ht="112" x14ac:dyDescent="0.35">
      <c r="B658" s="142">
        <v>20260649</v>
      </c>
      <c r="C658" s="121" t="s">
        <v>988</v>
      </c>
      <c r="D658" s="130" t="s">
        <v>83</v>
      </c>
      <c r="E658" s="130" t="s">
        <v>402</v>
      </c>
      <c r="F658" s="130" t="s">
        <v>136</v>
      </c>
      <c r="G658" s="131" t="s">
        <v>992</v>
      </c>
      <c r="H658" s="137">
        <v>0</v>
      </c>
      <c r="I658" s="137">
        <v>0</v>
      </c>
      <c r="J658" s="132">
        <v>0</v>
      </c>
      <c r="K658" s="133" t="s">
        <v>398</v>
      </c>
      <c r="L658" s="177" t="s">
        <v>155</v>
      </c>
      <c r="M658" s="173" t="s">
        <v>422</v>
      </c>
      <c r="N658" s="130" t="s">
        <v>197</v>
      </c>
      <c r="O658" s="173" t="s">
        <v>945</v>
      </c>
      <c r="P658" s="173" t="s">
        <v>348</v>
      </c>
      <c r="Q658" s="134" t="s">
        <v>957</v>
      </c>
      <c r="R658" s="173" t="s">
        <v>207</v>
      </c>
      <c r="S658" s="173" t="str">
        <f>MID(PAA[[#This Row],[Meta Proyecto de Inversión]],1,4)</f>
        <v>8126</v>
      </c>
      <c r="T658" s="173" t="str">
        <f>MID(PAA[[#This Row],[Meta Proyecto de Inversión]],6,1)</f>
        <v>8</v>
      </c>
      <c r="U658" s="178" t="str">
        <f>IFERROR(VLOOKUP(N658,TD!$B$50:$F$54,2,0)," ")</f>
        <v>O230117</v>
      </c>
      <c r="V658" s="178" t="str">
        <f>IFERROR(VLOOKUP(N658,TD!$B$50:$F$54,3,0)," ")</f>
        <v>4599</v>
      </c>
      <c r="W658" s="178">
        <f>IFERROR(VLOOKUP(N658,TD!$B$50:$F$54,4,0)," ")</f>
        <v>20240207</v>
      </c>
      <c r="X658" s="173" t="s">
        <v>174</v>
      </c>
      <c r="Y658" s="163" t="str">
        <f>IFERROR(VLOOKUP(X658,TD!$J$51:$K$64,2,0)," ")</f>
        <v>Infraestructura física, mantenimiento y dotación (Sedes construidas, mantenidas reforzadas)</v>
      </c>
      <c r="Z658" s="175" t="str">
        <f>CONCATENATE(X658,"-",Y658)</f>
        <v>08-Infraestructura física, mantenimiento y dotación (Sedes construidas, mantenidas reforzadas)</v>
      </c>
      <c r="AA658" s="173" t="s">
        <v>227</v>
      </c>
      <c r="AB658" s="163" t="str">
        <f>IFERROR(VLOOKUP(AA658,TD!$N$51:$O$66,2,0)," ")</f>
        <v>Sedes mantenidas</v>
      </c>
      <c r="AC658" s="175" t="str">
        <f>CONCATENATE(AA658,"_",AB658)</f>
        <v>016_Sedes mantenidas</v>
      </c>
      <c r="AD658" s="175" t="str">
        <f>CONCATENATE(Z658," ",AC658)</f>
        <v>08-Infraestructura física, mantenimiento y dotación (Sedes construidas, mantenidas reforzadas) 016_Sedes mantenidas</v>
      </c>
      <c r="AE658" s="178" t="str">
        <f>CONCATENATE(U658,V658,W658,X658,AA658)</f>
        <v>O23011745992024020708016</v>
      </c>
      <c r="AF658" s="163" t="str">
        <f>IFERROR(VLOOKUP(AD658,TD!$J$66:$K$89,2,0)," ")</f>
        <v>PM/0131/0108/45990160207</v>
      </c>
      <c r="AG658" s="135" t="s">
        <v>80</v>
      </c>
      <c r="AH658" s="180" t="s">
        <v>194</v>
      </c>
      <c r="AI658" s="183" t="str">
        <f>CONCATENATE(PAA[[#This Row],[Id Interno]],"-",PAA[[#This Row],[tipo de Contrato (TH talento humano - B/S bienes y/o servicios)]],"-",S658,"-",T658,"-",PAA[[#This Row],[Objeto de la contratación]])</f>
        <v>20260649-BS-8126-8-Congelamiento recursos 5% proyecto 8126</v>
      </c>
    </row>
    <row r="659" spans="2:35" ht="98" x14ac:dyDescent="0.35">
      <c r="B659" s="142">
        <v>20260650</v>
      </c>
      <c r="C659" s="121" t="s">
        <v>988</v>
      </c>
      <c r="D659" s="130" t="s">
        <v>78</v>
      </c>
      <c r="E659" s="130" t="s">
        <v>402</v>
      </c>
      <c r="F659" s="130" t="s">
        <v>97</v>
      </c>
      <c r="G659" s="131" t="s">
        <v>992</v>
      </c>
      <c r="H659" s="137">
        <v>0</v>
      </c>
      <c r="I659" s="137">
        <v>0</v>
      </c>
      <c r="J659" s="132">
        <v>0</v>
      </c>
      <c r="K659" s="133" t="s">
        <v>398</v>
      </c>
      <c r="L659" s="177" t="s">
        <v>155</v>
      </c>
      <c r="M659" s="173" t="s">
        <v>422</v>
      </c>
      <c r="N659" s="130" t="s">
        <v>197</v>
      </c>
      <c r="O659" s="173" t="s">
        <v>945</v>
      </c>
      <c r="P659" s="173" t="s">
        <v>348</v>
      </c>
      <c r="Q659" s="134" t="s">
        <v>775</v>
      </c>
      <c r="R659" s="173" t="s">
        <v>207</v>
      </c>
      <c r="S659" s="173" t="str">
        <f>MID(PAA[[#This Row],[Meta Proyecto de Inversión]],1,4)</f>
        <v>8126</v>
      </c>
      <c r="T659" s="173" t="str">
        <f>MID(PAA[[#This Row],[Meta Proyecto de Inversión]],6,1)</f>
        <v>8</v>
      </c>
      <c r="U659" s="178" t="str">
        <f>IFERROR(VLOOKUP(N659,TD!$B$50:$F$54,2,0)," ")</f>
        <v>O230117</v>
      </c>
      <c r="V659" s="178" t="str">
        <f>IFERROR(VLOOKUP(N659,TD!$B$50:$F$54,3,0)," ")</f>
        <v>4599</v>
      </c>
      <c r="W659" s="178">
        <f>IFERROR(VLOOKUP(N659,TD!$B$50:$F$54,4,0)," ")</f>
        <v>20240207</v>
      </c>
      <c r="X659" s="173" t="s">
        <v>174</v>
      </c>
      <c r="Y659" s="163" t="str">
        <f>IFERROR(VLOOKUP(X659,TD!$J$51:$K$64,2,0)," ")</f>
        <v>Infraestructura física, mantenimiento y dotación (Sedes construidas, mantenidas reforzadas)</v>
      </c>
      <c r="Z659" s="175" t="str">
        <f>CONCATENATE(X659,"-",Y659)</f>
        <v>08-Infraestructura física, mantenimiento y dotación (Sedes construidas, mantenidas reforzadas)</v>
      </c>
      <c r="AA659" s="173" t="s">
        <v>227</v>
      </c>
      <c r="AB659" s="163" t="str">
        <f>IFERROR(VLOOKUP(AA659,TD!$N$51:$O$66,2,0)," ")</f>
        <v>Sedes mantenidas</v>
      </c>
      <c r="AC659" s="175" t="str">
        <f>CONCATENATE(AA659,"_",AB659)</f>
        <v>016_Sedes mantenidas</v>
      </c>
      <c r="AD659" s="175" t="str">
        <f>CONCATENATE(Z659," ",AC659)</f>
        <v>08-Infraestructura física, mantenimiento y dotación (Sedes construidas, mantenidas reforzadas) 016_Sedes mantenidas</v>
      </c>
      <c r="AE659" s="178" t="str">
        <f>CONCATENATE(U659,V659,W659,X659,AA659)</f>
        <v>O23011745992024020708016</v>
      </c>
      <c r="AF659" s="163" t="str">
        <f>IFERROR(VLOOKUP(AD659,TD!$J$66:$K$89,2,0)," ")</f>
        <v>PM/0131/0108/45990160207</v>
      </c>
      <c r="AG659" s="135" t="s">
        <v>94</v>
      </c>
      <c r="AH659" s="180" t="s">
        <v>194</v>
      </c>
      <c r="AI659" s="183" t="str">
        <f>CONCATENATE(PAA[[#This Row],[Id Interno]],"-",PAA[[#This Row],[tipo de Contrato (TH talento humano - B/S bienes y/o servicios)]],"-",S659,"-",T659,"-",PAA[[#This Row],[Objeto de la contratación]])</f>
        <v>20260650-BS-8126-8-Congelamiento recursos 5% proyecto 8126</v>
      </c>
    </row>
    <row r="660" spans="2:35" ht="56" x14ac:dyDescent="0.35">
      <c r="B660" s="142">
        <v>20260651</v>
      </c>
      <c r="C660" s="121" t="s">
        <v>988</v>
      </c>
      <c r="D660" s="130" t="s">
        <v>114</v>
      </c>
      <c r="E660" s="130" t="s">
        <v>402</v>
      </c>
      <c r="F660" s="130" t="s">
        <v>89</v>
      </c>
      <c r="G660" s="131" t="s">
        <v>992</v>
      </c>
      <c r="H660" s="137">
        <v>0</v>
      </c>
      <c r="I660" s="137">
        <v>0</v>
      </c>
      <c r="J660" s="132">
        <v>0</v>
      </c>
      <c r="K660" s="133" t="s">
        <v>398</v>
      </c>
      <c r="L660" s="177" t="s">
        <v>155</v>
      </c>
      <c r="M660" s="173" t="s">
        <v>422</v>
      </c>
      <c r="N660" s="130" t="s">
        <v>197</v>
      </c>
      <c r="O660" s="173" t="s">
        <v>945</v>
      </c>
      <c r="P660" s="173" t="s">
        <v>348</v>
      </c>
      <c r="Q660" s="134" t="s">
        <v>767</v>
      </c>
      <c r="R660" s="173" t="s">
        <v>207</v>
      </c>
      <c r="S660" s="173" t="str">
        <f>MID(PAA[[#This Row],[Meta Proyecto de Inversión]],1,4)</f>
        <v>8126</v>
      </c>
      <c r="T660" s="173" t="str">
        <f>MID(PAA[[#This Row],[Meta Proyecto de Inversión]],6,1)</f>
        <v>8</v>
      </c>
      <c r="U660" s="178" t="str">
        <f>IFERROR(VLOOKUP(N660,TD!$B$50:$F$54,2,0)," ")</f>
        <v>O230117</v>
      </c>
      <c r="V660" s="178" t="str">
        <f>IFERROR(VLOOKUP(N660,TD!$B$50:$F$54,3,0)," ")</f>
        <v>4599</v>
      </c>
      <c r="W660" s="178">
        <f>IFERROR(VLOOKUP(N660,TD!$B$50:$F$54,4,0)," ")</f>
        <v>20240207</v>
      </c>
      <c r="X660" s="173" t="s">
        <v>174</v>
      </c>
      <c r="Y660" s="163" t="str">
        <f>IFERROR(VLOOKUP(X660,TD!$J$51:$K$64,2,0)," ")</f>
        <v>Infraestructura física, mantenimiento y dotación (Sedes construidas, mantenidas reforzadas)</v>
      </c>
      <c r="Z660" s="175" t="str">
        <f>CONCATENATE(X660,"-",Y660)</f>
        <v>08-Infraestructura física, mantenimiento y dotación (Sedes construidas, mantenidas reforzadas)</v>
      </c>
      <c r="AA660" s="173" t="s">
        <v>227</v>
      </c>
      <c r="AB660" s="163" t="str">
        <f>IFERROR(VLOOKUP(AA660,TD!$N$51:$O$66,2,0)," ")</f>
        <v>Sedes mantenidas</v>
      </c>
      <c r="AC660" s="175" t="str">
        <f>CONCATENATE(AA660,"_",AB660)</f>
        <v>016_Sedes mantenidas</v>
      </c>
      <c r="AD660" s="175" t="str">
        <f>CONCATENATE(Z660," ",AC660)</f>
        <v>08-Infraestructura física, mantenimiento y dotación (Sedes construidas, mantenidas reforzadas) 016_Sedes mantenidas</v>
      </c>
      <c r="AE660" s="178" t="str">
        <f>CONCATENATE(U660,V660,W660,X660,AA660)</f>
        <v>O23011745992024020708016</v>
      </c>
      <c r="AF660" s="163" t="str">
        <f>IFERROR(VLOOKUP(AD660,TD!$J$66:$K$89,2,0)," ")</f>
        <v>PM/0131/0108/45990160207</v>
      </c>
      <c r="AG660" s="135" t="s">
        <v>134</v>
      </c>
      <c r="AH660" s="180" t="s">
        <v>194</v>
      </c>
      <c r="AI660" s="183" t="str">
        <f>CONCATENATE(PAA[[#This Row],[Id Interno]],"-",PAA[[#This Row],[tipo de Contrato (TH talento humano - B/S bienes y/o servicios)]],"-",S660,"-",T660,"-",PAA[[#This Row],[Objeto de la contratación]])</f>
        <v>20260651-BS-8126-8-Congelamiento recursos 5% proyecto 8126</v>
      </c>
    </row>
    <row r="661" spans="2:35" ht="70" x14ac:dyDescent="0.35">
      <c r="B661" s="142">
        <v>20260652</v>
      </c>
      <c r="C661" s="121" t="s">
        <v>994</v>
      </c>
      <c r="D661" s="130" t="s">
        <v>105</v>
      </c>
      <c r="E661" s="130" t="s">
        <v>363</v>
      </c>
      <c r="F661" s="130" t="s">
        <v>144</v>
      </c>
      <c r="G661" s="131" t="s">
        <v>373</v>
      </c>
      <c r="H661" s="137">
        <v>7</v>
      </c>
      <c r="I661" s="137">
        <v>0</v>
      </c>
      <c r="J661" s="132">
        <v>55300000</v>
      </c>
      <c r="K661" s="133" t="s">
        <v>398</v>
      </c>
      <c r="L661" s="177" t="s">
        <v>154</v>
      </c>
      <c r="M661" s="173" t="s">
        <v>451</v>
      </c>
      <c r="N661" s="130" t="s">
        <v>198</v>
      </c>
      <c r="O661" s="173" t="s">
        <v>946</v>
      </c>
      <c r="P661" s="173" t="s">
        <v>348</v>
      </c>
      <c r="Q661" s="134">
        <v>80111600</v>
      </c>
      <c r="R661" s="173" t="s">
        <v>218</v>
      </c>
      <c r="S661" s="173" t="str">
        <f>MID(PAA[[#This Row],[Meta Proyecto de Inversión]],1,4)</f>
        <v>8173</v>
      </c>
      <c r="T661" s="173" t="str">
        <f>MID(PAA[[#This Row],[Meta Proyecto de Inversión]],6,1)</f>
        <v>9</v>
      </c>
      <c r="U661" s="178" t="str">
        <f>IFERROR(VLOOKUP(N661,TD!$B$50:$F$54,2,0)," ")</f>
        <v>O230117</v>
      </c>
      <c r="V661" s="178" t="str">
        <f>IFERROR(VLOOKUP(N661,TD!$B$50:$F$54,3,0)," ")</f>
        <v>4503</v>
      </c>
      <c r="W661" s="178">
        <f>IFERROR(VLOOKUP(N661,TD!$B$50:$F$54,4,0)," ")</f>
        <v>20240255</v>
      </c>
      <c r="X661" s="173" t="s">
        <v>172</v>
      </c>
      <c r="Y661" s="163" t="str">
        <f>IFERROR(VLOOKUP(X661,TD!$J$51:$K$64,2,0)," ")</f>
        <v>Servicio de formación en gestión del riesgo de incendios para el personal UAECOB</v>
      </c>
      <c r="Z661" s="175" t="str">
        <f>CONCATENATE(X661,"-",Y661)</f>
        <v>07-Servicio de formación en gestión del riesgo de incendios para el personal UAECOB</v>
      </c>
      <c r="AA661" s="173" t="s">
        <v>222</v>
      </c>
      <c r="AB661" s="163" t="str">
        <f>IFERROR(VLOOKUP(AA661,TD!$N$51:$O$66,2,0)," ")</f>
        <v>Servicio de educación informal</v>
      </c>
      <c r="AC661" s="175" t="str">
        <f>CONCATENATE(AA661,"_",AB661)</f>
        <v>002_Servicio de educación informal</v>
      </c>
      <c r="AD661" s="175" t="str">
        <f>CONCATENATE(Z661," ",AC661)</f>
        <v>07-Servicio de formación en gestión del riesgo de incendios para el personal UAECOB 002_Servicio de educación informal</v>
      </c>
      <c r="AE661" s="178" t="str">
        <f>CONCATENATE(U661,V661,W661,X661,AA661)</f>
        <v>O23011745032024025507002</v>
      </c>
      <c r="AF661" s="163" t="str">
        <f>IFERROR(VLOOKUP(AD661,TD!$J$66:$K$89,2,0)," ")</f>
        <v>PM/0131/0107/45030020255</v>
      </c>
      <c r="AG661" s="135" t="s">
        <v>385</v>
      </c>
      <c r="AH661" s="180" t="s">
        <v>193</v>
      </c>
      <c r="AI661" s="181" t="str">
        <f>CONCATENATE(PAA[[#This Row],[Id Interno]],"-",PAA[[#This Row],[tipo de Contrato (TH talento humano - B/S bienes y/o servicios)]],"-",S661,"-",T661,"-",PAA[[#This Row],[Objeto de la contratación]])</f>
        <v xml:space="preserve">20260652-TH-8173-9-SGH - Prestar servicios profesionales en la Subdirección de Gestión Humana, enfocados en el análisis de datos , estadística, gestión financiera  y apoyo a temas de proyección presupuestal en el marco de la estrategia de fortalecimiento institucional. </v>
      </c>
    </row>
    <row r="662" spans="2:35" ht="56" x14ac:dyDescent="0.35">
      <c r="B662" s="142">
        <v>20260653</v>
      </c>
      <c r="C662" s="121" t="s">
        <v>995</v>
      </c>
      <c r="D662" s="130" t="s">
        <v>105</v>
      </c>
      <c r="E662" s="130" t="s">
        <v>363</v>
      </c>
      <c r="F662" s="130" t="s">
        <v>145</v>
      </c>
      <c r="G662" s="131" t="s">
        <v>373</v>
      </c>
      <c r="H662" s="137">
        <v>7</v>
      </c>
      <c r="I662" s="137">
        <v>0</v>
      </c>
      <c r="J662" s="132">
        <v>28000000</v>
      </c>
      <c r="K662" s="133" t="s">
        <v>398</v>
      </c>
      <c r="L662" s="177" t="s">
        <v>154</v>
      </c>
      <c r="M662" s="173" t="s">
        <v>451</v>
      </c>
      <c r="N662" s="130" t="s">
        <v>198</v>
      </c>
      <c r="O662" s="173" t="s">
        <v>946</v>
      </c>
      <c r="P662" s="173" t="s">
        <v>348</v>
      </c>
      <c r="Q662" s="134">
        <v>80111600</v>
      </c>
      <c r="R662" s="173" t="s">
        <v>218</v>
      </c>
      <c r="S662" s="173" t="str">
        <f>MID(PAA[[#This Row],[Meta Proyecto de Inversión]],1,4)</f>
        <v>8173</v>
      </c>
      <c r="T662" s="173" t="str">
        <f>MID(PAA[[#This Row],[Meta Proyecto de Inversión]],6,1)</f>
        <v>9</v>
      </c>
      <c r="U662" s="178" t="str">
        <f>IFERROR(VLOOKUP(N662,TD!$B$50:$F$54,2,0)," ")</f>
        <v>O230117</v>
      </c>
      <c r="V662" s="178" t="str">
        <f>IFERROR(VLOOKUP(N662,TD!$B$50:$F$54,3,0)," ")</f>
        <v>4503</v>
      </c>
      <c r="W662" s="178">
        <f>IFERROR(VLOOKUP(N662,TD!$B$50:$F$54,4,0)," ")</f>
        <v>20240255</v>
      </c>
      <c r="X662" s="173" t="s">
        <v>172</v>
      </c>
      <c r="Y662" s="163" t="str">
        <f>IFERROR(VLOOKUP(X662,TD!$J$51:$K$64,2,0)," ")</f>
        <v>Servicio de formación en gestión del riesgo de incendios para el personal UAECOB</v>
      </c>
      <c r="Z662" s="175" t="str">
        <f>CONCATENATE(X662,"-",Y662)</f>
        <v>07-Servicio de formación en gestión del riesgo de incendios para el personal UAECOB</v>
      </c>
      <c r="AA662" s="173" t="s">
        <v>222</v>
      </c>
      <c r="AB662" s="163" t="str">
        <f>IFERROR(VLOOKUP(AA662,TD!$N$51:$O$66,2,0)," ")</f>
        <v>Servicio de educación informal</v>
      </c>
      <c r="AC662" s="175" t="str">
        <f>CONCATENATE(AA662,"_",AB662)</f>
        <v>002_Servicio de educación informal</v>
      </c>
      <c r="AD662" s="175" t="str">
        <f>CONCATENATE(Z662," ",AC662)</f>
        <v>07-Servicio de formación en gestión del riesgo de incendios para el personal UAECOB 002_Servicio de educación informal</v>
      </c>
      <c r="AE662" s="178" t="str">
        <f>CONCATENATE(U662,V662,W662,X662,AA662)</f>
        <v>O23011745032024025507002</v>
      </c>
      <c r="AF662" s="163" t="str">
        <f>IFERROR(VLOOKUP(AD662,TD!$J$66:$K$89,2,0)," ")</f>
        <v>PM/0131/0107/45030020255</v>
      </c>
      <c r="AG662" s="135" t="s">
        <v>385</v>
      </c>
      <c r="AH662" s="180" t="s">
        <v>193</v>
      </c>
      <c r="AI662" s="181" t="str">
        <f>CONCATENATE(PAA[[#This Row],[Id Interno]],"-",PAA[[#This Row],[tipo de Contrato (TH talento humano - B/S bienes y/o servicios)]],"-",S662,"-",T662,"-",PAA[[#This Row],[Objeto de la contratación]])</f>
        <v>20260653-TH-8173-9-SGH - Prestar servicios de apoyo a la gestión en la Subdirección de Gestión Humana de la UAE Cuerpo Oficial de Bomberos, atendiendo los requerimientos del área de nómina y apoyando las actividades que le sean asignadas, de conformidad con las necesidades institucionales y los lineamientos establecidos, con el objetivo de fortalecer las capacidades institucionales.</v>
      </c>
    </row>
    <row r="663" spans="2:35" ht="70" x14ac:dyDescent="0.35">
      <c r="B663" s="142">
        <v>20260654</v>
      </c>
      <c r="C663" s="121" t="s">
        <v>996</v>
      </c>
      <c r="D663" s="130" t="s">
        <v>105</v>
      </c>
      <c r="E663" s="130" t="s">
        <v>363</v>
      </c>
      <c r="F663" s="130" t="s">
        <v>144</v>
      </c>
      <c r="G663" s="131" t="s">
        <v>373</v>
      </c>
      <c r="H663" s="137">
        <v>6</v>
      </c>
      <c r="I663" s="137">
        <v>0</v>
      </c>
      <c r="J663" s="132">
        <v>45000000</v>
      </c>
      <c r="K663" s="133" t="s">
        <v>398</v>
      </c>
      <c r="L663" s="177" t="s">
        <v>154</v>
      </c>
      <c r="M663" s="173" t="s">
        <v>451</v>
      </c>
      <c r="N663" s="130" t="s">
        <v>198</v>
      </c>
      <c r="O663" s="173" t="s">
        <v>946</v>
      </c>
      <c r="P663" s="173" t="s">
        <v>348</v>
      </c>
      <c r="Q663" s="134">
        <v>80111600</v>
      </c>
      <c r="R663" s="173" t="s">
        <v>218</v>
      </c>
      <c r="S663" s="173" t="str">
        <f>MID(PAA[[#This Row],[Meta Proyecto de Inversión]],1,4)</f>
        <v>8173</v>
      </c>
      <c r="T663" s="173" t="str">
        <f>MID(PAA[[#This Row],[Meta Proyecto de Inversión]],6,1)</f>
        <v>9</v>
      </c>
      <c r="U663" s="178" t="str">
        <f>IFERROR(VLOOKUP(N663,TD!$B$50:$F$54,2,0)," ")</f>
        <v>O230117</v>
      </c>
      <c r="V663" s="178" t="str">
        <f>IFERROR(VLOOKUP(N663,TD!$B$50:$F$54,3,0)," ")</f>
        <v>4503</v>
      </c>
      <c r="W663" s="178">
        <f>IFERROR(VLOOKUP(N663,TD!$B$50:$F$54,4,0)," ")</f>
        <v>20240255</v>
      </c>
      <c r="X663" s="173" t="s">
        <v>172</v>
      </c>
      <c r="Y663" s="163" t="str">
        <f>IFERROR(VLOOKUP(X663,TD!$J$51:$K$64,2,0)," ")</f>
        <v>Servicio de formación en gestión del riesgo de incendios para el personal UAECOB</v>
      </c>
      <c r="Z663" s="175" t="str">
        <f>CONCATENATE(X663,"-",Y663)</f>
        <v>07-Servicio de formación en gestión del riesgo de incendios para el personal UAECOB</v>
      </c>
      <c r="AA663" s="173" t="s">
        <v>222</v>
      </c>
      <c r="AB663" s="163" t="str">
        <f>IFERROR(VLOOKUP(AA663,TD!$N$51:$O$66,2,0)," ")</f>
        <v>Servicio de educación informal</v>
      </c>
      <c r="AC663" s="175" t="str">
        <f>CONCATENATE(AA663,"_",AB663)</f>
        <v>002_Servicio de educación informal</v>
      </c>
      <c r="AD663" s="175" t="str">
        <f>CONCATENATE(Z663," ",AC663)</f>
        <v>07-Servicio de formación en gestión del riesgo de incendios para el personal UAECOB 002_Servicio de educación informal</v>
      </c>
      <c r="AE663" s="178" t="str">
        <f>CONCATENATE(U663,V663,W663,X663,AA663)</f>
        <v>O23011745032024025507002</v>
      </c>
      <c r="AF663" s="163" t="str">
        <f>IFERROR(VLOOKUP(AD663,TD!$J$66:$K$89,2,0)," ")</f>
        <v>PM/0131/0107/45030020255</v>
      </c>
      <c r="AG663" s="135" t="s">
        <v>385</v>
      </c>
      <c r="AH663" s="180" t="s">
        <v>193</v>
      </c>
      <c r="AI663" s="181" t="str">
        <f>CONCATENATE(PAA[[#This Row],[Id Interno]],"-",PAA[[#This Row],[tipo de Contrato (TH talento humano - B/S bienes y/o servicios)]],"-",S663,"-",T663,"-",PAA[[#This Row],[Objeto de la contratación]])</f>
        <v>20260654-TH-8173-9-SGH - Prestar servicios profesionales en la Subdirección de Gestión Humana, enfocados al ajuste y actualización de los manuales de funciones, y demas documentos administrativos  y operativos de acuerdo a la planta propuesta, en el marco de la estrategia de fortalecimiento y rediseño institucional.</v>
      </c>
    </row>
    <row r="664" spans="2:35" ht="70" x14ac:dyDescent="0.35">
      <c r="B664" s="142">
        <v>20260655</v>
      </c>
      <c r="C664" s="121" t="s">
        <v>819</v>
      </c>
      <c r="D664" s="130" t="s">
        <v>83</v>
      </c>
      <c r="E664" s="130" t="s">
        <v>402</v>
      </c>
      <c r="F664" s="130" t="s">
        <v>124</v>
      </c>
      <c r="G664" s="131" t="s">
        <v>375</v>
      </c>
      <c r="H664" s="137">
        <v>3</v>
      </c>
      <c r="I664" s="137">
        <v>0</v>
      </c>
      <c r="J664" s="132">
        <v>400000000</v>
      </c>
      <c r="K664" s="133" t="s">
        <v>398</v>
      </c>
      <c r="L664" s="177" t="s">
        <v>156</v>
      </c>
      <c r="M664" s="173" t="s">
        <v>502</v>
      </c>
      <c r="N664" s="130" t="s">
        <v>198</v>
      </c>
      <c r="O664" s="173" t="s">
        <v>946</v>
      </c>
      <c r="P664" s="173" t="s">
        <v>348</v>
      </c>
      <c r="Q664" s="134" t="s">
        <v>1000</v>
      </c>
      <c r="R664" s="173" t="s">
        <v>210</v>
      </c>
      <c r="S664" s="173" t="str">
        <f>MID(PAA[[#This Row],[Meta Proyecto de Inversión]],1,4)</f>
        <v>8173</v>
      </c>
      <c r="T664" s="173" t="str">
        <f>MID(PAA[[#This Row],[Meta Proyecto de Inversión]],6,1)</f>
        <v>1</v>
      </c>
      <c r="U664" s="178" t="str">
        <f>IFERROR(VLOOKUP(N664,TD!$B$50:$F$54,2,0)," ")</f>
        <v>O230117</v>
      </c>
      <c r="V664" s="178" t="str">
        <f>IFERROR(VLOOKUP(N664,TD!$B$50:$F$54,3,0)," ")</f>
        <v>4503</v>
      </c>
      <c r="W664" s="178">
        <f>IFERROR(VLOOKUP(N664,TD!$B$50:$F$54,4,0)," ")</f>
        <v>20240255</v>
      </c>
      <c r="X664" s="173" t="s">
        <v>166</v>
      </c>
      <c r="Y664" s="163" t="str">
        <f>IFERROR(VLOOKUP(X664,TD!$J$51:$K$64,2,0)," ")</f>
        <v>Servicio de capacitaciones en gestión del riesgo de incendios  a la ciudadania.</v>
      </c>
      <c r="Z664" s="175" t="str">
        <f>CONCATENATE(X664,"-",Y664)</f>
        <v>05-Servicio de capacitaciones en gestión del riesgo de incendios  a la ciudadania.</v>
      </c>
      <c r="AA664" s="173" t="s">
        <v>223</v>
      </c>
      <c r="AB664" s="163" t="str">
        <f>IFERROR(VLOOKUP(AA664,TD!$N$51:$O$66,2,0)," ")</f>
        <v>Servicio prevención y control de incendios</v>
      </c>
      <c r="AC664" s="175" t="str">
        <f>CONCATENATE(AA664,"_",AB664)</f>
        <v>035_Servicio prevención y control de incendios</v>
      </c>
      <c r="AD664" s="175" t="str">
        <f>CONCATENATE(Z664," ",AC664)</f>
        <v>05-Servicio de capacitaciones en gestión del riesgo de incendios  a la ciudadania. 035_Servicio prevención y control de incendios</v>
      </c>
      <c r="AE664" s="178" t="str">
        <f>CONCATENATE(U664,V664,W664,X664,AA664)</f>
        <v>O23011745032024025505035</v>
      </c>
      <c r="AF664" s="163" t="str">
        <f>IFERROR(VLOOKUP(AD664,TD!$J$66:$K$89,2,0)," ")</f>
        <v>PM/0131/0105/45030350255</v>
      </c>
      <c r="AG664" s="135" t="s">
        <v>919</v>
      </c>
      <c r="AH664" s="180" t="s">
        <v>193</v>
      </c>
      <c r="AI664" s="181" t="str">
        <f>CONCATENATE(PAA[[#This Row],[Id Interno]],"-",PAA[[#This Row],[tipo de Contrato (TH talento humano - B/S bienes y/o servicios)]],"-",S664,"-",T664,"-",PAA[[#This Row],[Objeto de la contratación]])</f>
        <v>20260655-BS-8173-1-Prestación de servicios como operador logístico, relacionados con la organización, administración y ejecución de las diferentes temáticas que fortalezcan la misionalidad de la entidad a través de la protección de la vida, el medio ambiente y el patrimonio</v>
      </c>
    </row>
    <row r="665" spans="2:35" ht="42" x14ac:dyDescent="0.35">
      <c r="B665" s="142">
        <v>20260656</v>
      </c>
      <c r="C665" s="121" t="s">
        <v>1001</v>
      </c>
      <c r="D665" s="130" t="s">
        <v>114</v>
      </c>
      <c r="E665" s="130" t="s">
        <v>402</v>
      </c>
      <c r="F665" s="130" t="s">
        <v>89</v>
      </c>
      <c r="G665" s="131" t="s">
        <v>374</v>
      </c>
      <c r="H665" s="137">
        <v>3</v>
      </c>
      <c r="I665" s="137">
        <v>20</v>
      </c>
      <c r="J665" s="132">
        <v>52231036</v>
      </c>
      <c r="K665" s="133" t="s">
        <v>398</v>
      </c>
      <c r="L665" s="177" t="s">
        <v>155</v>
      </c>
      <c r="M665" s="173" t="s">
        <v>422</v>
      </c>
      <c r="N665" s="130" t="s">
        <v>330</v>
      </c>
      <c r="O665" s="173" t="s">
        <v>945</v>
      </c>
      <c r="P665" s="173" t="s">
        <v>161</v>
      </c>
      <c r="Q665" s="134" t="s">
        <v>783</v>
      </c>
      <c r="R665" s="173" t="s">
        <v>331</v>
      </c>
      <c r="S665" s="173" t="s">
        <v>1002</v>
      </c>
      <c r="T665" s="173" t="str">
        <f>MID(PAA[[#This Row],[Meta Proyecto de Inversión]],6,1)</f>
        <v>l</v>
      </c>
      <c r="U665" s="178" t="str">
        <f>IFERROR(VLOOKUP(N665,TD!$B$50:$F$54,2,0)," ")</f>
        <v>NA</v>
      </c>
      <c r="V665" s="178" t="str">
        <f>IFERROR(VLOOKUP(N665,TD!$B$50:$F$54,3,0)," ")</f>
        <v>NA</v>
      </c>
      <c r="W665" s="178" t="str">
        <f>IFERROR(VLOOKUP(N665,TD!$B$50:$F$54,4,0)," ")</f>
        <v>NA</v>
      </c>
      <c r="X665" s="173" t="s">
        <v>335</v>
      </c>
      <c r="Y665" s="163" t="str">
        <f>IFERROR(VLOOKUP(X665,TD!$J$51:$K$64,2,0)," ")</f>
        <v>N/A</v>
      </c>
      <c r="Z665" s="175" t="str">
        <f>CONCATENATE(X665,"-",Y665)</f>
        <v>N/A-N/A</v>
      </c>
      <c r="AA665" s="173" t="s">
        <v>335</v>
      </c>
      <c r="AB665" s="163" t="str">
        <f>IFERROR(VLOOKUP(AA665,TD!$N$51:$O$66,2,0)," ")</f>
        <v>N/A</v>
      </c>
      <c r="AC665" s="175" t="str">
        <f>CONCATENATE(AA665,"_",AB665)</f>
        <v>N/A_N/A</v>
      </c>
      <c r="AD665" s="175" t="str">
        <f>CONCATENATE(Z665," ",AC665)</f>
        <v>N/A-N/A N/A_N/A</v>
      </c>
      <c r="AE665" s="178" t="str">
        <f>CONCATENATE(U665,V665,W665,X665,AA665)</f>
        <v>NANANAN/AN/A</v>
      </c>
      <c r="AF665" s="163" t="str">
        <f>IFERROR(VLOOKUP(AD665,TD!$J$66:$K$89,2,0)," ")</f>
        <v>N/A</v>
      </c>
      <c r="AG665" s="135" t="s">
        <v>332</v>
      </c>
      <c r="AH665" s="180" t="s">
        <v>194</v>
      </c>
      <c r="AI665" s="181" t="str">
        <f>CONCATENATE(PAA[[#This Row],[Id Interno]],"-",PAA[[#This Row],[tipo de Contrato (TH talento humano - B/S bienes y/o servicios)]],"-",S665,"-",T665,"-",PAA[[#This Row],[Objeto de la contratación]])</f>
        <v>20260656-BS-No a-l-Adición No. 2 y prórroga No. 3 al contrato 196 de 2025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v>
      </c>
    </row>
    <row r="666" spans="2:35" ht="103" customHeight="1" x14ac:dyDescent="0.35">
      <c r="B666" s="142">
        <v>20260657</v>
      </c>
      <c r="C666" s="121" t="s">
        <v>738</v>
      </c>
      <c r="D666" s="130" t="s">
        <v>114</v>
      </c>
      <c r="E666" s="130" t="s">
        <v>402</v>
      </c>
      <c r="F666" s="130" t="s">
        <v>111</v>
      </c>
      <c r="G666" s="131" t="s">
        <v>376</v>
      </c>
      <c r="H666" s="137">
        <v>10</v>
      </c>
      <c r="I666" s="137">
        <v>0</v>
      </c>
      <c r="J666" s="132">
        <v>431001000</v>
      </c>
      <c r="K666" s="133" t="s">
        <v>398</v>
      </c>
      <c r="L666" s="177" t="s">
        <v>155</v>
      </c>
      <c r="M666" s="173" t="s">
        <v>422</v>
      </c>
      <c r="N666" s="130" t="s">
        <v>198</v>
      </c>
      <c r="O666" s="173" t="s">
        <v>946</v>
      </c>
      <c r="P666" s="173" t="s">
        <v>348</v>
      </c>
      <c r="Q666" s="134" t="s">
        <v>777</v>
      </c>
      <c r="R666" s="173" t="s">
        <v>351</v>
      </c>
      <c r="S666" s="173" t="str">
        <f>MID(PAA[[#This Row],[Meta Proyecto de Inversión]],1,4)</f>
        <v>8173</v>
      </c>
      <c r="T666" s="173" t="str">
        <f>MID(PAA[[#This Row],[Meta Proyecto de Inversión]],6,1)</f>
        <v>1</v>
      </c>
      <c r="U666" s="178" t="str">
        <f>IFERROR(VLOOKUP(N666,TD!$B$50:$F$54,2,0)," ")</f>
        <v>O230117</v>
      </c>
      <c r="V666" s="178" t="str">
        <f>IFERROR(VLOOKUP(N666,TD!$B$50:$F$54,3,0)," ")</f>
        <v>4503</v>
      </c>
      <c r="W666" s="178">
        <f>IFERROR(VLOOKUP(N666,TD!$B$50:$F$54,4,0)," ")</f>
        <v>20240255</v>
      </c>
      <c r="X666" s="173">
        <v>14</v>
      </c>
      <c r="Y666" s="163" t="str">
        <f>IFERROR(VLOOKUP(X666,TD!$J$51:$K$64,2,0)," ")</f>
        <v xml:space="preserve">Infraestructura física misional construida mantenida y dotada </v>
      </c>
      <c r="Z666" s="175" t="str">
        <f>CONCATENATE(X666,"-",Y666)</f>
        <v xml:space="preserve">14-Infraestructura física misional construida mantenida y dotada </v>
      </c>
      <c r="AA666" s="173" t="s">
        <v>225</v>
      </c>
      <c r="AB666" s="163" t="str">
        <f>IFERROR(VLOOKUP(AA666,TD!$N$51:$O$66,2,0)," ")</f>
        <v>Estaciones de bomberos adecuadas</v>
      </c>
      <c r="AC666" s="175" t="str">
        <f>CONCATENATE(AA666,"_",AB666)</f>
        <v>014_Estaciones de bomberos adecuadas</v>
      </c>
      <c r="AD666" s="175" t="str">
        <f>CONCATENATE(Z666," ",AC666)</f>
        <v>14-Infraestructura física misional construida mantenida y dotada  014_Estaciones de bomberos adecuadas</v>
      </c>
      <c r="AE666" s="178" t="str">
        <f>CONCATENATE(U666,V666,W666,X666,AA666)</f>
        <v>O23011745032024025514014</v>
      </c>
      <c r="AF666" s="163" t="str">
        <f>IFERROR(VLOOKUP(AD666,TD!$J$66:$K$89,2,0)," ")</f>
        <v>PM/0131/0114/45030140255</v>
      </c>
      <c r="AG666" s="135" t="s">
        <v>923</v>
      </c>
      <c r="AH666" s="180" t="s">
        <v>193</v>
      </c>
      <c r="AI666" s="181" t="str">
        <f>CONCATENATE(PAA[[#This Row],[Id Interno]],"-",PAA[[#This Row],[tipo de Contrato (TH talento humano - B/S bienes y/o servicios)]],"-",S666,"-",T666,"-",PAA[[#This Row],[Objeto de la contratación]])</f>
        <v>20260657-BS-8173-1-Suministro de materiales, equipos y herramientas para el mejoramiento integral de las instalaciones para la Unidad Administrativa Especial Cuerpo Oficial de Bomberos Bogotá -SGC</v>
      </c>
    </row>
    <row r="667" spans="2:35" ht="70" x14ac:dyDescent="0.35">
      <c r="B667" s="142">
        <v>20260658</v>
      </c>
      <c r="C667" s="121" t="s">
        <v>1003</v>
      </c>
      <c r="D667" s="130" t="s">
        <v>114</v>
      </c>
      <c r="E667" s="130" t="s">
        <v>402</v>
      </c>
      <c r="F667" s="130" t="s">
        <v>89</v>
      </c>
      <c r="G667" s="131" t="s">
        <v>377</v>
      </c>
      <c r="H667" s="137">
        <v>2</v>
      </c>
      <c r="I667" s="137">
        <v>0</v>
      </c>
      <c r="J667" s="132">
        <v>200000000</v>
      </c>
      <c r="K667" s="133" t="s">
        <v>398</v>
      </c>
      <c r="L667" s="177" t="s">
        <v>155</v>
      </c>
      <c r="M667" s="173" t="s">
        <v>422</v>
      </c>
      <c r="N667" s="130" t="s">
        <v>197</v>
      </c>
      <c r="O667" s="173" t="s">
        <v>945</v>
      </c>
      <c r="P667" s="173" t="s">
        <v>348</v>
      </c>
      <c r="Q667" s="134" t="s">
        <v>767</v>
      </c>
      <c r="R667" s="173" t="s">
        <v>207</v>
      </c>
      <c r="S667" s="173" t="str">
        <f>MID(PAA[[#This Row],[Meta Proyecto de Inversión]],1,4)</f>
        <v>8126</v>
      </c>
      <c r="T667" s="173" t="str">
        <f>MID(PAA[[#This Row],[Meta Proyecto de Inversión]],6,1)</f>
        <v>8</v>
      </c>
      <c r="U667" s="178" t="str">
        <f>IFERROR(VLOOKUP(N667,TD!$B$50:$F$54,2,0)," ")</f>
        <v>O230117</v>
      </c>
      <c r="V667" s="178" t="str">
        <f>IFERROR(VLOOKUP(N667,TD!$B$50:$F$54,3,0)," ")</f>
        <v>4599</v>
      </c>
      <c r="W667" s="178">
        <f>IFERROR(VLOOKUP(N667,TD!$B$50:$F$54,4,0)," ")</f>
        <v>20240207</v>
      </c>
      <c r="X667" s="173" t="s">
        <v>174</v>
      </c>
      <c r="Y667" s="163" t="str">
        <f>IFERROR(VLOOKUP(X667,TD!$J$51:$K$64,2,0)," ")</f>
        <v>Infraestructura física, mantenimiento y dotación (Sedes construidas, mantenidas reforzadas)</v>
      </c>
      <c r="Z667" s="175" t="str">
        <f>CONCATENATE(X667,"-",Y667)</f>
        <v>08-Infraestructura física, mantenimiento y dotación (Sedes construidas, mantenidas reforzadas)</v>
      </c>
      <c r="AA667" s="173" t="s">
        <v>227</v>
      </c>
      <c r="AB667" s="163" t="str">
        <f>IFERROR(VLOOKUP(AA667,TD!$N$51:$O$66,2,0)," ")</f>
        <v>Sedes mantenidas</v>
      </c>
      <c r="AC667" s="175" t="str">
        <f>CONCATENATE(AA667,"_",AB667)</f>
        <v>016_Sedes mantenidas</v>
      </c>
      <c r="AD667" s="175" t="str">
        <f>CONCATENATE(Z667," ",AC667)</f>
        <v>08-Infraestructura física, mantenimiento y dotación (Sedes construidas, mantenidas reforzadas) 016_Sedes mantenidas</v>
      </c>
      <c r="AE667" s="178" t="str">
        <f>CONCATENATE(U667,V667,W667,X667,AA667)</f>
        <v>O23011745992024020708016</v>
      </c>
      <c r="AF667" s="163" t="str">
        <f>IFERROR(VLOOKUP(AD667,TD!$J$66:$K$89,2,0)," ")</f>
        <v>PM/0131/0108/45990160207</v>
      </c>
      <c r="AG667" s="135" t="s">
        <v>134</v>
      </c>
      <c r="AH667" s="180" t="s">
        <v>194</v>
      </c>
      <c r="AI667" s="181" t="str">
        <f>CONCATENATE(PAA[[#This Row],[Id Interno]],"-",PAA[[#This Row],[tipo de Contrato (TH talento humano - B/S bienes y/o servicios)]],"-",S667,"-",T667,"-",PAA[[#This Row],[Objeto de la contratación]])</f>
        <v>20260658-BS-8126-8-Adición y prórroga No. 1 al contrato que tiene como objeto " Contratar la prestación del servicio de aseo y cafetería incluido insumos para la UAE Cuerpo Oficial de Bomberos -SGC</v>
      </c>
    </row>
  </sheetData>
  <mergeCells count="8">
    <mergeCell ref="F7:M7"/>
    <mergeCell ref="B2:F2"/>
    <mergeCell ref="F3:M3"/>
    <mergeCell ref="F4:M4"/>
    <mergeCell ref="N5:P5"/>
    <mergeCell ref="N6:P6"/>
    <mergeCell ref="F5:M5"/>
    <mergeCell ref="F6:M6"/>
  </mergeCells>
  <phoneticPr fontId="15" type="noConversion"/>
  <conditionalFormatting sqref="B12:B667">
    <cfRule type="duplicateValues" dxfId="14" priority="12"/>
  </conditionalFormatting>
  <hyperlinks>
    <hyperlink ref="O82" r:id="rId1" xr:uid="{67ED24B7-F4F9-4829-8333-FF5F4D482AA0}"/>
    <hyperlink ref="O13:O351" r:id="rId2" display="Subdirector@ de Gestión Corporativa" xr:uid="{4A323593-15EA-45D2-9634-A21BA9F6B864}"/>
    <hyperlink ref="O155" r:id="rId3" xr:uid="{81B5539B-B166-4896-9A39-27DB4B634BBD}"/>
    <hyperlink ref="O612" r:id="rId4" display="Subdirector@ de Gestión del Riesgo" xr:uid="{2DE2B215-9BB6-4D50-9C69-466623B82D83}"/>
    <hyperlink ref="O613" r:id="rId5" display="Subdirector@ de Gestión del Riesgo" xr:uid="{028CA609-76AF-4559-BA98-EFE6E22D3935}"/>
    <hyperlink ref="O161" r:id="rId6" xr:uid="{FEE9E9E5-B939-4FE7-90D7-C043A3ECF549}"/>
  </hyperlinks>
  <pageMargins left="0.7" right="0.7" top="0.75" bottom="0.75" header="0.3" footer="0.3"/>
  <pageSetup paperSize="9" scale="12" orientation="portrait" horizontalDpi="4294967294" verticalDpi="4294967294" r:id="rId7"/>
  <customProperties>
    <customPr name="EpmWorksheetKeyString_GUID" r:id="rId8"/>
  </customProperties>
  <ignoredErrors>
    <ignoredError sqref="O8" unlockedFormula="1"/>
  </ignoredErrors>
  <drawing r:id="rId9"/>
  <tableParts count="1">
    <tablePart r:id="rId10"/>
  </tableParts>
  <extLst>
    <ext xmlns:x14="http://schemas.microsoft.com/office/spreadsheetml/2009/9/main" uri="{CCE6A557-97BC-4b89-ADB6-D9C93CAAB3DF}">
      <x14:dataValidations xmlns:xm="http://schemas.microsoft.com/office/excel/2006/main" count="13">
        <x14:dataValidation type="list" allowBlank="1" showInputMessage="1" showErrorMessage="1" xr:uid="{33649DEA-794C-4C6A-8EB5-BC1A8079C3C2}">
          <x14:formula1>
            <xm:f>TD!$O$2:$O$14</xm:f>
          </x14:formula1>
          <xm:sqref>L12:L667</xm:sqref>
        </x14:dataValidation>
        <x14:dataValidation type="list" allowBlank="1" showInputMessage="1" showErrorMessage="1" xr:uid="{367956A3-3FF4-4469-AF49-C057EA7486FA}">
          <x14:formula1>
            <xm:f>TD!$D$2:$D$29</xm:f>
          </x14:formula1>
          <xm:sqref>F12:F667</xm:sqref>
        </x14:dataValidation>
        <x14:dataValidation type="list" allowBlank="1" showInputMessage="1" showErrorMessage="1" xr:uid="{AE9575A7-4CB7-4BD1-805F-4119048BA672}">
          <x14:formula1>
            <xm:f>TD!$B$15:$B$16</xm:f>
          </x14:formula1>
          <xm:sqref>E12:E667</xm:sqref>
        </x14:dataValidation>
        <x14:dataValidation type="list" allowBlank="1" showInputMessage="1" showErrorMessage="1" xr:uid="{447F3D67-5446-44A6-9358-32563267660F}">
          <x14:formula1>
            <xm:f>TD!$B$19:$B$31</xm:f>
          </x14:formula1>
          <xm:sqref>G12:G667</xm:sqref>
        </x14:dataValidation>
        <x14:dataValidation type="list" allowBlank="1" showInputMessage="1" showErrorMessage="1" xr:uid="{167B3C98-C85F-496C-B1F5-3644BB267750}">
          <x14:formula1>
            <xm:f>TD!$B$51:$B$54</xm:f>
          </x14:formula1>
          <xm:sqref>N12:N667</xm:sqref>
        </x14:dataValidation>
        <x14:dataValidation type="list" allowBlank="1" showInputMessage="1" showErrorMessage="1" xr:uid="{C19D9E6E-AEC7-4142-B89D-D61322877AFC}">
          <x14:formula1>
            <xm:f>TD!$J$3:$J$24</xm:f>
          </x14:formula1>
          <xm:sqref>R12:R667</xm:sqref>
        </x14:dataValidation>
        <x14:dataValidation type="list" allowBlank="1" showInputMessage="1" showErrorMessage="1" xr:uid="{B4D90150-9848-474F-8126-9F973D312285}">
          <x14:formula1>
            <xm:f>TD!$J$51:$J$64</xm:f>
          </x14:formula1>
          <xm:sqref>X12:X667</xm:sqref>
        </x14:dataValidation>
        <x14:dataValidation type="list" allowBlank="1" showInputMessage="1" showErrorMessage="1" xr:uid="{2840086A-4D8A-4E66-AD6D-EE95601C2C7C}">
          <x14:formula1>
            <xm:f>TD!$D$57:$D$58</xm:f>
          </x14:formula1>
          <xm:sqref>K12:K667</xm:sqref>
        </x14:dataValidation>
        <x14:dataValidation type="list" allowBlank="1" showInputMessage="1" showErrorMessage="1" xr:uid="{06E99C44-5C60-468B-8DDC-A942983538C2}">
          <x14:formula1>
            <xm:f>TD!$N$51:$N$63</xm:f>
          </x14:formula1>
          <xm:sqref>AA12:AA667</xm:sqref>
        </x14:dataValidation>
        <x14:dataValidation type="list" allowBlank="1" showInputMessage="1" showErrorMessage="1" xr:uid="{745A9AE1-DD02-4B8A-AEC0-3B73FB6B7E5F}">
          <x14:formula1>
            <xm:f>TD!$X$51:$X$52</xm:f>
          </x14:formula1>
          <xm:sqref>AH12:AH667</xm:sqref>
        </x14:dataValidation>
        <x14:dataValidation type="list" allowBlank="1" showInputMessage="1" showErrorMessage="1" xr:uid="{80D5954D-9596-4C04-B538-A744D1B2CB65}">
          <x14:formula1>
            <xm:f>TD!$Q$2:$Q$7</xm:f>
          </x14:formula1>
          <xm:sqref>P12:P667</xm:sqref>
        </x14:dataValidation>
        <x14:dataValidation type="list" allowBlank="1" showInputMessage="1" showErrorMessage="1" xr:uid="{74AFF05A-906B-4B39-99D3-E0E68439EEF0}">
          <x14:formula1>
            <xm:f>TD!$B$2:$B$11</xm:f>
          </x14:formula1>
          <xm:sqref>D12:D667</xm:sqref>
        </x14:dataValidation>
        <x14:dataValidation type="list" allowBlank="1" showInputMessage="1" showErrorMessage="1" xr:uid="{AF099CF4-1B60-420B-AF00-F2137A73C9C0}">
          <x14:formula1>
            <xm:f>TD!$F$2:$F$43</xm:f>
          </x14:formula1>
          <xm:sqref>AG12:AG667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B2:M39"/>
  <sheetViews>
    <sheetView topLeftCell="B1" zoomScale="70" zoomScaleNormal="70" workbookViewId="0">
      <selection activeCell="J15" sqref="J15"/>
    </sheetView>
  </sheetViews>
  <sheetFormatPr baseColWidth="10" defaultColWidth="17.1796875" defaultRowHeight="16.5" x14ac:dyDescent="0.45"/>
  <cols>
    <col min="1" max="1" width="5.54296875" style="39" customWidth="1"/>
    <col min="2" max="3" width="17.1796875" style="39"/>
    <col min="4" max="4" width="20.453125" style="39" customWidth="1"/>
    <col min="5" max="5" width="29.453125" style="39" customWidth="1"/>
    <col min="6" max="6" width="20.453125" style="40" customWidth="1"/>
    <col min="7" max="7" width="6.453125" style="39" customWidth="1"/>
    <col min="8" max="9" width="24.453125" style="39" customWidth="1"/>
    <col min="10" max="10" width="19.26953125" style="39" customWidth="1"/>
    <col min="11" max="11" width="28.81640625" style="40" bestFit="1" customWidth="1"/>
    <col min="12" max="12" width="21.36328125" style="39" customWidth="1"/>
    <col min="13" max="16384" width="17.1796875" style="39"/>
  </cols>
  <sheetData>
    <row r="2" spans="2:13" x14ac:dyDescent="0.45">
      <c r="B2" s="38" t="s">
        <v>338</v>
      </c>
      <c r="C2" s="38"/>
      <c r="H2" s="38" t="s">
        <v>341</v>
      </c>
    </row>
    <row r="3" spans="2:13" x14ac:dyDescent="0.45">
      <c r="B3" s="38" t="s">
        <v>339</v>
      </c>
      <c r="H3" s="38" t="s">
        <v>339</v>
      </c>
    </row>
    <row r="4" spans="2:13" x14ac:dyDescent="0.45">
      <c r="B4" s="38" t="s">
        <v>197</v>
      </c>
      <c r="C4" s="38"/>
      <c r="H4" s="38" t="s">
        <v>197</v>
      </c>
      <c r="I4" s="38"/>
    </row>
    <row r="5" spans="2:13" s="22" customFormat="1" ht="33" x14ac:dyDescent="0.35">
      <c r="B5" s="24" t="s">
        <v>52</v>
      </c>
      <c r="C5" s="24" t="s">
        <v>0</v>
      </c>
      <c r="D5" s="33" t="s">
        <v>2</v>
      </c>
      <c r="E5" s="24" t="s">
        <v>220</v>
      </c>
      <c r="F5" s="47" t="s">
        <v>337</v>
      </c>
      <c r="G5" s="21"/>
      <c r="H5" s="24" t="s">
        <v>52</v>
      </c>
      <c r="I5" s="24" t="s">
        <v>0</v>
      </c>
      <c r="J5" s="33" t="s">
        <v>2</v>
      </c>
      <c r="K5" s="24" t="s">
        <v>220</v>
      </c>
      <c r="L5" s="47" t="s">
        <v>337</v>
      </c>
      <c r="M5" s="47" t="s">
        <v>340</v>
      </c>
    </row>
    <row r="6" spans="2:13" x14ac:dyDescent="0.45">
      <c r="B6" s="42" t="s">
        <v>197</v>
      </c>
      <c r="C6" s="42" t="s">
        <v>45</v>
      </c>
      <c r="D6" s="42" t="s">
        <v>208</v>
      </c>
      <c r="E6" s="42" t="s">
        <v>254</v>
      </c>
      <c r="F6" s="43">
        <v>260870960</v>
      </c>
      <c r="H6" s="42" t="s">
        <v>197</v>
      </c>
      <c r="I6" s="42" t="s">
        <v>45</v>
      </c>
      <c r="J6" s="42" t="s">
        <v>208</v>
      </c>
      <c r="K6" s="42" t="s">
        <v>254</v>
      </c>
      <c r="L6" s="43">
        <v>260870960</v>
      </c>
      <c r="M6" s="45">
        <f t="shared" ref="M6:M19" si="0">+F6-L6</f>
        <v>0</v>
      </c>
    </row>
    <row r="7" spans="2:13" x14ac:dyDescent="0.45">
      <c r="B7" s="42" t="s">
        <v>197</v>
      </c>
      <c r="C7" s="42" t="s">
        <v>150</v>
      </c>
      <c r="D7" s="42" t="s">
        <v>209</v>
      </c>
      <c r="E7" s="42" t="s">
        <v>261</v>
      </c>
      <c r="F7" s="43">
        <v>260870960</v>
      </c>
      <c r="H7" s="42" t="s">
        <v>197</v>
      </c>
      <c r="I7" s="42" t="s">
        <v>150</v>
      </c>
      <c r="J7" s="42" t="s">
        <v>209</v>
      </c>
      <c r="K7" s="42" t="s">
        <v>261</v>
      </c>
      <c r="L7" s="43">
        <v>260870960</v>
      </c>
      <c r="M7" s="45">
        <f t="shared" si="0"/>
        <v>0</v>
      </c>
    </row>
    <row r="8" spans="2:13" x14ac:dyDescent="0.45">
      <c r="B8" s="42" t="s">
        <v>197</v>
      </c>
      <c r="C8" s="42" t="s">
        <v>151</v>
      </c>
      <c r="D8" s="42" t="s">
        <v>203</v>
      </c>
      <c r="E8" s="42" t="s">
        <v>257</v>
      </c>
      <c r="F8" s="43">
        <v>481960117</v>
      </c>
      <c r="H8" s="42" t="s">
        <v>197</v>
      </c>
      <c r="I8" s="42" t="s">
        <v>151</v>
      </c>
      <c r="J8" s="42" t="s">
        <v>203</v>
      </c>
      <c r="K8" s="42" t="s">
        <v>257</v>
      </c>
      <c r="L8" s="43">
        <v>481960117</v>
      </c>
      <c r="M8" s="45">
        <f t="shared" si="0"/>
        <v>0</v>
      </c>
    </row>
    <row r="9" spans="2:13" x14ac:dyDescent="0.45">
      <c r="B9" s="42" t="s">
        <v>197</v>
      </c>
      <c r="C9" s="42" t="s">
        <v>151</v>
      </c>
      <c r="D9" s="42" t="s">
        <v>204</v>
      </c>
      <c r="E9" s="42" t="s">
        <v>257</v>
      </c>
      <c r="F9" s="43">
        <v>926338572</v>
      </c>
      <c r="H9" s="42" t="s">
        <v>197</v>
      </c>
      <c r="I9" s="42" t="s">
        <v>151</v>
      </c>
      <c r="J9" s="42" t="s">
        <v>204</v>
      </c>
      <c r="K9" s="42" t="s">
        <v>257</v>
      </c>
      <c r="L9" s="43">
        <v>926338572</v>
      </c>
      <c r="M9" s="45">
        <f t="shared" si="0"/>
        <v>0</v>
      </c>
    </row>
    <row r="10" spans="2:13" x14ac:dyDescent="0.45">
      <c r="B10" s="42" t="s">
        <v>197</v>
      </c>
      <c r="C10" s="42" t="s">
        <v>151</v>
      </c>
      <c r="D10" s="42" t="s">
        <v>205</v>
      </c>
      <c r="E10" s="42" t="s">
        <v>257</v>
      </c>
      <c r="F10" s="43">
        <v>475003732</v>
      </c>
      <c r="H10" s="42" t="s">
        <v>197</v>
      </c>
      <c r="I10" s="42" t="s">
        <v>151</v>
      </c>
      <c r="J10" s="42" t="s">
        <v>205</v>
      </c>
      <c r="K10" s="42" t="s">
        <v>257</v>
      </c>
      <c r="L10" s="43">
        <v>475003732</v>
      </c>
      <c r="M10" s="45">
        <f t="shared" si="0"/>
        <v>0</v>
      </c>
    </row>
    <row r="11" spans="2:13" x14ac:dyDescent="0.45">
      <c r="B11" s="42" t="s">
        <v>197</v>
      </c>
      <c r="C11" s="42" t="s">
        <v>151</v>
      </c>
      <c r="D11" s="42" t="s">
        <v>206</v>
      </c>
      <c r="E11" s="42" t="s">
        <v>257</v>
      </c>
      <c r="F11" s="43">
        <v>175876971</v>
      </c>
      <c r="H11" s="42" t="s">
        <v>197</v>
      </c>
      <c r="I11" s="42" t="s">
        <v>151</v>
      </c>
      <c r="J11" s="42" t="s">
        <v>206</v>
      </c>
      <c r="K11" s="42" t="s">
        <v>257</v>
      </c>
      <c r="L11" s="43">
        <v>175876971</v>
      </c>
      <c r="M11" s="45">
        <f t="shared" si="0"/>
        <v>0</v>
      </c>
    </row>
    <row r="12" spans="2:13" x14ac:dyDescent="0.45">
      <c r="B12" s="42" t="s">
        <v>197</v>
      </c>
      <c r="C12" s="42" t="s">
        <v>36</v>
      </c>
      <c r="D12" s="42" t="s">
        <v>200</v>
      </c>
      <c r="E12" s="42" t="s">
        <v>259</v>
      </c>
      <c r="F12" s="43">
        <v>336851064</v>
      </c>
      <c r="H12" s="42" t="s">
        <v>197</v>
      </c>
      <c r="I12" s="42" t="s">
        <v>36</v>
      </c>
      <c r="J12" s="42" t="s">
        <v>200</v>
      </c>
      <c r="K12" s="42" t="s">
        <v>259</v>
      </c>
      <c r="L12" s="43">
        <v>336851064</v>
      </c>
      <c r="M12" s="45">
        <f t="shared" si="0"/>
        <v>0</v>
      </c>
    </row>
    <row r="13" spans="2:13" x14ac:dyDescent="0.45">
      <c r="B13" s="42" t="s">
        <v>197</v>
      </c>
      <c r="C13" s="42" t="s">
        <v>36</v>
      </c>
      <c r="D13" s="42" t="s">
        <v>201</v>
      </c>
      <c r="E13" s="42" t="s">
        <v>260</v>
      </c>
      <c r="F13" s="43">
        <v>168425532</v>
      </c>
      <c r="H13" s="42" t="s">
        <v>197</v>
      </c>
      <c r="I13" s="42" t="s">
        <v>36</v>
      </c>
      <c r="J13" s="42" t="s">
        <v>201</v>
      </c>
      <c r="K13" s="42" t="s">
        <v>260</v>
      </c>
      <c r="L13" s="43">
        <v>168425532</v>
      </c>
      <c r="M13" s="45">
        <f t="shared" si="0"/>
        <v>0</v>
      </c>
    </row>
    <row r="14" spans="2:13" x14ac:dyDescent="0.45">
      <c r="B14" s="42" t="s">
        <v>197</v>
      </c>
      <c r="C14" s="42" t="s">
        <v>36</v>
      </c>
      <c r="D14" s="42" t="s">
        <v>202</v>
      </c>
      <c r="E14" s="42" t="s">
        <v>260</v>
      </c>
      <c r="F14" s="43">
        <v>56141844</v>
      </c>
      <c r="H14" s="42" t="s">
        <v>197</v>
      </c>
      <c r="I14" s="42" t="s">
        <v>36</v>
      </c>
      <c r="J14" s="42" t="s">
        <v>202</v>
      </c>
      <c r="K14" s="42" t="s">
        <v>260</v>
      </c>
      <c r="L14" s="43">
        <v>56141844</v>
      </c>
      <c r="M14" s="45">
        <f t="shared" si="0"/>
        <v>0</v>
      </c>
    </row>
    <row r="15" spans="2:13" x14ac:dyDescent="0.45">
      <c r="B15" s="42" t="s">
        <v>197</v>
      </c>
      <c r="C15" s="42" t="s">
        <v>46</v>
      </c>
      <c r="D15" s="42" t="s">
        <v>208</v>
      </c>
      <c r="E15" s="42" t="s">
        <v>254</v>
      </c>
      <c r="F15" s="43">
        <v>206558000</v>
      </c>
      <c r="H15" s="42" t="s">
        <v>197</v>
      </c>
      <c r="I15" s="42" t="s">
        <v>46</v>
      </c>
      <c r="J15" s="42" t="s">
        <v>208</v>
      </c>
      <c r="K15" s="42" t="s">
        <v>254</v>
      </c>
      <c r="L15" s="43">
        <v>206558000</v>
      </c>
      <c r="M15" s="45">
        <f t="shared" si="0"/>
        <v>0</v>
      </c>
    </row>
    <row r="16" spans="2:13" x14ac:dyDescent="0.45">
      <c r="B16" s="42" t="s">
        <v>197</v>
      </c>
      <c r="C16" s="42" t="s">
        <v>152</v>
      </c>
      <c r="D16" s="42" t="s">
        <v>208</v>
      </c>
      <c r="E16" s="42" t="s">
        <v>254</v>
      </c>
      <c r="F16" s="43">
        <v>171068294</v>
      </c>
      <c r="H16" s="42" t="s">
        <v>197</v>
      </c>
      <c r="I16" s="42" t="s">
        <v>152</v>
      </c>
      <c r="J16" s="42" t="s">
        <v>208</v>
      </c>
      <c r="K16" s="42" t="s">
        <v>254</v>
      </c>
      <c r="L16" s="43">
        <v>171068294</v>
      </c>
      <c r="M16" s="45">
        <f t="shared" si="0"/>
        <v>0</v>
      </c>
    </row>
    <row r="17" spans="2:13" x14ac:dyDescent="0.45">
      <c r="B17" s="42" t="s">
        <v>197</v>
      </c>
      <c r="C17" s="42" t="s">
        <v>153</v>
      </c>
      <c r="D17" s="42" t="s">
        <v>208</v>
      </c>
      <c r="E17" s="42" t="s">
        <v>254</v>
      </c>
      <c r="F17" s="43">
        <v>229431788</v>
      </c>
      <c r="H17" s="42" t="s">
        <v>197</v>
      </c>
      <c r="I17" s="42" t="s">
        <v>153</v>
      </c>
      <c r="J17" s="42" t="s">
        <v>208</v>
      </c>
      <c r="K17" s="42" t="s">
        <v>254</v>
      </c>
      <c r="L17" s="43">
        <v>229431788</v>
      </c>
      <c r="M17" s="45">
        <f t="shared" si="0"/>
        <v>0</v>
      </c>
    </row>
    <row r="18" spans="2:13" x14ac:dyDescent="0.45">
      <c r="B18" s="42" t="s">
        <v>197</v>
      </c>
      <c r="C18" s="42" t="s">
        <v>155</v>
      </c>
      <c r="D18" s="42" t="s">
        <v>207</v>
      </c>
      <c r="E18" s="42" t="s">
        <v>254</v>
      </c>
      <c r="F18" s="43">
        <v>1239712750</v>
      </c>
      <c r="H18" s="42" t="s">
        <v>197</v>
      </c>
      <c r="I18" s="42" t="s">
        <v>155</v>
      </c>
      <c r="J18" s="42" t="s">
        <v>207</v>
      </c>
      <c r="K18" s="42" t="s">
        <v>254</v>
      </c>
      <c r="L18" s="43">
        <v>1239712750</v>
      </c>
      <c r="M18" s="45">
        <f t="shared" si="0"/>
        <v>0</v>
      </c>
    </row>
    <row r="19" spans="2:13" x14ac:dyDescent="0.45">
      <c r="B19" s="42" t="s">
        <v>197</v>
      </c>
      <c r="C19" s="42" t="s">
        <v>155</v>
      </c>
      <c r="D19" s="42" t="s">
        <v>208</v>
      </c>
      <c r="E19" s="42" t="s">
        <v>254</v>
      </c>
      <c r="F19" s="43">
        <v>248759474</v>
      </c>
      <c r="H19" s="42" t="s">
        <v>197</v>
      </c>
      <c r="I19" s="42" t="s">
        <v>155</v>
      </c>
      <c r="J19" s="42" t="s">
        <v>208</v>
      </c>
      <c r="K19" s="42" t="s">
        <v>254</v>
      </c>
      <c r="L19" s="43">
        <v>248759474</v>
      </c>
      <c r="M19" s="45">
        <f t="shared" si="0"/>
        <v>0</v>
      </c>
    </row>
    <row r="20" spans="2:13" x14ac:dyDescent="0.45">
      <c r="B20" s="38" t="s">
        <v>27</v>
      </c>
      <c r="C20" s="38"/>
      <c r="D20" s="38"/>
      <c r="E20" s="38"/>
      <c r="F20" s="44">
        <f>SUM(F6:F19)</f>
        <v>5237870058</v>
      </c>
      <c r="H20" s="38" t="s">
        <v>27</v>
      </c>
      <c r="K20" s="39"/>
      <c r="L20" s="46">
        <f>SUM(L6:L19)</f>
        <v>5237870058</v>
      </c>
      <c r="M20" s="40">
        <f>SUM(M6:M19)</f>
        <v>0</v>
      </c>
    </row>
    <row r="21" spans="2:13" x14ac:dyDescent="0.45">
      <c r="K21" s="39"/>
      <c r="L21" s="40"/>
    </row>
    <row r="22" spans="2:13" x14ac:dyDescent="0.45">
      <c r="B22" s="38" t="s">
        <v>338</v>
      </c>
      <c r="H22" s="38" t="s">
        <v>341</v>
      </c>
      <c r="K22" s="39"/>
      <c r="L22" s="40"/>
    </row>
    <row r="23" spans="2:13" x14ac:dyDescent="0.45">
      <c r="B23" s="38" t="s">
        <v>339</v>
      </c>
      <c r="H23" s="38" t="s">
        <v>339</v>
      </c>
      <c r="K23" s="39"/>
      <c r="L23" s="40"/>
    </row>
    <row r="24" spans="2:13" x14ac:dyDescent="0.45">
      <c r="B24" s="38" t="s">
        <v>198</v>
      </c>
      <c r="H24" s="38" t="s">
        <v>198</v>
      </c>
      <c r="K24" s="39"/>
      <c r="L24" s="40"/>
    </row>
    <row r="25" spans="2:13" s="22" customFormat="1" ht="33" x14ac:dyDescent="0.35">
      <c r="B25" s="24" t="s">
        <v>52</v>
      </c>
      <c r="C25" s="24" t="s">
        <v>0</v>
      </c>
      <c r="D25" s="33" t="s">
        <v>2</v>
      </c>
      <c r="E25" s="24" t="s">
        <v>220</v>
      </c>
      <c r="F25" s="47" t="s">
        <v>337</v>
      </c>
      <c r="H25" s="24" t="s">
        <v>52</v>
      </c>
      <c r="I25" s="24" t="s">
        <v>0</v>
      </c>
      <c r="J25" s="24" t="s">
        <v>2</v>
      </c>
      <c r="K25" s="24" t="s">
        <v>220</v>
      </c>
      <c r="L25" s="47" t="s">
        <v>337</v>
      </c>
      <c r="M25" s="47" t="s">
        <v>340</v>
      </c>
    </row>
    <row r="26" spans="2:13" x14ac:dyDescent="0.45">
      <c r="B26" s="42" t="s">
        <v>198</v>
      </c>
      <c r="C26" s="42" t="s">
        <v>155</v>
      </c>
      <c r="D26" s="42" t="s">
        <v>219</v>
      </c>
      <c r="E26" s="42" t="s">
        <v>262</v>
      </c>
      <c r="F26" s="43">
        <v>99912253</v>
      </c>
      <c r="H26" s="42" t="s">
        <v>198</v>
      </c>
      <c r="I26" s="42" t="s">
        <v>155</v>
      </c>
      <c r="J26" s="42" t="s">
        <v>219</v>
      </c>
      <c r="K26" s="42" t="s">
        <v>262</v>
      </c>
      <c r="L26" s="43">
        <v>99912253</v>
      </c>
      <c r="M26" s="45">
        <f t="shared" ref="M26:M37" si="1">+F26-L26</f>
        <v>0</v>
      </c>
    </row>
    <row r="27" spans="2:13" x14ac:dyDescent="0.45">
      <c r="B27" s="42" t="s">
        <v>198</v>
      </c>
      <c r="C27" s="42" t="s">
        <v>155</v>
      </c>
      <c r="D27" s="42" t="s">
        <v>216</v>
      </c>
      <c r="E27" s="42" t="s">
        <v>252</v>
      </c>
      <c r="F27" s="43">
        <v>899210268</v>
      </c>
      <c r="H27" s="42" t="s">
        <v>198</v>
      </c>
      <c r="I27" s="42" t="s">
        <v>155</v>
      </c>
      <c r="J27" s="42" t="s">
        <v>216</v>
      </c>
      <c r="K27" s="42" t="s">
        <v>252</v>
      </c>
      <c r="L27" s="43">
        <v>899210268</v>
      </c>
      <c r="M27" s="45">
        <f t="shared" si="1"/>
        <v>0</v>
      </c>
    </row>
    <row r="28" spans="2:13" x14ac:dyDescent="0.45">
      <c r="B28" s="42" t="s">
        <v>198</v>
      </c>
      <c r="C28" s="42" t="s">
        <v>154</v>
      </c>
      <c r="D28" s="42" t="s">
        <v>218</v>
      </c>
      <c r="E28" s="42" t="s">
        <v>251</v>
      </c>
      <c r="F28" s="43">
        <v>2793994517</v>
      </c>
      <c r="H28" s="42" t="s">
        <v>198</v>
      </c>
      <c r="I28" s="42" t="s">
        <v>154</v>
      </c>
      <c r="J28" s="42" t="s">
        <v>218</v>
      </c>
      <c r="K28" s="42" t="s">
        <v>251</v>
      </c>
      <c r="L28" s="43">
        <v>2793994517</v>
      </c>
      <c r="M28" s="45">
        <f t="shared" si="1"/>
        <v>0</v>
      </c>
    </row>
    <row r="29" spans="2:13" x14ac:dyDescent="0.45">
      <c r="B29" s="42" t="s">
        <v>198</v>
      </c>
      <c r="C29" s="42" t="s">
        <v>156</v>
      </c>
      <c r="D29" s="42" t="s">
        <v>210</v>
      </c>
      <c r="E29" s="42" t="s">
        <v>247</v>
      </c>
      <c r="F29" s="52">
        <v>162500000</v>
      </c>
      <c r="H29" s="42" t="s">
        <v>198</v>
      </c>
      <c r="I29" s="42" t="s">
        <v>156</v>
      </c>
      <c r="J29" s="42" t="s">
        <v>210</v>
      </c>
      <c r="K29" s="42" t="s">
        <v>247</v>
      </c>
      <c r="L29" s="52">
        <v>162500000</v>
      </c>
      <c r="M29" s="45">
        <f t="shared" si="1"/>
        <v>0</v>
      </c>
    </row>
    <row r="30" spans="2:13" x14ac:dyDescent="0.45">
      <c r="B30" s="42" t="s">
        <v>198</v>
      </c>
      <c r="C30" s="42" t="s">
        <v>156</v>
      </c>
      <c r="D30" s="42" t="s">
        <v>210</v>
      </c>
      <c r="E30" s="42" t="s">
        <v>248</v>
      </c>
      <c r="F30" s="52">
        <v>698601047</v>
      </c>
      <c r="H30" s="42" t="s">
        <v>198</v>
      </c>
      <c r="I30" s="42" t="s">
        <v>156</v>
      </c>
      <c r="J30" s="42" t="s">
        <v>210</v>
      </c>
      <c r="K30" s="42" t="s">
        <v>248</v>
      </c>
      <c r="L30" s="52">
        <v>698601047</v>
      </c>
      <c r="M30" s="45">
        <f t="shared" si="1"/>
        <v>0</v>
      </c>
    </row>
    <row r="31" spans="2:13" x14ac:dyDescent="0.45">
      <c r="B31" s="42" t="s">
        <v>198</v>
      </c>
      <c r="C31" s="42" t="s">
        <v>156</v>
      </c>
      <c r="D31" s="42" t="s">
        <v>210</v>
      </c>
      <c r="E31" s="42" t="s">
        <v>250</v>
      </c>
      <c r="F31" s="52">
        <v>387093222</v>
      </c>
      <c r="H31" s="42" t="s">
        <v>198</v>
      </c>
      <c r="I31" s="42" t="s">
        <v>156</v>
      </c>
      <c r="J31" s="42" t="s">
        <v>210</v>
      </c>
      <c r="K31" s="42" t="s">
        <v>250</v>
      </c>
      <c r="L31" s="52">
        <v>387093222</v>
      </c>
      <c r="M31" s="45">
        <f t="shared" si="1"/>
        <v>0</v>
      </c>
    </row>
    <row r="32" spans="2:13" x14ac:dyDescent="0.45">
      <c r="B32" s="42" t="s">
        <v>198</v>
      </c>
      <c r="C32" s="42" t="s">
        <v>156</v>
      </c>
      <c r="D32" s="42" t="s">
        <v>214</v>
      </c>
      <c r="E32" s="42" t="s">
        <v>249</v>
      </c>
      <c r="F32" s="43">
        <v>639843601</v>
      </c>
      <c r="H32" s="42" t="s">
        <v>198</v>
      </c>
      <c r="I32" s="42" t="s">
        <v>156</v>
      </c>
      <c r="J32" s="42" t="s">
        <v>214</v>
      </c>
      <c r="K32" s="42" t="s">
        <v>249</v>
      </c>
      <c r="L32" s="43">
        <v>639843601</v>
      </c>
      <c r="M32" s="45">
        <f t="shared" si="1"/>
        <v>0</v>
      </c>
    </row>
    <row r="33" spans="2:13" x14ac:dyDescent="0.45">
      <c r="B33" s="42" t="s">
        <v>198</v>
      </c>
      <c r="C33" s="42" t="s">
        <v>156</v>
      </c>
      <c r="D33" s="42" t="s">
        <v>215</v>
      </c>
      <c r="E33" s="42" t="s">
        <v>249</v>
      </c>
      <c r="F33" s="43">
        <v>51767209</v>
      </c>
      <c r="H33" s="42" t="s">
        <v>198</v>
      </c>
      <c r="I33" s="42" t="s">
        <v>156</v>
      </c>
      <c r="J33" s="42" t="s">
        <v>215</v>
      </c>
      <c r="K33" s="42" t="s">
        <v>249</v>
      </c>
      <c r="L33" s="43">
        <v>51767209</v>
      </c>
      <c r="M33" s="45">
        <f t="shared" si="1"/>
        <v>0</v>
      </c>
    </row>
    <row r="34" spans="2:13" x14ac:dyDescent="0.45">
      <c r="B34" s="42" t="s">
        <v>198</v>
      </c>
      <c r="C34" s="42" t="s">
        <v>157</v>
      </c>
      <c r="D34" s="42" t="s">
        <v>213</v>
      </c>
      <c r="E34" s="42" t="s">
        <v>255</v>
      </c>
      <c r="F34" s="43">
        <v>4450000000</v>
      </c>
      <c r="H34" s="42" t="s">
        <v>198</v>
      </c>
      <c r="I34" s="42" t="s">
        <v>157</v>
      </c>
      <c r="J34" s="42" t="s">
        <v>213</v>
      </c>
      <c r="K34" s="42" t="s">
        <v>255</v>
      </c>
      <c r="L34" s="43">
        <v>4450000000</v>
      </c>
      <c r="M34" s="45">
        <f t="shared" si="1"/>
        <v>0</v>
      </c>
    </row>
    <row r="35" spans="2:13" x14ac:dyDescent="0.45">
      <c r="B35" s="42" t="s">
        <v>198</v>
      </c>
      <c r="C35" s="42" t="s">
        <v>157</v>
      </c>
      <c r="D35" s="42" t="s">
        <v>213</v>
      </c>
      <c r="E35" s="42" t="s">
        <v>258</v>
      </c>
      <c r="F35" s="43">
        <v>1071405909</v>
      </c>
      <c r="H35" s="42" t="s">
        <v>198</v>
      </c>
      <c r="I35" s="42" t="s">
        <v>157</v>
      </c>
      <c r="J35" s="42" t="s">
        <v>213</v>
      </c>
      <c r="K35" s="42" t="s">
        <v>258</v>
      </c>
      <c r="L35" s="43">
        <v>1071405909</v>
      </c>
      <c r="M35" s="45">
        <f t="shared" si="1"/>
        <v>0</v>
      </c>
    </row>
    <row r="36" spans="2:13" x14ac:dyDescent="0.45">
      <c r="B36" s="42" t="s">
        <v>198</v>
      </c>
      <c r="C36" s="42" t="s">
        <v>158</v>
      </c>
      <c r="D36" s="42" t="s">
        <v>211</v>
      </c>
      <c r="E36" s="42" t="s">
        <v>246</v>
      </c>
      <c r="F36" s="43">
        <v>1275620000</v>
      </c>
      <c r="H36" s="42" t="s">
        <v>198</v>
      </c>
      <c r="I36" s="42" t="s">
        <v>158</v>
      </c>
      <c r="J36" s="42" t="s">
        <v>211</v>
      </c>
      <c r="K36" s="42" t="s">
        <v>246</v>
      </c>
      <c r="L36" s="43">
        <v>1275620000</v>
      </c>
      <c r="M36" s="45">
        <f t="shared" si="1"/>
        <v>0</v>
      </c>
    </row>
    <row r="37" spans="2:13" x14ac:dyDescent="0.45">
      <c r="B37" s="42" t="s">
        <v>198</v>
      </c>
      <c r="C37" s="42" t="s">
        <v>158</v>
      </c>
      <c r="D37" s="42" t="s">
        <v>211</v>
      </c>
      <c r="E37" s="42" t="s">
        <v>256</v>
      </c>
      <c r="F37" s="43">
        <v>5739596933</v>
      </c>
      <c r="H37" s="42" t="s">
        <v>198</v>
      </c>
      <c r="I37" s="42" t="s">
        <v>158</v>
      </c>
      <c r="J37" s="42" t="s">
        <v>211</v>
      </c>
      <c r="K37" s="42" t="s">
        <v>256</v>
      </c>
      <c r="L37" s="43">
        <v>5739596933</v>
      </c>
      <c r="M37" s="45">
        <f t="shared" si="1"/>
        <v>0</v>
      </c>
    </row>
    <row r="38" spans="2:13" x14ac:dyDescent="0.45">
      <c r="B38" s="38" t="s">
        <v>27</v>
      </c>
      <c r="F38" s="44">
        <v>18269544959</v>
      </c>
      <c r="H38" s="38" t="s">
        <v>27</v>
      </c>
      <c r="K38" s="39"/>
      <c r="L38" s="44">
        <v>18269544959</v>
      </c>
      <c r="M38" s="41"/>
    </row>
    <row r="39" spans="2:13" x14ac:dyDescent="0.45">
      <c r="M39" s="4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theme="8" tint="0.39997558519241921"/>
  </sheetPr>
  <dimension ref="B2:K39"/>
  <sheetViews>
    <sheetView showGridLines="0" zoomScale="55" zoomScaleNormal="55" workbookViewId="0">
      <selection activeCell="B4" sqref="B4:G4"/>
    </sheetView>
  </sheetViews>
  <sheetFormatPr baseColWidth="10" defaultColWidth="10.7265625" defaultRowHeight="16.5" x14ac:dyDescent="0.35"/>
  <cols>
    <col min="1" max="1" width="10.7265625" style="19"/>
    <col min="2" max="2" width="58.08984375" style="22" customWidth="1"/>
    <col min="3" max="3" width="15.90625" style="20" customWidth="1"/>
    <col min="4" max="4" width="20" style="28" bestFit="1" customWidth="1"/>
    <col min="5" max="5" width="31.453125" style="20" customWidth="1"/>
    <col min="6" max="6" width="36.453125" style="20" customWidth="1"/>
    <col min="7" max="7" width="53.08984375" style="22" customWidth="1"/>
    <col min="8" max="11" width="10.7265625" style="22"/>
    <col min="12" max="16384" width="10.7265625" style="19"/>
  </cols>
  <sheetData>
    <row r="2" spans="2:7" x14ac:dyDescent="0.35">
      <c r="B2" s="24">
        <v>8126</v>
      </c>
    </row>
    <row r="3" spans="2:7" ht="49.5" x14ac:dyDescent="0.35">
      <c r="B3" s="24" t="s">
        <v>81</v>
      </c>
      <c r="C3" s="24" t="s">
        <v>289</v>
      </c>
      <c r="D3" s="29" t="s">
        <v>290</v>
      </c>
      <c r="E3" s="33" t="s">
        <v>195</v>
      </c>
      <c r="F3" s="24" t="s">
        <v>196</v>
      </c>
      <c r="G3" s="24" t="s">
        <v>291</v>
      </c>
    </row>
    <row r="4" spans="2:7" ht="49.5" x14ac:dyDescent="0.35">
      <c r="B4" s="25" t="s">
        <v>86</v>
      </c>
      <c r="C4" s="26" t="s">
        <v>292</v>
      </c>
      <c r="D4" s="30">
        <v>336851064</v>
      </c>
      <c r="E4" s="26" t="s">
        <v>293</v>
      </c>
      <c r="F4" s="26" t="s">
        <v>259</v>
      </c>
      <c r="G4" s="25" t="s">
        <v>129</v>
      </c>
    </row>
    <row r="5" spans="2:7" ht="99" x14ac:dyDescent="0.35">
      <c r="B5" s="25" t="s">
        <v>90</v>
      </c>
      <c r="C5" s="26" t="s">
        <v>292</v>
      </c>
      <c r="D5" s="30">
        <v>168425532</v>
      </c>
      <c r="E5" s="26" t="s">
        <v>294</v>
      </c>
      <c r="F5" s="26" t="s">
        <v>260</v>
      </c>
      <c r="G5" s="25" t="s">
        <v>129</v>
      </c>
    </row>
    <row r="6" spans="2:7" ht="33" x14ac:dyDescent="0.35">
      <c r="B6" s="25" t="s">
        <v>95</v>
      </c>
      <c r="C6" s="26" t="s">
        <v>292</v>
      </c>
      <c r="D6" s="30">
        <v>56141844</v>
      </c>
      <c r="E6" s="26" t="s">
        <v>294</v>
      </c>
      <c r="F6" s="26" t="s">
        <v>260</v>
      </c>
      <c r="G6" s="25" t="s">
        <v>129</v>
      </c>
    </row>
    <row r="7" spans="2:7" ht="115.5" x14ac:dyDescent="0.35">
      <c r="B7" s="25" t="s">
        <v>98</v>
      </c>
      <c r="C7" s="26" t="s">
        <v>295</v>
      </c>
      <c r="D7" s="30">
        <v>481960117</v>
      </c>
      <c r="E7" s="26" t="s">
        <v>296</v>
      </c>
      <c r="F7" s="26" t="s">
        <v>257</v>
      </c>
      <c r="G7" s="25" t="s">
        <v>297</v>
      </c>
    </row>
    <row r="8" spans="2:7" ht="115.5" x14ac:dyDescent="0.35">
      <c r="B8" s="25" t="s">
        <v>103</v>
      </c>
      <c r="C8" s="26" t="s">
        <v>295</v>
      </c>
      <c r="D8" s="30">
        <v>926338572</v>
      </c>
      <c r="E8" s="26" t="s">
        <v>296</v>
      </c>
      <c r="F8" s="26" t="s">
        <v>257</v>
      </c>
      <c r="G8" s="25" t="s">
        <v>298</v>
      </c>
    </row>
    <row r="9" spans="2:7" ht="49.5" x14ac:dyDescent="0.35">
      <c r="B9" s="25" t="s">
        <v>108</v>
      </c>
      <c r="C9" s="26" t="s">
        <v>295</v>
      </c>
      <c r="D9" s="30">
        <v>475003732</v>
      </c>
      <c r="E9" s="26" t="s">
        <v>296</v>
      </c>
      <c r="F9" s="26" t="s">
        <v>257</v>
      </c>
      <c r="G9" s="25" t="s">
        <v>129</v>
      </c>
    </row>
    <row r="10" spans="2:7" ht="49.5" x14ac:dyDescent="0.35">
      <c r="B10" s="25" t="s">
        <v>112</v>
      </c>
      <c r="C10" s="26" t="s">
        <v>295</v>
      </c>
      <c r="D10" s="30">
        <v>175876971</v>
      </c>
      <c r="E10" s="26" t="s">
        <v>296</v>
      </c>
      <c r="F10" s="26" t="s">
        <v>257</v>
      </c>
      <c r="G10" s="25" t="s">
        <v>37</v>
      </c>
    </row>
    <row r="11" spans="2:7" ht="148.5" x14ac:dyDescent="0.35">
      <c r="B11" s="25" t="s">
        <v>117</v>
      </c>
      <c r="C11" s="26" t="s">
        <v>299</v>
      </c>
      <c r="D11" s="30">
        <v>1239712750</v>
      </c>
      <c r="E11" s="26" t="s">
        <v>300</v>
      </c>
      <c r="F11" s="26" t="s">
        <v>254</v>
      </c>
      <c r="G11" s="25" t="s">
        <v>301</v>
      </c>
    </row>
    <row r="12" spans="2:7" ht="49.5" customHeight="1" x14ac:dyDescent="0.35">
      <c r="B12" s="213" t="s">
        <v>122</v>
      </c>
      <c r="C12" s="26" t="s">
        <v>302</v>
      </c>
      <c r="D12" s="30">
        <v>260870960</v>
      </c>
      <c r="E12" s="26" t="s">
        <v>300</v>
      </c>
      <c r="F12" s="26" t="s">
        <v>254</v>
      </c>
      <c r="G12" s="25" t="s">
        <v>129</v>
      </c>
    </row>
    <row r="13" spans="2:7" ht="33" x14ac:dyDescent="0.35">
      <c r="B13" s="217"/>
      <c r="C13" s="26" t="s">
        <v>303</v>
      </c>
      <c r="D13" s="30">
        <v>206558000</v>
      </c>
      <c r="E13" s="26" t="s">
        <v>300</v>
      </c>
      <c r="F13" s="26" t="s">
        <v>254</v>
      </c>
      <c r="G13" s="25" t="s">
        <v>129</v>
      </c>
    </row>
    <row r="14" spans="2:7" ht="33" x14ac:dyDescent="0.35">
      <c r="B14" s="217"/>
      <c r="C14" s="26" t="s">
        <v>304</v>
      </c>
      <c r="D14" s="30">
        <v>171068294</v>
      </c>
      <c r="E14" s="26" t="s">
        <v>300</v>
      </c>
      <c r="F14" s="26" t="s">
        <v>254</v>
      </c>
      <c r="G14" s="25" t="s">
        <v>129</v>
      </c>
    </row>
    <row r="15" spans="2:7" ht="33" x14ac:dyDescent="0.35">
      <c r="B15" s="217"/>
      <c r="C15" s="26" t="s">
        <v>305</v>
      </c>
      <c r="D15" s="30">
        <v>229431788</v>
      </c>
      <c r="E15" s="26" t="s">
        <v>300</v>
      </c>
      <c r="F15" s="26" t="s">
        <v>254</v>
      </c>
      <c r="G15" s="25" t="s">
        <v>129</v>
      </c>
    </row>
    <row r="16" spans="2:7" ht="33" x14ac:dyDescent="0.35">
      <c r="B16" s="214"/>
      <c r="C16" s="26" t="s">
        <v>299</v>
      </c>
      <c r="D16" s="30">
        <v>248759474</v>
      </c>
      <c r="E16" s="26" t="s">
        <v>300</v>
      </c>
      <c r="F16" s="26" t="s">
        <v>254</v>
      </c>
      <c r="G16" s="25" t="s">
        <v>129</v>
      </c>
    </row>
    <row r="17" spans="2:11" ht="66" x14ac:dyDescent="0.35">
      <c r="B17" s="25" t="s">
        <v>126</v>
      </c>
      <c r="C17" s="26" t="s">
        <v>302</v>
      </c>
      <c r="D17" s="30">
        <v>260870960</v>
      </c>
      <c r="E17" s="26" t="s">
        <v>306</v>
      </c>
      <c r="F17" s="26" t="s">
        <v>261</v>
      </c>
      <c r="G17" s="25" t="s">
        <v>129</v>
      </c>
    </row>
    <row r="18" spans="2:11" x14ac:dyDescent="0.35">
      <c r="B18" s="21" t="s">
        <v>328</v>
      </c>
      <c r="D18" s="31">
        <v>5237870058</v>
      </c>
    </row>
    <row r="19" spans="2:11" x14ac:dyDescent="0.35">
      <c r="F19" s="20" t="s">
        <v>307</v>
      </c>
    </row>
    <row r="20" spans="2:11" x14ac:dyDescent="0.35">
      <c r="F20" s="20" t="s">
        <v>307</v>
      </c>
    </row>
    <row r="21" spans="2:11" x14ac:dyDescent="0.35">
      <c r="B21" s="24">
        <v>8173</v>
      </c>
      <c r="C21" s="26"/>
      <c r="D21" s="30"/>
      <c r="E21" s="26"/>
      <c r="F21" s="26" t="s">
        <v>307</v>
      </c>
      <c r="G21" s="27"/>
    </row>
    <row r="22" spans="2:11" s="51" customFormat="1" ht="49.5" x14ac:dyDescent="0.35">
      <c r="B22" s="24" t="s">
        <v>82</v>
      </c>
      <c r="C22" s="24" t="s">
        <v>289</v>
      </c>
      <c r="D22" s="29" t="s">
        <v>290</v>
      </c>
      <c r="E22" s="33" t="s">
        <v>195</v>
      </c>
      <c r="F22" s="24" t="s">
        <v>196</v>
      </c>
      <c r="G22" s="24" t="s">
        <v>291</v>
      </c>
      <c r="H22" s="21"/>
      <c r="I22" s="21"/>
      <c r="J22" s="21"/>
      <c r="K22" s="21"/>
    </row>
    <row r="23" spans="2:11" ht="33" x14ac:dyDescent="0.35">
      <c r="B23" s="218" t="s">
        <v>87</v>
      </c>
      <c r="C23" s="221" t="s">
        <v>308</v>
      </c>
      <c r="D23" s="48">
        <v>162500000</v>
      </c>
      <c r="E23" s="50" t="s">
        <v>309</v>
      </c>
      <c r="F23" s="50" t="s">
        <v>247</v>
      </c>
      <c r="G23" s="49" t="s">
        <v>129</v>
      </c>
    </row>
    <row r="24" spans="2:11" ht="33" x14ac:dyDescent="0.35">
      <c r="B24" s="219"/>
      <c r="C24" s="222"/>
      <c r="D24" s="48">
        <v>698601047</v>
      </c>
      <c r="E24" s="50" t="s">
        <v>310</v>
      </c>
      <c r="F24" s="50" t="s">
        <v>248</v>
      </c>
      <c r="G24" s="49" t="s">
        <v>311</v>
      </c>
    </row>
    <row r="25" spans="2:11" ht="33" x14ac:dyDescent="0.35">
      <c r="B25" s="220"/>
      <c r="C25" s="223"/>
      <c r="D25" s="48">
        <v>387093222</v>
      </c>
      <c r="E25" s="50" t="s">
        <v>312</v>
      </c>
      <c r="F25" s="50" t="s">
        <v>250</v>
      </c>
      <c r="G25" s="49" t="s">
        <v>129</v>
      </c>
    </row>
    <row r="26" spans="2:11" ht="33" x14ac:dyDescent="0.35">
      <c r="B26" s="213" t="s">
        <v>91</v>
      </c>
      <c r="C26" s="215" t="s">
        <v>313</v>
      </c>
      <c r="D26" s="30">
        <v>1275620000</v>
      </c>
      <c r="E26" s="26" t="s">
        <v>314</v>
      </c>
      <c r="F26" s="26" t="s">
        <v>246</v>
      </c>
      <c r="G26" s="25" t="s">
        <v>129</v>
      </c>
    </row>
    <row r="27" spans="2:11" ht="49.5" x14ac:dyDescent="0.35">
      <c r="B27" s="214"/>
      <c r="C27" s="216"/>
      <c r="D27" s="30">
        <v>5739596933</v>
      </c>
      <c r="E27" s="26" t="s">
        <v>315</v>
      </c>
      <c r="F27" s="26" t="s">
        <v>256</v>
      </c>
      <c r="G27" s="25" t="s">
        <v>316</v>
      </c>
    </row>
    <row r="28" spans="2:11" ht="49.5" x14ac:dyDescent="0.35">
      <c r="B28" s="25" t="s">
        <v>96</v>
      </c>
      <c r="C28" s="26" t="s">
        <v>313</v>
      </c>
      <c r="D28" s="30">
        <v>0</v>
      </c>
      <c r="E28" s="26" t="s">
        <v>317</v>
      </c>
      <c r="F28" s="26" t="s">
        <v>255</v>
      </c>
      <c r="G28" s="25" t="s">
        <v>288</v>
      </c>
    </row>
    <row r="29" spans="2:11" ht="115.5" x14ac:dyDescent="0.35">
      <c r="B29" s="213" t="s">
        <v>99</v>
      </c>
      <c r="C29" s="215" t="s">
        <v>318</v>
      </c>
      <c r="D29" s="30">
        <v>4450000000</v>
      </c>
      <c r="E29" s="26" t="s">
        <v>317</v>
      </c>
      <c r="F29" s="26" t="s">
        <v>255</v>
      </c>
      <c r="G29" s="25" t="s">
        <v>342</v>
      </c>
    </row>
    <row r="30" spans="2:11" ht="33" x14ac:dyDescent="0.35">
      <c r="B30" s="214"/>
      <c r="C30" s="216"/>
      <c r="D30" s="30">
        <v>1071405909</v>
      </c>
      <c r="E30" s="26" t="s">
        <v>319</v>
      </c>
      <c r="F30" s="26" t="s">
        <v>258</v>
      </c>
      <c r="G30" s="25" t="s">
        <v>129</v>
      </c>
    </row>
    <row r="31" spans="2:11" ht="33" x14ac:dyDescent="0.35">
      <c r="B31" s="49" t="s">
        <v>104</v>
      </c>
      <c r="C31" s="50" t="s">
        <v>308</v>
      </c>
      <c r="D31" s="48">
        <v>639843601</v>
      </c>
      <c r="E31" s="50" t="s">
        <v>320</v>
      </c>
      <c r="F31" s="50" t="s">
        <v>249</v>
      </c>
      <c r="G31" s="49" t="s">
        <v>129</v>
      </c>
    </row>
    <row r="32" spans="2:11" ht="49.5" x14ac:dyDescent="0.35">
      <c r="B32" s="49" t="s">
        <v>109</v>
      </c>
      <c r="C32" s="50" t="s">
        <v>308</v>
      </c>
      <c r="D32" s="48">
        <v>51767209</v>
      </c>
      <c r="E32" s="50" t="s">
        <v>320</v>
      </c>
      <c r="F32" s="50" t="s">
        <v>249</v>
      </c>
      <c r="G32" s="49" t="s">
        <v>129</v>
      </c>
    </row>
    <row r="33" spans="2:7" ht="33" x14ac:dyDescent="0.35">
      <c r="B33" s="27" t="s">
        <v>113</v>
      </c>
      <c r="C33" s="26" t="s">
        <v>299</v>
      </c>
      <c r="D33" s="30">
        <v>899210268</v>
      </c>
      <c r="E33" s="26" t="s">
        <v>321</v>
      </c>
      <c r="F33" s="26" t="s">
        <v>252</v>
      </c>
      <c r="G33" s="25" t="s">
        <v>322</v>
      </c>
    </row>
    <row r="34" spans="2:7" ht="33" x14ac:dyDescent="0.35">
      <c r="B34" s="27" t="s">
        <v>118</v>
      </c>
      <c r="C34" s="26" t="s">
        <v>299</v>
      </c>
      <c r="D34" s="30">
        <v>0</v>
      </c>
      <c r="E34" s="26" t="s">
        <v>323</v>
      </c>
      <c r="F34" s="26" t="s">
        <v>253</v>
      </c>
      <c r="G34" s="25" t="s">
        <v>94</v>
      </c>
    </row>
    <row r="35" spans="2:7" ht="66" x14ac:dyDescent="0.35">
      <c r="B35" s="25" t="s">
        <v>123</v>
      </c>
      <c r="C35" s="26" t="s">
        <v>324</v>
      </c>
      <c r="D35" s="30">
        <v>2793994517</v>
      </c>
      <c r="E35" s="26" t="s">
        <v>325</v>
      </c>
      <c r="F35" s="26" t="s">
        <v>251</v>
      </c>
      <c r="G35" s="25" t="s">
        <v>326</v>
      </c>
    </row>
    <row r="36" spans="2:7" ht="33" x14ac:dyDescent="0.35">
      <c r="B36" s="25" t="s">
        <v>127</v>
      </c>
      <c r="C36" s="26" t="s">
        <v>299</v>
      </c>
      <c r="D36" s="30">
        <v>99912253</v>
      </c>
      <c r="E36" s="26" t="s">
        <v>327</v>
      </c>
      <c r="F36" s="26" t="s">
        <v>262</v>
      </c>
      <c r="G36" s="25" t="s">
        <v>129</v>
      </c>
    </row>
    <row r="37" spans="2:7" x14ac:dyDescent="0.35">
      <c r="B37" s="21" t="s">
        <v>328</v>
      </c>
      <c r="D37" s="31">
        <f>SUM(D23:D36)</f>
        <v>18269544959</v>
      </c>
      <c r="F37" s="20" t="s">
        <v>307</v>
      </c>
    </row>
    <row r="39" spans="2:7" x14ac:dyDescent="0.35">
      <c r="B39" s="21" t="s">
        <v>329</v>
      </c>
      <c r="C39" s="21"/>
      <c r="D39" s="32">
        <v>23507415017</v>
      </c>
      <c r="F39" s="20" t="s">
        <v>307</v>
      </c>
    </row>
  </sheetData>
  <mergeCells count="7">
    <mergeCell ref="B29:B30"/>
    <mergeCell ref="C29:C30"/>
    <mergeCell ref="B12:B16"/>
    <mergeCell ref="B23:B25"/>
    <mergeCell ref="B26:B27"/>
    <mergeCell ref="C23:C25"/>
    <mergeCell ref="C26:C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B1:Z89"/>
  <sheetViews>
    <sheetView zoomScale="55" zoomScaleNormal="55" workbookViewId="0">
      <selection activeCell="C31" sqref="C31"/>
    </sheetView>
  </sheetViews>
  <sheetFormatPr baseColWidth="10" defaultColWidth="10.7265625" defaultRowHeight="15" x14ac:dyDescent="0.3"/>
  <cols>
    <col min="1" max="1" width="10.7265625" style="15"/>
    <col min="2" max="2" width="64.453125" style="15" customWidth="1"/>
    <col min="3" max="3" width="15.1796875" style="15" customWidth="1"/>
    <col min="4" max="4" width="60.81640625" style="15" customWidth="1"/>
    <col min="5" max="5" width="19.54296875" style="15" customWidth="1"/>
    <col min="6" max="6" width="54.1796875" style="15" customWidth="1"/>
    <col min="7" max="7" width="62.81640625" style="15" customWidth="1"/>
    <col min="8" max="8" width="35.54296875" style="15" customWidth="1"/>
    <col min="9" max="9" width="10.7265625" style="15"/>
    <col min="10" max="10" width="24.7265625" style="15" customWidth="1"/>
    <col min="11" max="11" width="25.1796875" style="15" customWidth="1"/>
    <col min="12" max="14" width="10.7265625" style="15"/>
    <col min="15" max="15" width="16.81640625" style="15" customWidth="1"/>
    <col min="16" max="16" width="10.7265625" style="15"/>
    <col min="17" max="17" width="20.1796875" style="15" customWidth="1"/>
    <col min="18" max="18" width="10.7265625" style="15"/>
    <col min="19" max="19" width="16.36328125" style="15" customWidth="1"/>
    <col min="20" max="16384" width="10.7265625" style="15"/>
  </cols>
  <sheetData>
    <row r="1" spans="2:19" ht="30" x14ac:dyDescent="0.3">
      <c r="B1" s="15" t="s">
        <v>76</v>
      </c>
      <c r="D1" s="15" t="s">
        <v>75</v>
      </c>
      <c r="F1" s="15" t="s">
        <v>77</v>
      </c>
      <c r="H1" s="16"/>
      <c r="J1" s="16"/>
      <c r="L1" s="15" t="s">
        <v>199</v>
      </c>
      <c r="O1" s="15" t="s">
        <v>0</v>
      </c>
      <c r="Q1" s="15" t="s">
        <v>160</v>
      </c>
      <c r="S1" s="90" t="s">
        <v>71</v>
      </c>
    </row>
    <row r="2" spans="2:19" x14ac:dyDescent="0.3">
      <c r="B2" s="15" t="s">
        <v>78</v>
      </c>
      <c r="D2" s="15" t="s">
        <v>79</v>
      </c>
      <c r="F2" s="15" t="s">
        <v>349</v>
      </c>
      <c r="H2" s="17" t="s">
        <v>81</v>
      </c>
      <c r="J2" s="17" t="s">
        <v>82</v>
      </c>
      <c r="L2" s="15" t="s">
        <v>197</v>
      </c>
      <c r="O2" s="15" t="s">
        <v>45</v>
      </c>
      <c r="Q2" s="15" t="s">
        <v>161</v>
      </c>
      <c r="S2" s="15" t="s">
        <v>193</v>
      </c>
    </row>
    <row r="3" spans="2:19" x14ac:dyDescent="0.3">
      <c r="B3" s="15" t="s">
        <v>83</v>
      </c>
      <c r="D3" s="15" t="s">
        <v>84</v>
      </c>
      <c r="F3" s="15" t="s">
        <v>345</v>
      </c>
      <c r="H3" s="15" t="s">
        <v>86</v>
      </c>
      <c r="I3" s="16">
        <v>8126</v>
      </c>
      <c r="J3" s="17" t="s">
        <v>200</v>
      </c>
      <c r="L3" s="15" t="s">
        <v>198</v>
      </c>
      <c r="O3" s="15" t="s">
        <v>150</v>
      </c>
      <c r="Q3" s="15" t="s">
        <v>348</v>
      </c>
      <c r="S3" s="15" t="s">
        <v>194</v>
      </c>
    </row>
    <row r="4" spans="2:19" x14ac:dyDescent="0.3">
      <c r="B4" s="15" t="s">
        <v>88</v>
      </c>
      <c r="D4" s="15" t="s">
        <v>89</v>
      </c>
      <c r="F4" s="15" t="s">
        <v>344</v>
      </c>
      <c r="H4" s="15" t="s">
        <v>90</v>
      </c>
      <c r="I4" s="16">
        <v>8126</v>
      </c>
      <c r="J4" s="17" t="s">
        <v>201</v>
      </c>
      <c r="L4" s="15" t="s">
        <v>330</v>
      </c>
      <c r="O4" s="15" t="s">
        <v>151</v>
      </c>
      <c r="Q4" s="15" t="s">
        <v>560</v>
      </c>
    </row>
    <row r="5" spans="2:19" x14ac:dyDescent="0.3">
      <c r="B5" s="15" t="s">
        <v>92</v>
      </c>
      <c r="D5" s="15" t="s">
        <v>93</v>
      </c>
      <c r="F5" s="15" t="s">
        <v>343</v>
      </c>
      <c r="H5" s="15" t="s">
        <v>95</v>
      </c>
      <c r="I5" s="16">
        <v>8126</v>
      </c>
      <c r="J5" s="17" t="s">
        <v>202</v>
      </c>
      <c r="L5" s="15" t="s">
        <v>335</v>
      </c>
      <c r="O5" s="15" t="s">
        <v>36</v>
      </c>
      <c r="Q5" s="15" t="s">
        <v>162</v>
      </c>
    </row>
    <row r="6" spans="2:19" x14ac:dyDescent="0.3">
      <c r="B6" s="15" t="s">
        <v>100</v>
      </c>
      <c r="D6" s="15" t="s">
        <v>97</v>
      </c>
      <c r="F6" s="15" t="s">
        <v>80</v>
      </c>
      <c r="H6" s="15" t="s">
        <v>98</v>
      </c>
      <c r="I6" s="16">
        <v>8126</v>
      </c>
      <c r="J6" s="17" t="s">
        <v>203</v>
      </c>
      <c r="O6" s="15" t="s">
        <v>46</v>
      </c>
      <c r="Q6" s="15" t="s">
        <v>357</v>
      </c>
    </row>
    <row r="7" spans="2:19" x14ac:dyDescent="0.3">
      <c r="B7" s="15" t="s">
        <v>105</v>
      </c>
      <c r="D7" s="15" t="s">
        <v>101</v>
      </c>
      <c r="F7" s="15" t="s">
        <v>355</v>
      </c>
      <c r="H7" s="15" t="s">
        <v>103</v>
      </c>
      <c r="I7" s="16">
        <v>8126</v>
      </c>
      <c r="J7" s="17" t="s">
        <v>204</v>
      </c>
      <c r="O7" s="15" t="s">
        <v>152</v>
      </c>
      <c r="Q7" s="15" t="s">
        <v>575</v>
      </c>
    </row>
    <row r="8" spans="2:19" x14ac:dyDescent="0.3">
      <c r="B8" s="15" t="s">
        <v>110</v>
      </c>
      <c r="D8" s="15" t="s">
        <v>106</v>
      </c>
      <c r="F8" s="15" t="s">
        <v>353</v>
      </c>
      <c r="H8" s="15" t="s">
        <v>108</v>
      </c>
      <c r="I8" s="16">
        <v>8126</v>
      </c>
      <c r="J8" s="17" t="s">
        <v>205</v>
      </c>
      <c r="O8" s="15" t="s">
        <v>153</v>
      </c>
    </row>
    <row r="9" spans="2:19" x14ac:dyDescent="0.3">
      <c r="B9" s="15" t="s">
        <v>114</v>
      </c>
      <c r="D9" s="15" t="s">
        <v>111</v>
      </c>
      <c r="F9" s="15" t="s">
        <v>354</v>
      </c>
      <c r="H9" s="15" t="s">
        <v>112</v>
      </c>
      <c r="I9" s="16">
        <v>8126</v>
      </c>
      <c r="J9" s="17" t="s">
        <v>206</v>
      </c>
      <c r="O9" s="15" t="s">
        <v>155</v>
      </c>
    </row>
    <row r="10" spans="2:19" x14ac:dyDescent="0.3">
      <c r="B10" s="15" t="s">
        <v>119</v>
      </c>
      <c r="D10" s="15" t="s">
        <v>115</v>
      </c>
      <c r="F10" s="15" t="s">
        <v>159</v>
      </c>
      <c r="H10" s="15" t="s">
        <v>117</v>
      </c>
      <c r="I10" s="16">
        <v>8126</v>
      </c>
      <c r="J10" s="17" t="s">
        <v>207</v>
      </c>
      <c r="O10" s="15" t="s">
        <v>154</v>
      </c>
    </row>
    <row r="11" spans="2:19" x14ac:dyDescent="0.3">
      <c r="B11" s="15" t="s">
        <v>332</v>
      </c>
      <c r="D11" s="15" t="s">
        <v>120</v>
      </c>
      <c r="F11" s="15" t="s">
        <v>85</v>
      </c>
      <c r="H11" s="15" t="s">
        <v>122</v>
      </c>
      <c r="I11" s="16">
        <v>8126</v>
      </c>
      <c r="J11" s="17" t="s">
        <v>208</v>
      </c>
      <c r="O11" s="15" t="s">
        <v>156</v>
      </c>
    </row>
    <row r="12" spans="2:19" x14ac:dyDescent="0.3">
      <c r="D12" s="15" t="s">
        <v>124</v>
      </c>
      <c r="F12" s="15" t="s">
        <v>352</v>
      </c>
      <c r="H12" s="15" t="s">
        <v>126</v>
      </c>
      <c r="I12" s="16">
        <v>8126</v>
      </c>
      <c r="J12" s="17" t="s">
        <v>209</v>
      </c>
      <c r="O12" s="15" t="s">
        <v>157</v>
      </c>
    </row>
    <row r="13" spans="2:19" x14ac:dyDescent="0.3">
      <c r="D13" s="15" t="s">
        <v>128</v>
      </c>
      <c r="F13" s="15" t="s">
        <v>356</v>
      </c>
      <c r="H13" s="15" t="s">
        <v>87</v>
      </c>
      <c r="I13" s="16">
        <v>8173</v>
      </c>
      <c r="J13" s="17" t="s">
        <v>210</v>
      </c>
      <c r="O13" s="15" t="s">
        <v>158</v>
      </c>
    </row>
    <row r="14" spans="2:19" x14ac:dyDescent="0.3">
      <c r="B14" s="15" t="s">
        <v>362</v>
      </c>
      <c r="D14" s="15" t="s">
        <v>130</v>
      </c>
      <c r="F14" s="15" t="s">
        <v>94</v>
      </c>
      <c r="H14" s="15" t="s">
        <v>91</v>
      </c>
      <c r="I14" s="16">
        <v>8173</v>
      </c>
      <c r="J14" s="17" t="s">
        <v>211</v>
      </c>
      <c r="O14" s="15" t="s">
        <v>982</v>
      </c>
    </row>
    <row r="15" spans="2:19" x14ac:dyDescent="0.3">
      <c r="B15" s="15" t="s">
        <v>363</v>
      </c>
      <c r="D15" s="15" t="s">
        <v>131</v>
      </c>
      <c r="F15" s="15" t="s">
        <v>102</v>
      </c>
      <c r="H15" s="15" t="s">
        <v>96</v>
      </c>
      <c r="I15" s="16">
        <v>8173</v>
      </c>
      <c r="J15" s="17" t="s">
        <v>212</v>
      </c>
    </row>
    <row r="16" spans="2:19" x14ac:dyDescent="0.3">
      <c r="B16" s="15" t="s">
        <v>402</v>
      </c>
      <c r="D16" s="15" t="s">
        <v>133</v>
      </c>
      <c r="F16" s="15" t="s">
        <v>559</v>
      </c>
      <c r="H16" s="15" t="s">
        <v>99</v>
      </c>
      <c r="I16" s="16">
        <v>8173</v>
      </c>
      <c r="J16" s="17" t="s">
        <v>213</v>
      </c>
    </row>
    <row r="17" spans="2:10" x14ac:dyDescent="0.3">
      <c r="D17" s="15" t="s">
        <v>135</v>
      </c>
      <c r="F17" s="15" t="s">
        <v>107</v>
      </c>
      <c r="H17" s="15" t="s">
        <v>104</v>
      </c>
      <c r="I17" s="16">
        <v>8173</v>
      </c>
      <c r="J17" s="17" t="s">
        <v>214</v>
      </c>
    </row>
    <row r="18" spans="2:10" x14ac:dyDescent="0.3">
      <c r="B18" s="91" t="s">
        <v>365</v>
      </c>
      <c r="D18" s="15" t="s">
        <v>136</v>
      </c>
      <c r="F18" s="15" t="s">
        <v>116</v>
      </c>
      <c r="H18" s="15" t="s">
        <v>109</v>
      </c>
      <c r="I18" s="16">
        <v>8173</v>
      </c>
      <c r="J18" s="17" t="s">
        <v>215</v>
      </c>
    </row>
    <row r="19" spans="2:10" x14ac:dyDescent="0.3">
      <c r="B19" s="122" t="s">
        <v>373</v>
      </c>
      <c r="D19" s="15" t="s">
        <v>137</v>
      </c>
      <c r="F19" s="15" t="s">
        <v>121</v>
      </c>
      <c r="H19" s="15" t="s">
        <v>113</v>
      </c>
      <c r="I19" s="16">
        <v>8173</v>
      </c>
      <c r="J19" s="17" t="s">
        <v>216</v>
      </c>
    </row>
    <row r="20" spans="2:10" x14ac:dyDescent="0.3">
      <c r="B20" s="15" t="s">
        <v>374</v>
      </c>
      <c r="D20" s="15" t="s">
        <v>138</v>
      </c>
      <c r="F20" s="15" t="s">
        <v>386</v>
      </c>
      <c r="H20" s="15" t="s">
        <v>118</v>
      </c>
      <c r="I20" s="16">
        <v>8173</v>
      </c>
      <c r="J20" s="17" t="s">
        <v>217</v>
      </c>
    </row>
    <row r="21" spans="2:10" x14ac:dyDescent="0.3">
      <c r="B21" s="15" t="s">
        <v>375</v>
      </c>
      <c r="D21" s="15" t="s">
        <v>139</v>
      </c>
      <c r="F21" s="15" t="s">
        <v>125</v>
      </c>
      <c r="H21" s="15" t="s">
        <v>123</v>
      </c>
      <c r="I21" s="16">
        <v>8173</v>
      </c>
      <c r="J21" s="17" t="s">
        <v>218</v>
      </c>
    </row>
    <row r="22" spans="2:10" x14ac:dyDescent="0.3">
      <c r="B22" s="15" t="s">
        <v>376</v>
      </c>
      <c r="D22" s="15" t="s">
        <v>140</v>
      </c>
      <c r="F22" s="15" t="s">
        <v>132</v>
      </c>
      <c r="H22" s="15" t="s">
        <v>127</v>
      </c>
      <c r="I22" s="16">
        <v>8173</v>
      </c>
      <c r="J22" s="17" t="s">
        <v>219</v>
      </c>
    </row>
    <row r="23" spans="2:10" x14ac:dyDescent="0.3">
      <c r="B23" s="15" t="s">
        <v>377</v>
      </c>
      <c r="D23" s="15" t="s">
        <v>141</v>
      </c>
      <c r="F23" s="15" t="s">
        <v>134</v>
      </c>
      <c r="I23" s="16">
        <v>8173</v>
      </c>
      <c r="J23" s="17" t="s">
        <v>351</v>
      </c>
    </row>
    <row r="24" spans="2:10" x14ac:dyDescent="0.3">
      <c r="B24" s="15" t="s">
        <v>378</v>
      </c>
      <c r="D24" s="15" t="s">
        <v>142</v>
      </c>
      <c r="F24" s="15" t="s">
        <v>387</v>
      </c>
      <c r="J24" s="15" t="s">
        <v>331</v>
      </c>
    </row>
    <row r="25" spans="2:10" x14ac:dyDescent="0.3">
      <c r="B25" s="15" t="s">
        <v>379</v>
      </c>
      <c r="D25" s="15" t="s">
        <v>143</v>
      </c>
      <c r="F25" s="15" t="s">
        <v>558</v>
      </c>
    </row>
    <row r="26" spans="2:10" x14ac:dyDescent="0.3">
      <c r="B26" s="15" t="s">
        <v>380</v>
      </c>
      <c r="D26" s="15" t="s">
        <v>144</v>
      </c>
      <c r="F26" s="15" t="s">
        <v>385</v>
      </c>
    </row>
    <row r="27" spans="2:10" x14ac:dyDescent="0.3">
      <c r="B27" s="15" t="s">
        <v>381</v>
      </c>
      <c r="D27" s="15" t="s">
        <v>145</v>
      </c>
      <c r="F27" s="15" t="s">
        <v>565</v>
      </c>
      <c r="H27" s="15" t="s">
        <v>336</v>
      </c>
    </row>
    <row r="28" spans="2:10" x14ac:dyDescent="0.3">
      <c r="B28" s="15" t="s">
        <v>382</v>
      </c>
      <c r="D28" s="15" t="s">
        <v>146</v>
      </c>
      <c r="F28" s="15" t="s">
        <v>568</v>
      </c>
    </row>
    <row r="29" spans="2:10" x14ac:dyDescent="0.3">
      <c r="B29" s="15" t="s">
        <v>383</v>
      </c>
      <c r="D29" s="15" t="s">
        <v>147</v>
      </c>
      <c r="F29" s="15" t="s">
        <v>569</v>
      </c>
    </row>
    <row r="30" spans="2:10" x14ac:dyDescent="0.3">
      <c r="B30" s="15" t="s">
        <v>384</v>
      </c>
      <c r="F30" s="15" t="s">
        <v>570</v>
      </c>
    </row>
    <row r="31" spans="2:10" x14ac:dyDescent="0.3">
      <c r="B31" s="15" t="s">
        <v>992</v>
      </c>
      <c r="F31" s="15" t="s">
        <v>571</v>
      </c>
    </row>
    <row r="32" spans="2:10" x14ac:dyDescent="0.3">
      <c r="F32" s="15" t="s">
        <v>573</v>
      </c>
    </row>
    <row r="33" spans="6:6" x14ac:dyDescent="0.3">
      <c r="F33" s="15" t="s">
        <v>574</v>
      </c>
    </row>
    <row r="34" spans="6:6" x14ac:dyDescent="0.3">
      <c r="F34" s="15" t="s">
        <v>332</v>
      </c>
    </row>
    <row r="35" spans="6:6" x14ac:dyDescent="0.3">
      <c r="F35" s="15" t="s">
        <v>919</v>
      </c>
    </row>
    <row r="36" spans="6:6" x14ac:dyDescent="0.3">
      <c r="F36" s="15" t="s">
        <v>920</v>
      </c>
    </row>
    <row r="37" spans="6:6" x14ac:dyDescent="0.3">
      <c r="F37" s="15" t="s">
        <v>921</v>
      </c>
    </row>
    <row r="38" spans="6:6" x14ac:dyDescent="0.3">
      <c r="F38" s="15" t="s">
        <v>922</v>
      </c>
    </row>
    <row r="39" spans="6:6" x14ac:dyDescent="0.3">
      <c r="F39" s="15" t="s">
        <v>923</v>
      </c>
    </row>
    <row r="40" spans="6:6" x14ac:dyDescent="0.3">
      <c r="F40" s="15" t="s">
        <v>924</v>
      </c>
    </row>
    <row r="41" spans="6:6" x14ac:dyDescent="0.3">
      <c r="F41" s="15" t="s">
        <v>925</v>
      </c>
    </row>
    <row r="42" spans="6:6" x14ac:dyDescent="0.3">
      <c r="F42" s="15" t="s">
        <v>926</v>
      </c>
    </row>
    <row r="43" spans="6:6" x14ac:dyDescent="0.3">
      <c r="F43" s="15" t="s">
        <v>927</v>
      </c>
    </row>
    <row r="50" spans="2:26" ht="45" x14ac:dyDescent="0.3">
      <c r="B50" s="92" t="s">
        <v>199</v>
      </c>
      <c r="C50" s="92" t="s">
        <v>184</v>
      </c>
      <c r="D50" s="92" t="s">
        <v>185</v>
      </c>
      <c r="E50" s="92" t="s">
        <v>163</v>
      </c>
      <c r="F50" s="92" t="s">
        <v>192</v>
      </c>
      <c r="J50" s="92" t="s">
        <v>72</v>
      </c>
      <c r="K50" s="92" t="s">
        <v>73</v>
      </c>
      <c r="N50" s="92" t="s">
        <v>74</v>
      </c>
      <c r="O50" s="92" t="s">
        <v>245</v>
      </c>
      <c r="P50" s="93"/>
      <c r="R50" s="92" t="s">
        <v>184</v>
      </c>
      <c r="T50" s="92" t="s">
        <v>185</v>
      </c>
      <c r="V50" s="92" t="s">
        <v>186</v>
      </c>
      <c r="X50" s="94" t="s">
        <v>71</v>
      </c>
      <c r="Z50" s="94" t="s">
        <v>232</v>
      </c>
    </row>
    <row r="51" spans="2:26" x14ac:dyDescent="0.3">
      <c r="B51" s="15" t="s">
        <v>198</v>
      </c>
      <c r="C51" s="16" t="s">
        <v>187</v>
      </c>
      <c r="D51" s="16" t="s">
        <v>188</v>
      </c>
      <c r="E51" s="16">
        <v>20240255</v>
      </c>
      <c r="F51" s="15" t="s">
        <v>149</v>
      </c>
      <c r="J51" s="89" t="s">
        <v>164</v>
      </c>
      <c r="K51" s="15" t="s">
        <v>165</v>
      </c>
      <c r="N51" s="15" t="s">
        <v>222</v>
      </c>
      <c r="O51" s="15" t="s">
        <v>235</v>
      </c>
      <c r="R51" s="15" t="s">
        <v>187</v>
      </c>
      <c r="T51" s="15" t="s">
        <v>188</v>
      </c>
      <c r="V51" s="15" t="s">
        <v>190</v>
      </c>
      <c r="X51" s="15" t="s">
        <v>193</v>
      </c>
      <c r="Z51" s="15" t="s">
        <v>222</v>
      </c>
    </row>
    <row r="52" spans="2:26" x14ac:dyDescent="0.3">
      <c r="B52" s="15" t="s">
        <v>197</v>
      </c>
      <c r="C52" s="16" t="s">
        <v>187</v>
      </c>
      <c r="D52" s="16" t="s">
        <v>189</v>
      </c>
      <c r="E52" s="16">
        <v>20240207</v>
      </c>
      <c r="F52" s="15" t="s">
        <v>148</v>
      </c>
      <c r="J52" s="89" t="s">
        <v>166</v>
      </c>
      <c r="K52" s="15" t="s">
        <v>167</v>
      </c>
      <c r="N52" s="15" t="s">
        <v>221</v>
      </c>
      <c r="O52" s="15" t="s">
        <v>234</v>
      </c>
      <c r="T52" s="15" t="s">
        <v>189</v>
      </c>
      <c r="V52" s="15" t="s">
        <v>191</v>
      </c>
      <c r="X52" s="15" t="s">
        <v>194</v>
      </c>
      <c r="Z52" s="15" t="s">
        <v>221</v>
      </c>
    </row>
    <row r="53" spans="2:26" x14ac:dyDescent="0.3">
      <c r="B53" s="15" t="s">
        <v>330</v>
      </c>
      <c r="C53" s="16" t="s">
        <v>333</v>
      </c>
      <c r="D53" s="16" t="s">
        <v>333</v>
      </c>
      <c r="E53" s="16" t="s">
        <v>333</v>
      </c>
      <c r="F53" s="16" t="s">
        <v>333</v>
      </c>
      <c r="J53" s="89" t="s">
        <v>170</v>
      </c>
      <c r="K53" s="15" t="s">
        <v>171</v>
      </c>
      <c r="N53" s="15" t="s">
        <v>228</v>
      </c>
      <c r="O53" s="15" t="s">
        <v>240</v>
      </c>
      <c r="Z53" s="15" t="s">
        <v>228</v>
      </c>
    </row>
    <row r="54" spans="2:26" x14ac:dyDescent="0.3">
      <c r="B54" s="17" t="s">
        <v>335</v>
      </c>
      <c r="C54" s="16" t="s">
        <v>333</v>
      </c>
      <c r="D54" s="16" t="s">
        <v>333</v>
      </c>
      <c r="E54" s="16" t="s">
        <v>333</v>
      </c>
      <c r="F54" s="16" t="s">
        <v>333</v>
      </c>
      <c r="J54" s="89" t="s">
        <v>172</v>
      </c>
      <c r="K54" s="15" t="s">
        <v>173</v>
      </c>
      <c r="N54" s="15" t="s">
        <v>225</v>
      </c>
      <c r="O54" s="15" t="s">
        <v>237</v>
      </c>
      <c r="Z54" s="15" t="s">
        <v>225</v>
      </c>
    </row>
    <row r="55" spans="2:26" x14ac:dyDescent="0.3">
      <c r="J55" s="89" t="s">
        <v>174</v>
      </c>
      <c r="K55" s="15" t="s">
        <v>175</v>
      </c>
      <c r="N55" s="15" t="s">
        <v>226</v>
      </c>
      <c r="O55" s="15" t="s">
        <v>238</v>
      </c>
      <c r="Z55" s="15" t="s">
        <v>226</v>
      </c>
    </row>
    <row r="56" spans="2:26" x14ac:dyDescent="0.3">
      <c r="D56" s="15" t="s">
        <v>396</v>
      </c>
      <c r="J56" s="89" t="s">
        <v>176</v>
      </c>
      <c r="K56" s="15" t="s">
        <v>177</v>
      </c>
      <c r="N56" s="15" t="s">
        <v>227</v>
      </c>
      <c r="O56" s="15" t="s">
        <v>239</v>
      </c>
      <c r="Z56" s="15" t="s">
        <v>227</v>
      </c>
    </row>
    <row r="57" spans="2:26" x14ac:dyDescent="0.3">
      <c r="D57" s="15" t="s">
        <v>397</v>
      </c>
      <c r="J57" s="89" t="s">
        <v>178</v>
      </c>
      <c r="K57" s="15" t="s">
        <v>179</v>
      </c>
      <c r="N57" s="15" t="s">
        <v>224</v>
      </c>
      <c r="O57" s="15" t="s">
        <v>390</v>
      </c>
      <c r="Z57" s="15" t="s">
        <v>224</v>
      </c>
    </row>
    <row r="58" spans="2:26" x14ac:dyDescent="0.3">
      <c r="D58" s="15" t="s">
        <v>398</v>
      </c>
      <c r="J58" s="89" t="s">
        <v>168</v>
      </c>
      <c r="K58" s="15" t="s">
        <v>169</v>
      </c>
      <c r="N58" s="15" t="s">
        <v>231</v>
      </c>
      <c r="O58" s="15" t="s">
        <v>243</v>
      </c>
      <c r="Z58" s="15" t="s">
        <v>231</v>
      </c>
    </row>
    <row r="59" spans="2:26" x14ac:dyDescent="0.3">
      <c r="J59" s="89" t="s">
        <v>180</v>
      </c>
      <c r="K59" s="15" t="s">
        <v>181</v>
      </c>
      <c r="N59" s="15" t="s">
        <v>230</v>
      </c>
      <c r="O59" s="15" t="s">
        <v>242</v>
      </c>
      <c r="Z59" s="15" t="s">
        <v>230</v>
      </c>
    </row>
    <row r="60" spans="2:26" x14ac:dyDescent="0.3">
      <c r="J60" s="89" t="s">
        <v>182</v>
      </c>
      <c r="K60" s="15" t="s">
        <v>183</v>
      </c>
      <c r="N60" s="15" t="s">
        <v>229</v>
      </c>
      <c r="O60" s="15" t="s">
        <v>241</v>
      </c>
      <c r="Z60" s="15" t="s">
        <v>229</v>
      </c>
    </row>
    <row r="61" spans="2:26" x14ac:dyDescent="0.3">
      <c r="J61" s="89">
        <v>14</v>
      </c>
      <c r="K61" s="15" t="s">
        <v>388</v>
      </c>
      <c r="N61" s="15" t="s">
        <v>282</v>
      </c>
      <c r="O61" s="15" t="s">
        <v>244</v>
      </c>
      <c r="Z61" s="15" t="s">
        <v>223</v>
      </c>
    </row>
    <row r="62" spans="2:26" x14ac:dyDescent="0.3">
      <c r="J62" s="89">
        <v>15</v>
      </c>
      <c r="K62" s="15" t="s">
        <v>389</v>
      </c>
      <c r="N62" s="15" t="s">
        <v>223</v>
      </c>
      <c r="O62" s="15" t="s">
        <v>236</v>
      </c>
    </row>
    <row r="63" spans="2:26" x14ac:dyDescent="0.3">
      <c r="J63" s="89">
        <v>16</v>
      </c>
      <c r="K63" s="15" t="s">
        <v>390</v>
      </c>
      <c r="N63" s="15" t="s">
        <v>335</v>
      </c>
      <c r="O63" s="15" t="s">
        <v>335</v>
      </c>
    </row>
    <row r="64" spans="2:26" x14ac:dyDescent="0.3">
      <c r="J64" s="15" t="s">
        <v>335</v>
      </c>
      <c r="K64" s="15" t="s">
        <v>335</v>
      </c>
    </row>
    <row r="66" spans="10:11" x14ac:dyDescent="0.3">
      <c r="J66" s="18" t="s">
        <v>264</v>
      </c>
      <c r="K66" s="18" t="s">
        <v>281</v>
      </c>
    </row>
    <row r="67" spans="10:11" x14ac:dyDescent="0.3">
      <c r="J67" s="15" t="s">
        <v>265</v>
      </c>
      <c r="K67" s="15" t="s">
        <v>246</v>
      </c>
    </row>
    <row r="68" spans="10:11" x14ac:dyDescent="0.3">
      <c r="J68" s="15" t="s">
        <v>266</v>
      </c>
      <c r="K68" s="15" t="s">
        <v>247</v>
      </c>
    </row>
    <row r="69" spans="10:11" x14ac:dyDescent="0.3">
      <c r="J69" s="15" t="s">
        <v>267</v>
      </c>
      <c r="K69" s="15" t="s">
        <v>248</v>
      </c>
    </row>
    <row r="70" spans="10:11" x14ac:dyDescent="0.3">
      <c r="J70" s="15" t="s">
        <v>269</v>
      </c>
      <c r="K70" s="15" t="s">
        <v>250</v>
      </c>
    </row>
    <row r="71" spans="10:11" x14ac:dyDescent="0.3">
      <c r="J71" s="15" t="s">
        <v>270</v>
      </c>
      <c r="K71" s="15" t="s">
        <v>251</v>
      </c>
    </row>
    <row r="72" spans="10:11" x14ac:dyDescent="0.3">
      <c r="J72" s="15" t="s">
        <v>271</v>
      </c>
      <c r="K72" s="15" t="s">
        <v>252</v>
      </c>
    </row>
    <row r="73" spans="10:11" x14ac:dyDescent="0.3">
      <c r="J73" s="15" t="s">
        <v>272</v>
      </c>
      <c r="K73" s="15" t="s">
        <v>253</v>
      </c>
    </row>
    <row r="74" spans="10:11" x14ac:dyDescent="0.3">
      <c r="J74" s="15" t="s">
        <v>273</v>
      </c>
      <c r="K74" s="15" t="s">
        <v>254</v>
      </c>
    </row>
    <row r="75" spans="10:11" x14ac:dyDescent="0.3">
      <c r="J75" s="15" t="s">
        <v>283</v>
      </c>
      <c r="K75" s="15" t="s">
        <v>262</v>
      </c>
    </row>
    <row r="76" spans="10:11" x14ac:dyDescent="0.3">
      <c r="J76" s="15" t="s">
        <v>274</v>
      </c>
      <c r="K76" s="15" t="s">
        <v>255</v>
      </c>
    </row>
    <row r="77" spans="10:11" x14ac:dyDescent="0.3">
      <c r="J77" s="15" t="s">
        <v>275</v>
      </c>
      <c r="K77" s="15" t="s">
        <v>256</v>
      </c>
    </row>
    <row r="78" spans="10:11" x14ac:dyDescent="0.3">
      <c r="J78" s="15" t="s">
        <v>276</v>
      </c>
      <c r="K78" s="15" t="s">
        <v>257</v>
      </c>
    </row>
    <row r="79" spans="10:11" x14ac:dyDescent="0.3">
      <c r="J79" s="15" t="s">
        <v>268</v>
      </c>
      <c r="K79" s="15" t="s">
        <v>249</v>
      </c>
    </row>
    <row r="80" spans="10:11" x14ac:dyDescent="0.3">
      <c r="J80" s="15" t="s">
        <v>277</v>
      </c>
      <c r="K80" s="15" t="s">
        <v>258</v>
      </c>
    </row>
    <row r="81" spans="10:11" x14ac:dyDescent="0.3">
      <c r="J81" s="15" t="s">
        <v>280</v>
      </c>
      <c r="K81" s="15" t="s">
        <v>261</v>
      </c>
    </row>
    <row r="82" spans="10:11" x14ac:dyDescent="0.3">
      <c r="J82" s="15" t="s">
        <v>279</v>
      </c>
      <c r="K82" s="15" t="s">
        <v>260</v>
      </c>
    </row>
    <row r="83" spans="10:11" x14ac:dyDescent="0.3">
      <c r="J83" s="15" t="s">
        <v>278</v>
      </c>
      <c r="K83" s="15" t="s">
        <v>259</v>
      </c>
    </row>
    <row r="84" spans="10:11" x14ac:dyDescent="0.3">
      <c r="J84" s="15" t="s">
        <v>391</v>
      </c>
      <c r="K84" s="15" t="s">
        <v>392</v>
      </c>
    </row>
    <row r="85" spans="10:11" x14ac:dyDescent="0.3">
      <c r="J85" s="15" t="s">
        <v>567</v>
      </c>
      <c r="K85" s="15" t="s">
        <v>566</v>
      </c>
    </row>
    <row r="86" spans="10:11" x14ac:dyDescent="0.3">
      <c r="J86" s="15" t="s">
        <v>393</v>
      </c>
      <c r="K86" s="15" t="s">
        <v>394</v>
      </c>
    </row>
    <row r="87" spans="10:11" x14ac:dyDescent="0.3">
      <c r="J87" s="15" t="s">
        <v>561</v>
      </c>
      <c r="K87" s="15" t="s">
        <v>395</v>
      </c>
    </row>
    <row r="88" spans="10:11" x14ac:dyDescent="0.3">
      <c r="J88" s="15" t="s">
        <v>331</v>
      </c>
      <c r="K88" s="15" t="s">
        <v>331</v>
      </c>
    </row>
    <row r="89" spans="10:11" x14ac:dyDescent="0.3">
      <c r="J89" s="15" t="s">
        <v>336</v>
      </c>
      <c r="K89" s="15" t="s">
        <v>335</v>
      </c>
    </row>
  </sheetData>
  <sortState xmlns:xlrd2="http://schemas.microsoft.com/office/spreadsheetml/2017/richdata2" ref="F2:F32">
    <sortCondition ref="F2"/>
  </sortState>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B3:J86"/>
  <sheetViews>
    <sheetView showGridLines="0" topLeftCell="A4" zoomScale="75" zoomScaleNormal="75" workbookViewId="0">
      <selection activeCell="E74" sqref="E74:F74"/>
    </sheetView>
  </sheetViews>
  <sheetFormatPr baseColWidth="10" defaultColWidth="10.7265625" defaultRowHeight="14.5" x14ac:dyDescent="0.35"/>
  <cols>
    <col min="2" max="2" width="10.7265625" style="10" customWidth="1"/>
    <col min="3" max="3" width="17.1796875" style="5" bestFit="1" customWidth="1"/>
    <col min="4" max="4" width="20.81640625" customWidth="1"/>
    <col min="5" max="5" width="33.453125" bestFit="1" customWidth="1"/>
    <col min="6" max="6" width="34.1796875" customWidth="1"/>
    <col min="7" max="7" width="18.453125" bestFit="1" customWidth="1"/>
    <col min="8" max="8" width="16.1796875" bestFit="1" customWidth="1"/>
    <col min="9" max="10" width="17.1796875" bestFit="1" customWidth="1"/>
  </cols>
  <sheetData>
    <row r="3" spans="2:10" x14ac:dyDescent="0.35">
      <c r="B3" s="14" t="s">
        <v>59</v>
      </c>
      <c r="C3" s="14"/>
      <c r="D3" s="14"/>
      <c r="E3" s="231" t="s">
        <v>60</v>
      </c>
      <c r="F3" s="231"/>
      <c r="G3" s="231"/>
      <c r="H3" s="231"/>
      <c r="I3" s="231"/>
      <c r="J3" s="231"/>
    </row>
    <row r="5" spans="2:10" x14ac:dyDescent="0.35">
      <c r="B5" s="9" t="s">
        <v>49</v>
      </c>
      <c r="C5" s="7" t="s">
        <v>50</v>
      </c>
      <c r="E5" s="9" t="s">
        <v>0</v>
      </c>
      <c r="F5" s="9" t="s">
        <v>52</v>
      </c>
      <c r="G5" s="11">
        <v>7637</v>
      </c>
      <c r="H5" s="11">
        <v>7655</v>
      </c>
      <c r="I5" s="11">
        <v>7658</v>
      </c>
      <c r="J5" s="9" t="s">
        <v>54</v>
      </c>
    </row>
    <row r="6" spans="2:10" x14ac:dyDescent="0.35">
      <c r="B6" s="1">
        <v>7658</v>
      </c>
      <c r="C6" s="4">
        <v>32529175840</v>
      </c>
      <c r="E6" s="224" t="s">
        <v>45</v>
      </c>
      <c r="F6" s="224"/>
      <c r="G6" s="4"/>
      <c r="H6" s="4">
        <v>596500000</v>
      </c>
      <c r="I6" s="4"/>
      <c r="J6" s="4">
        <v>596500000</v>
      </c>
    </row>
    <row r="7" spans="2:10" x14ac:dyDescent="0.35">
      <c r="B7" s="1">
        <v>7655</v>
      </c>
      <c r="C7" s="4">
        <v>6691034160</v>
      </c>
      <c r="E7" s="224" t="s">
        <v>44</v>
      </c>
      <c r="F7" s="224"/>
      <c r="G7" s="4"/>
      <c r="H7" s="4">
        <v>403500000</v>
      </c>
      <c r="I7" s="4"/>
      <c r="J7" s="4">
        <v>403500000</v>
      </c>
    </row>
    <row r="8" spans="2:10" x14ac:dyDescent="0.35">
      <c r="B8" s="1">
        <v>7637</v>
      </c>
      <c r="C8" s="4">
        <v>3299800000</v>
      </c>
      <c r="E8" s="224" t="s">
        <v>36</v>
      </c>
      <c r="F8" s="224"/>
      <c r="G8" s="4">
        <v>3299800000</v>
      </c>
      <c r="H8" s="4">
        <v>900200000</v>
      </c>
      <c r="I8" s="4"/>
      <c r="J8" s="4">
        <v>4200000000</v>
      </c>
    </row>
    <row r="9" spans="2:10" x14ac:dyDescent="0.35">
      <c r="B9" s="9" t="s">
        <v>51</v>
      </c>
      <c r="C9" s="8">
        <v>42520010000</v>
      </c>
      <c r="E9" s="224" t="s">
        <v>46</v>
      </c>
      <c r="F9" s="224"/>
      <c r="G9" s="4"/>
      <c r="H9" s="4">
        <v>432858000</v>
      </c>
      <c r="I9" s="4"/>
      <c r="J9" s="4">
        <v>432858000</v>
      </c>
    </row>
    <row r="10" spans="2:10" x14ac:dyDescent="0.35">
      <c r="E10" s="224" t="s">
        <v>32</v>
      </c>
      <c r="F10" s="224"/>
      <c r="G10" s="4"/>
      <c r="H10" s="4">
        <v>323006000</v>
      </c>
      <c r="I10" s="4"/>
      <c r="J10" s="4">
        <v>323006000</v>
      </c>
    </row>
    <row r="11" spans="2:10" x14ac:dyDescent="0.35">
      <c r="E11" s="224" t="s">
        <v>28</v>
      </c>
      <c r="F11" s="224"/>
      <c r="G11" s="4"/>
      <c r="H11" s="4">
        <v>1200000000</v>
      </c>
      <c r="I11" s="4"/>
      <c r="J11" s="4">
        <v>1200000000</v>
      </c>
    </row>
    <row r="12" spans="2:10" x14ac:dyDescent="0.35">
      <c r="E12" s="224" t="s">
        <v>3</v>
      </c>
      <c r="F12" s="224"/>
      <c r="G12" s="4"/>
      <c r="H12" s="4">
        <v>2214252160</v>
      </c>
      <c r="I12" s="4">
        <v>7786929840</v>
      </c>
      <c r="J12" s="4">
        <v>10001182000</v>
      </c>
    </row>
    <row r="13" spans="2:10" x14ac:dyDescent="0.35">
      <c r="E13" s="224" t="s">
        <v>29</v>
      </c>
      <c r="F13" s="224"/>
      <c r="G13" s="4"/>
      <c r="H13" s="4">
        <v>170000000</v>
      </c>
      <c r="I13" s="4">
        <v>3730000000</v>
      </c>
      <c r="J13" s="4">
        <v>3900000000</v>
      </c>
    </row>
    <row r="14" spans="2:10" x14ac:dyDescent="0.35">
      <c r="E14" s="224" t="s">
        <v>33</v>
      </c>
      <c r="F14" s="224"/>
      <c r="G14" s="4"/>
      <c r="H14" s="4">
        <v>450718000</v>
      </c>
      <c r="I14" s="4">
        <v>1449282000</v>
      </c>
      <c r="J14" s="4">
        <v>1900000000</v>
      </c>
    </row>
    <row r="15" spans="2:10" x14ac:dyDescent="0.35">
      <c r="E15" s="224" t="s">
        <v>19</v>
      </c>
      <c r="F15" s="224"/>
      <c r="G15" s="4"/>
      <c r="H15" s="4"/>
      <c r="I15" s="4">
        <v>10011982000</v>
      </c>
      <c r="J15" s="4">
        <v>10011982000</v>
      </c>
    </row>
    <row r="16" spans="2:10" x14ac:dyDescent="0.35">
      <c r="E16" s="224" t="s">
        <v>47</v>
      </c>
      <c r="F16" s="224"/>
      <c r="G16" s="4"/>
      <c r="H16" s="4"/>
      <c r="I16" s="4">
        <v>9550982000</v>
      </c>
      <c r="J16" s="4">
        <v>9550982000</v>
      </c>
    </row>
    <row r="17" spans="3:10" x14ac:dyDescent="0.35">
      <c r="E17" s="226" t="s">
        <v>53</v>
      </c>
      <c r="F17" s="227"/>
      <c r="G17" s="8">
        <v>3299800000</v>
      </c>
      <c r="H17" s="8">
        <v>6691034160</v>
      </c>
      <c r="I17" s="8">
        <v>32529175840</v>
      </c>
      <c r="J17" s="8">
        <v>42520010000</v>
      </c>
    </row>
    <row r="20" spans="3:10" x14ac:dyDescent="0.35">
      <c r="C20" s="228" t="s">
        <v>62</v>
      </c>
      <c r="D20" s="228"/>
      <c r="E20" s="228"/>
      <c r="F20" s="228"/>
      <c r="G20" s="228"/>
    </row>
    <row r="22" spans="3:10" x14ac:dyDescent="0.35">
      <c r="C22" s="12" t="s">
        <v>63</v>
      </c>
    </row>
    <row r="23" spans="3:10" x14ac:dyDescent="0.35">
      <c r="C23" s="9" t="s">
        <v>55</v>
      </c>
      <c r="D23" s="13" t="s">
        <v>56</v>
      </c>
      <c r="E23" s="225" t="s">
        <v>0</v>
      </c>
      <c r="F23" s="225"/>
      <c r="G23" s="9" t="s">
        <v>57</v>
      </c>
    </row>
    <row r="24" spans="3:10" x14ac:dyDescent="0.35">
      <c r="C24" s="3" t="s">
        <v>35</v>
      </c>
      <c r="D24" s="6" t="s">
        <v>34</v>
      </c>
      <c r="E24" s="224" t="s">
        <v>33</v>
      </c>
      <c r="F24" s="224"/>
      <c r="G24" s="4">
        <v>1449282000</v>
      </c>
    </row>
    <row r="25" spans="3:10" x14ac:dyDescent="0.35">
      <c r="C25" s="3" t="s">
        <v>31</v>
      </c>
      <c r="D25" s="6" t="s">
        <v>30</v>
      </c>
      <c r="E25" s="224" t="s">
        <v>29</v>
      </c>
      <c r="F25" s="224"/>
      <c r="G25" s="4">
        <v>3730000000</v>
      </c>
    </row>
    <row r="26" spans="3:10" x14ac:dyDescent="0.35">
      <c r="C26" s="3" t="s">
        <v>6</v>
      </c>
      <c r="D26" s="6" t="s">
        <v>9</v>
      </c>
      <c r="E26" s="224" t="s">
        <v>3</v>
      </c>
      <c r="F26" s="224"/>
      <c r="G26" s="4">
        <v>2822768000</v>
      </c>
    </row>
    <row r="27" spans="3:10" x14ac:dyDescent="0.35">
      <c r="C27" s="3" t="s">
        <v>6</v>
      </c>
      <c r="D27" s="6" t="s">
        <v>48</v>
      </c>
      <c r="E27" s="224" t="s">
        <v>47</v>
      </c>
      <c r="F27" s="224"/>
      <c r="G27" s="4">
        <v>9550982000</v>
      </c>
    </row>
    <row r="28" spans="3:10" x14ac:dyDescent="0.35">
      <c r="C28" s="3" t="s">
        <v>6</v>
      </c>
      <c r="D28" s="6" t="s">
        <v>23</v>
      </c>
      <c r="E28" s="224" t="s">
        <v>19</v>
      </c>
      <c r="F28" s="224"/>
      <c r="G28" s="4">
        <v>2028491000</v>
      </c>
    </row>
    <row r="29" spans="3:10" x14ac:dyDescent="0.35">
      <c r="C29" s="3" t="s">
        <v>6</v>
      </c>
      <c r="D29" s="6" t="s">
        <v>21</v>
      </c>
      <c r="E29" s="224" t="s">
        <v>19</v>
      </c>
      <c r="F29" s="224"/>
      <c r="G29" s="4">
        <v>7983491000</v>
      </c>
    </row>
    <row r="30" spans="3:10" x14ac:dyDescent="0.35">
      <c r="C30" s="3" t="s">
        <v>18</v>
      </c>
      <c r="D30" s="6" t="s">
        <v>17</v>
      </c>
      <c r="E30" s="224" t="s">
        <v>3</v>
      </c>
      <c r="F30" s="224"/>
      <c r="G30" s="4">
        <v>100000000</v>
      </c>
    </row>
    <row r="31" spans="3:10" x14ac:dyDescent="0.35">
      <c r="C31" s="3" t="s">
        <v>15</v>
      </c>
      <c r="D31" s="6" t="s">
        <v>14</v>
      </c>
      <c r="E31" s="224" t="s">
        <v>3</v>
      </c>
      <c r="F31" s="224"/>
      <c r="G31" s="4">
        <v>4864161840</v>
      </c>
    </row>
    <row r="32" spans="3:10" x14ac:dyDescent="0.35">
      <c r="C32" s="226" t="s">
        <v>27</v>
      </c>
      <c r="D32" s="230"/>
      <c r="E32" s="230"/>
      <c r="F32" s="227"/>
      <c r="G32" s="8">
        <f>SUM(G24:G31)</f>
        <v>32529175840</v>
      </c>
    </row>
    <row r="34" spans="3:7" x14ac:dyDescent="0.35">
      <c r="C34" s="12" t="s">
        <v>64</v>
      </c>
    </row>
    <row r="35" spans="3:7" x14ac:dyDescent="0.35">
      <c r="C35" s="9" t="s">
        <v>55</v>
      </c>
      <c r="D35" s="13" t="s">
        <v>56</v>
      </c>
      <c r="E35" s="225" t="s">
        <v>0</v>
      </c>
      <c r="F35" s="225"/>
      <c r="G35" s="9" t="s">
        <v>57</v>
      </c>
    </row>
    <row r="36" spans="3:7" x14ac:dyDescent="0.35">
      <c r="C36" s="6" t="s">
        <v>16</v>
      </c>
      <c r="D36" s="2" t="s">
        <v>5</v>
      </c>
      <c r="E36" s="224" t="s">
        <v>45</v>
      </c>
      <c r="F36" s="224"/>
      <c r="G36" s="2">
        <v>596500000</v>
      </c>
    </row>
    <row r="37" spans="3:7" x14ac:dyDescent="0.35">
      <c r="C37" s="6" t="s">
        <v>16</v>
      </c>
      <c r="D37" s="2" t="s">
        <v>5</v>
      </c>
      <c r="E37" s="224" t="s">
        <v>44</v>
      </c>
      <c r="F37" s="224"/>
      <c r="G37" s="2">
        <v>403500000</v>
      </c>
    </row>
    <row r="38" spans="3:7" x14ac:dyDescent="0.35">
      <c r="C38" s="6" t="s">
        <v>16</v>
      </c>
      <c r="D38" s="2" t="s">
        <v>5</v>
      </c>
      <c r="E38" s="224" t="s">
        <v>36</v>
      </c>
      <c r="F38" s="224"/>
      <c r="G38" s="2">
        <v>900200000</v>
      </c>
    </row>
    <row r="39" spans="3:7" x14ac:dyDescent="0.35">
      <c r="C39" s="6" t="s">
        <v>16</v>
      </c>
      <c r="D39" s="2" t="s">
        <v>5</v>
      </c>
      <c r="E39" s="224" t="s">
        <v>46</v>
      </c>
      <c r="F39" s="224"/>
      <c r="G39" s="2">
        <v>432858000</v>
      </c>
    </row>
    <row r="40" spans="3:7" x14ac:dyDescent="0.35">
      <c r="C40" s="6" t="s">
        <v>16</v>
      </c>
      <c r="D40" s="2" t="s">
        <v>5</v>
      </c>
      <c r="E40" s="224" t="s">
        <v>32</v>
      </c>
      <c r="F40" s="224"/>
      <c r="G40" s="2">
        <v>323006000</v>
      </c>
    </row>
    <row r="41" spans="3:7" x14ac:dyDescent="0.35">
      <c r="C41" s="6" t="s">
        <v>16</v>
      </c>
      <c r="D41" s="2" t="s">
        <v>5</v>
      </c>
      <c r="E41" s="224" t="s">
        <v>28</v>
      </c>
      <c r="F41" s="224"/>
      <c r="G41" s="2">
        <v>1200000000</v>
      </c>
    </row>
    <row r="42" spans="3:7" x14ac:dyDescent="0.35">
      <c r="C42" s="6" t="s">
        <v>16</v>
      </c>
      <c r="D42" s="2" t="s">
        <v>5</v>
      </c>
      <c r="E42" s="224" t="s">
        <v>3</v>
      </c>
      <c r="F42" s="224"/>
      <c r="G42" s="2">
        <v>2214252160</v>
      </c>
    </row>
    <row r="43" spans="3:7" x14ac:dyDescent="0.35">
      <c r="C43" s="6" t="s">
        <v>16</v>
      </c>
      <c r="D43" s="2" t="s">
        <v>5</v>
      </c>
      <c r="E43" s="224" t="s">
        <v>29</v>
      </c>
      <c r="F43" s="224"/>
      <c r="G43" s="2">
        <v>170000000</v>
      </c>
    </row>
    <row r="44" spans="3:7" x14ac:dyDescent="0.35">
      <c r="C44" s="6" t="s">
        <v>16</v>
      </c>
      <c r="D44" s="2" t="s">
        <v>5</v>
      </c>
      <c r="E44" s="224" t="s">
        <v>33</v>
      </c>
      <c r="F44" s="224"/>
      <c r="G44" s="2">
        <v>450718000</v>
      </c>
    </row>
    <row r="45" spans="3:7" x14ac:dyDescent="0.35">
      <c r="C45" s="226" t="s">
        <v>27</v>
      </c>
      <c r="D45" s="230"/>
      <c r="E45" s="230"/>
      <c r="F45" s="227"/>
      <c r="G45" s="8">
        <f>SUM(G36:G44)</f>
        <v>6691034160</v>
      </c>
    </row>
    <row r="47" spans="3:7" x14ac:dyDescent="0.35">
      <c r="C47" s="12" t="s">
        <v>65</v>
      </c>
    </row>
    <row r="48" spans="3:7" x14ac:dyDescent="0.35">
      <c r="C48" s="9" t="s">
        <v>55</v>
      </c>
      <c r="D48" s="13" t="s">
        <v>56</v>
      </c>
      <c r="E48" s="225" t="s">
        <v>0</v>
      </c>
      <c r="F48" s="225"/>
      <c r="G48" s="9" t="s">
        <v>57</v>
      </c>
    </row>
    <row r="49" spans="3:7" x14ac:dyDescent="0.35">
      <c r="C49" s="6" t="s">
        <v>39</v>
      </c>
      <c r="D49" s="2" t="s">
        <v>41</v>
      </c>
      <c r="E49" s="224" t="s">
        <v>36</v>
      </c>
      <c r="F49" s="224"/>
      <c r="G49" s="6">
        <v>575315000</v>
      </c>
    </row>
    <row r="50" spans="3:7" x14ac:dyDescent="0.35">
      <c r="C50" s="6" t="s">
        <v>39</v>
      </c>
      <c r="D50" s="2" t="s">
        <v>38</v>
      </c>
      <c r="E50" s="224" t="s">
        <v>36</v>
      </c>
      <c r="F50" s="224"/>
      <c r="G50" s="6">
        <v>2724485000</v>
      </c>
    </row>
    <row r="51" spans="3:7" x14ac:dyDescent="0.35">
      <c r="C51" s="226" t="s">
        <v>27</v>
      </c>
      <c r="D51" s="230"/>
      <c r="E51" s="230"/>
      <c r="F51" s="227"/>
      <c r="G51" s="7">
        <f>SUM(G49:G50)</f>
        <v>3299800000</v>
      </c>
    </row>
    <row r="54" spans="3:7" x14ac:dyDescent="0.35">
      <c r="C54" s="14"/>
      <c r="D54" s="14"/>
      <c r="E54" s="231" t="s">
        <v>58</v>
      </c>
      <c r="F54" s="231"/>
      <c r="G54" s="231"/>
    </row>
    <row r="56" spans="3:7" x14ac:dyDescent="0.35">
      <c r="E56" s="12" t="s">
        <v>63</v>
      </c>
    </row>
    <row r="57" spans="3:7" x14ac:dyDescent="0.35">
      <c r="E57" s="225" t="s">
        <v>61</v>
      </c>
      <c r="F57" s="225"/>
      <c r="G57" s="9" t="s">
        <v>57</v>
      </c>
    </row>
    <row r="58" spans="3:7" x14ac:dyDescent="0.35">
      <c r="E58" s="229" t="s">
        <v>10</v>
      </c>
      <c r="F58" s="229"/>
      <c r="G58" s="6">
        <v>2490000000</v>
      </c>
    </row>
    <row r="59" spans="3:7" x14ac:dyDescent="0.35">
      <c r="E59" s="229" t="s">
        <v>22</v>
      </c>
      <c r="F59" s="229"/>
      <c r="G59" s="6">
        <v>1400000000</v>
      </c>
    </row>
    <row r="60" spans="3:7" x14ac:dyDescent="0.35">
      <c r="E60" s="229" t="s">
        <v>26</v>
      </c>
      <c r="F60" s="229"/>
      <c r="G60" s="6">
        <v>60000000</v>
      </c>
    </row>
    <row r="61" spans="3:7" x14ac:dyDescent="0.35">
      <c r="E61" s="229" t="s">
        <v>11</v>
      </c>
      <c r="F61" s="229"/>
      <c r="G61" s="6">
        <v>12229155840</v>
      </c>
    </row>
    <row r="62" spans="3:7" x14ac:dyDescent="0.35">
      <c r="E62" s="229" t="s">
        <v>24</v>
      </c>
      <c r="F62" s="229"/>
      <c r="G62" s="6">
        <v>375000000</v>
      </c>
    </row>
    <row r="63" spans="3:7" x14ac:dyDescent="0.35">
      <c r="E63" s="229" t="s">
        <v>7</v>
      </c>
      <c r="F63" s="229"/>
      <c r="G63" s="6">
        <v>92758400</v>
      </c>
    </row>
    <row r="64" spans="3:7" x14ac:dyDescent="0.35">
      <c r="E64" s="229" t="s">
        <v>25</v>
      </c>
      <c r="F64" s="229"/>
      <c r="G64" s="6">
        <v>120000000</v>
      </c>
    </row>
    <row r="65" spans="5:7" x14ac:dyDescent="0.35">
      <c r="E65" s="229" t="s">
        <v>4</v>
      </c>
      <c r="F65" s="229"/>
      <c r="G65" s="6">
        <v>10259061600</v>
      </c>
    </row>
    <row r="66" spans="5:7" x14ac:dyDescent="0.35">
      <c r="E66" s="229" t="s">
        <v>13</v>
      </c>
      <c r="F66" s="229"/>
      <c r="G66" s="6">
        <v>500000000</v>
      </c>
    </row>
    <row r="67" spans="5:7" x14ac:dyDescent="0.35">
      <c r="E67" s="229" t="s">
        <v>12</v>
      </c>
      <c r="F67" s="229"/>
      <c r="G67" s="6">
        <v>100000000</v>
      </c>
    </row>
    <row r="68" spans="5:7" x14ac:dyDescent="0.35">
      <c r="E68" s="229" t="s">
        <v>20</v>
      </c>
      <c r="F68" s="229"/>
      <c r="G68" s="6">
        <v>4350000000</v>
      </c>
    </row>
    <row r="69" spans="5:7" x14ac:dyDescent="0.35">
      <c r="E69" s="229" t="s">
        <v>8</v>
      </c>
      <c r="F69" s="229"/>
      <c r="G69" s="6">
        <v>553200000</v>
      </c>
    </row>
    <row r="70" spans="5:7" x14ac:dyDescent="0.35">
      <c r="E70" s="232" t="s">
        <v>27</v>
      </c>
      <c r="F70" s="232"/>
      <c r="G70" s="7">
        <f>SUM(G58:G69)</f>
        <v>32529175840</v>
      </c>
    </row>
    <row r="72" spans="5:7" x14ac:dyDescent="0.35">
      <c r="E72" s="12" t="s">
        <v>64</v>
      </c>
    </row>
    <row r="73" spans="5:7" x14ac:dyDescent="0.35">
      <c r="E73" s="225" t="s">
        <v>61</v>
      </c>
      <c r="F73" s="225"/>
      <c r="G73" s="9" t="s">
        <v>57</v>
      </c>
    </row>
    <row r="74" spans="5:7" x14ac:dyDescent="0.35">
      <c r="E74" s="229" t="s">
        <v>7</v>
      </c>
      <c r="F74" s="229"/>
      <c r="G74" s="6">
        <v>1177022750</v>
      </c>
    </row>
    <row r="75" spans="5:7" x14ac:dyDescent="0.35">
      <c r="E75" s="229" t="s">
        <v>4</v>
      </c>
      <c r="F75" s="229"/>
      <c r="G75" s="6">
        <v>5514011410</v>
      </c>
    </row>
    <row r="76" spans="5:7" x14ac:dyDescent="0.35">
      <c r="E76" s="232" t="s">
        <v>27</v>
      </c>
      <c r="F76" s="232"/>
      <c r="G76" s="7">
        <f>SUM(G74:G75)</f>
        <v>6691034160</v>
      </c>
    </row>
    <row r="79" spans="5:7" x14ac:dyDescent="0.35">
      <c r="E79" s="12" t="s">
        <v>65</v>
      </c>
    </row>
    <row r="80" spans="5:7" x14ac:dyDescent="0.35">
      <c r="E80" s="225" t="s">
        <v>61</v>
      </c>
      <c r="F80" s="225"/>
      <c r="G80" s="9" t="s">
        <v>57</v>
      </c>
    </row>
    <row r="81" spans="5:7" x14ac:dyDescent="0.35">
      <c r="E81" s="2" t="s">
        <v>43</v>
      </c>
      <c r="F81" s="2"/>
      <c r="G81" s="6">
        <v>60000000</v>
      </c>
    </row>
    <row r="82" spans="5:7" x14ac:dyDescent="0.35">
      <c r="E82" s="2" t="s">
        <v>42</v>
      </c>
      <c r="F82" s="2"/>
      <c r="G82" s="6">
        <v>100000000</v>
      </c>
    </row>
    <row r="83" spans="5:7" x14ac:dyDescent="0.35">
      <c r="E83" s="2" t="s">
        <v>40</v>
      </c>
      <c r="F83" s="2"/>
      <c r="G83" s="6">
        <v>1103500000</v>
      </c>
    </row>
    <row r="84" spans="5:7" x14ac:dyDescent="0.35">
      <c r="E84" s="2" t="s">
        <v>37</v>
      </c>
      <c r="F84" s="2"/>
      <c r="G84" s="6">
        <v>1015756100</v>
      </c>
    </row>
    <row r="85" spans="5:7" x14ac:dyDescent="0.35">
      <c r="E85" s="2" t="s">
        <v>4</v>
      </c>
      <c r="F85" s="2"/>
      <c r="G85" s="6">
        <v>1020543900</v>
      </c>
    </row>
    <row r="86" spans="5:7" x14ac:dyDescent="0.35">
      <c r="E86" s="232" t="s">
        <v>27</v>
      </c>
      <c r="F86" s="232"/>
      <c r="G86" s="7">
        <f>SUM(G81:G85)</f>
        <v>3299800000</v>
      </c>
    </row>
  </sheetData>
  <mergeCells count="60">
    <mergeCell ref="E80:F80"/>
    <mergeCell ref="E64:F64"/>
    <mergeCell ref="E86:F86"/>
    <mergeCell ref="E66:F66"/>
    <mergeCell ref="E67:F67"/>
    <mergeCell ref="E68:F68"/>
    <mergeCell ref="E69:F69"/>
    <mergeCell ref="E70:F70"/>
    <mergeCell ref="E73:F73"/>
    <mergeCell ref="E74:F74"/>
    <mergeCell ref="E75:F75"/>
    <mergeCell ref="E76:F76"/>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16:F16"/>
    <mergeCell ref="E26:F26"/>
    <mergeCell ref="E23:F23"/>
    <mergeCell ref="E24:F24"/>
    <mergeCell ref="E25:F25"/>
    <mergeCell ref="E17:F17"/>
    <mergeCell ref="C20:G20"/>
    <mergeCell ref="E11:F11"/>
    <mergeCell ref="E12:F12"/>
    <mergeCell ref="E13:F13"/>
    <mergeCell ref="E14:F14"/>
    <mergeCell ref="E15:F15"/>
    <mergeCell ref="E6:F6"/>
    <mergeCell ref="E7:F7"/>
    <mergeCell ref="E8:F8"/>
    <mergeCell ref="E9:F9"/>
    <mergeCell ref="E10:F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AB57DF123491041833F85DAE8892874" ma:contentTypeVersion="18" ma:contentTypeDescription="Crear nuevo documento." ma:contentTypeScope="" ma:versionID="b27efbf0c3cc5b0574b2fdd97af5fcbd">
  <xsd:schema xmlns:xsd="http://www.w3.org/2001/XMLSchema" xmlns:xs="http://www.w3.org/2001/XMLSchema" xmlns:p="http://schemas.microsoft.com/office/2006/metadata/properties" xmlns:ns3="0935b897-e83e-4004-9f75-4e3807b73bb0" xmlns:ns4="da0db5d3-cc18-450f-b024-369bac33d3b9" targetNamespace="http://schemas.microsoft.com/office/2006/metadata/properties" ma:root="true" ma:fieldsID="e42919f83a11d829466631aa5283d21c" ns3:_="" ns4:_="">
    <xsd:import namespace="0935b897-e83e-4004-9f75-4e3807b73bb0"/>
    <xsd:import namespace="da0db5d3-cc18-450f-b024-369bac33d3b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35b897-e83e-4004-9f75-4e3807b73bb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0db5d3-cc18-450f-b024-369bac33d3b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da0db5d3-cc18-450f-b024-369bac33d3b9" xsi:nil="true"/>
  </documentManagement>
</p:properties>
</file>

<file path=customXml/itemProps1.xml><?xml version="1.0" encoding="utf-8"?>
<ds:datastoreItem xmlns:ds="http://schemas.openxmlformats.org/officeDocument/2006/customXml" ds:itemID="{7E6D45ED-8745-4657-A90C-E88EBF45911C}">
  <ds:schemaRefs>
    <ds:schemaRef ds:uri="http://schemas.microsoft.com/office/2006/metadata/contentType"/>
    <ds:schemaRef ds:uri="http://schemas.microsoft.com/office/2006/metadata/properties/metaAttributes"/>
    <ds:schemaRef ds:uri="http://www.w3.org/2000/xmlns/"/>
    <ds:schemaRef ds:uri="http://www.w3.org/2001/XMLSchema"/>
    <ds:schemaRef ds:uri="0935b897-e83e-4004-9f75-4e3807b73bb0"/>
    <ds:schemaRef ds:uri="da0db5d3-cc18-450f-b024-369bac33d3b9"/>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6C19F8-7026-4C1D-A03A-C78DB94D6FE1}">
  <ds:schemaRefs>
    <ds:schemaRef ds:uri="http://schemas.microsoft.com/sharepoint/v3/contenttype/forms"/>
  </ds:schemaRefs>
</ds:datastoreItem>
</file>

<file path=customXml/itemProps3.xml><?xml version="1.0" encoding="utf-8"?>
<ds:datastoreItem xmlns:ds="http://schemas.openxmlformats.org/officeDocument/2006/customXml" ds:itemID="{207BDB74-73D8-47CF-96D0-0A627028CE0E}">
  <ds:schemaRefs>
    <ds:schemaRef ds:uri="http://schemas.microsoft.com/office/2006/metadata/properties"/>
    <ds:schemaRef ds:uri="http://www.w3.org/2000/xmlns/"/>
    <ds:schemaRef ds:uri="da0db5d3-cc18-450f-b024-369bac33d3b9"/>
    <ds:schemaRef ds:uri="http://www.w3.org/2001/XMLSchema-instan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Hoja1</vt:lpstr>
      <vt:lpstr>PAA VR7 2026 UAECOB BCS</vt:lpstr>
      <vt:lpstr>Control PAA Vr0</vt:lpstr>
      <vt:lpstr>Distribución Pptal Inv</vt:lpstr>
      <vt:lpstr>TD</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Jose alberto Abril Bernal</cp:lastModifiedBy>
  <cp:lastPrinted>2024-06-25T20:21:52Z</cp:lastPrinted>
  <dcterms:created xsi:type="dcterms:W3CDTF">2023-10-09T19:40:49Z</dcterms:created>
  <dcterms:modified xsi:type="dcterms:W3CDTF">2026-02-26T02:55:22Z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0x0101002AB57DF123491041833F85DAE8892874</vt:lpwstr>
  </property>
</Properties>
</file>