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733" activeTab="0"/>
  </bookViews>
  <sheets>
    <sheet name="INVERSIÓN" sheetId="1" r:id="rId1"/>
    <sheet name="POAI 2013" sheetId="2" state="hidden" r:id="rId2"/>
    <sheet name="TABLAS" sheetId="3" state="hidden" r:id="rId3"/>
    <sheet name="Resumen para SDH V4" sheetId="4" state="hidden" r:id="rId4"/>
  </sheets>
  <externalReferences>
    <externalReference r:id="rId7"/>
    <externalReference r:id="rId8"/>
  </externalReferences>
  <definedNames>
    <definedName name="_xlnm._FilterDatabase" localSheetId="1" hidden="1">'POAI 2013'!$A$1:$G$16</definedName>
    <definedName name="a">#REF!</definedName>
    <definedName name="aa">#REF!</definedName>
    <definedName name="_xlnm.Print_Area" localSheetId="0">'INVERSIÓN'!$B$1:$L$265</definedName>
    <definedName name="B">#REF!</definedName>
    <definedName name="dd">#REF!</definedName>
    <definedName name="g">#REF!</definedName>
    <definedName name="gdsa">#REF!</definedName>
    <definedName name="gg">#REF!</definedName>
    <definedName name="graficos">#REF!</definedName>
    <definedName name="graficos2">#REF!</definedName>
    <definedName name="PLAN">#REF!</definedName>
    <definedName name="PROYECCION">#REF!</definedName>
    <definedName name="sadsa">#REF!</definedName>
    <definedName name="_xlnm.Print_Titles" localSheetId="0">'INVERSIÓN'!$23:$23</definedName>
    <definedName name="_xlnm.Print_Titles" localSheetId="3">'Resumen para SDH V4'!$1:$1</definedName>
  </definedNames>
  <calcPr fullCalcOnLoad="1"/>
</workbook>
</file>

<file path=xl/sharedStrings.xml><?xml version="1.0" encoding="utf-8"?>
<sst xmlns="http://schemas.openxmlformats.org/spreadsheetml/2006/main" count="1718" uniqueCount="608">
  <si>
    <t>Meta Proyecto de Inversión</t>
  </si>
  <si>
    <t>Dependencia</t>
  </si>
  <si>
    <t>Clasificación de recurrencia</t>
  </si>
  <si>
    <t>Concepto del Gasto (SDH)</t>
  </si>
  <si>
    <t>Subdirección de Gestión Corporativa</t>
  </si>
  <si>
    <t>0082 Infraestructura para la modernización y el fortalecimiento de la UAECOB</t>
  </si>
  <si>
    <t>0083 Mejoramiento y Mantenimiento de la Infraestructura de las Estaciones de Bomberos</t>
  </si>
  <si>
    <t>0077-Dotación de máquinas y equipos para los Cuerpos de Bomberos Oficiales</t>
  </si>
  <si>
    <t>0500-Servicios de Conectividad, VOZ, Datos,  Vídeo y Hosting para la UAECOB.</t>
  </si>
  <si>
    <t>0502-Actualización, soporte y adquisición de licenciamiento del software e implementación Sistemas Integrados de la UAECOB</t>
  </si>
  <si>
    <t>0056-Mantenimiento de Máquinas, Vehículos, Equipos y Bienes Muebles de la UAECOB</t>
  </si>
  <si>
    <t>0180-Suministro de combustibles para Máquinas y Equipos Especializados de la UAECOB</t>
  </si>
  <si>
    <t>0050-Capacitación a la comunidad sobre atención de emergencias</t>
  </si>
  <si>
    <t>0006-Capacitación del personal de Bomberos</t>
  </si>
  <si>
    <t>0067-Gestión Integral del Riesgo contra incendio y demás emergencias que atiende la UAECOB.</t>
  </si>
  <si>
    <t>Acciones de apoyo a la gestión integral del riesgo y atención de emergencias</t>
  </si>
  <si>
    <t>Mantenimiento preventivo y correctivo de vehículos</t>
  </si>
  <si>
    <t>Gasto no recurrente</t>
  </si>
  <si>
    <t>Gasto recurrente existente</t>
  </si>
  <si>
    <t>Gasto recurrente nuevo</t>
  </si>
  <si>
    <t>Combustible para vehículos</t>
  </si>
  <si>
    <t>Adquirir elementos de bioseguridad y suministro de insumos para maletines de trauma</t>
  </si>
  <si>
    <t>Contratar el suministro alimentación  para el programa canino de la UAECOB</t>
  </si>
  <si>
    <t>Contratar el servicio integral de servicio médico veterinario para el programa canino de la UAECOB</t>
  </si>
  <si>
    <t>Contratar los servicios de canales de datos dedicados para la infraestructura LAN y de Internet para la UAECOB</t>
  </si>
  <si>
    <t>0702-Dotación de instalaciones de la UAECOB - Bomberos</t>
  </si>
  <si>
    <t>Movilizaciones de grupos especiales en emergencias. Imprevistos en el desarrollo de las actividades de atención de emergencias</t>
  </si>
  <si>
    <t>Total general</t>
  </si>
  <si>
    <t>Adquisición de implementos, enseres, electrodomésticos y muebles para las estaciones y demás implementos para el bienestar (se divide según necesidades)</t>
  </si>
  <si>
    <t xml:space="preserve">Intervenciones físicas en las estaciones </t>
  </si>
  <si>
    <t xml:space="preserve">Contratar los servicios integrales de mantenimiento preventivo y correctivo de los equipos de respiración autónoma, incluido el suministro de repuestos, insumos y mano de obra especializada.  </t>
  </si>
  <si>
    <t>Contratar el suministro de elementos de ferretería, para el soporte de las operaciones de la Unidad Administrativa Especial Cuerpo Oficial de Bomberos</t>
  </si>
  <si>
    <t>Poda y jardinería en las Estaciones.</t>
  </si>
  <si>
    <t>Medición de Contaminantes en Calderas.</t>
  </si>
  <si>
    <t>Prestar el servicio de comunicaciones voz a voz y datos por bolsa de segundos a consumo a consumo, sobre equipos y tecnología trunking digital IDEN  con equipos entregados en calidad de comodato para la UAECOB</t>
  </si>
  <si>
    <t>TELMEX se obliga a prestar al arrendatario UAECOB, por sus propios medios o con los de terceros, con plena autonomía técnica, financiera, administrativa y directiva, el "ARRENDAMIENTO DE SOLUCION INTEGRAL TECNOLÓGICA - HOSTING",  lo cual incluye espacio físico, equipos, licenciamiento y servicios de instalación, configuración, soporte, mantenimiento, backup, restauración, monitoreo, administración de la solución tecnológica y alta disponibilidad de la misma, según las especificaciones del anexo técnico.</t>
  </si>
  <si>
    <t xml:space="preserve">Contratar los servicios de Internet Móvil 3.5 o 4G, con paquete de datos ilimitado mensual y con conexión de modens tipo USB. </t>
  </si>
  <si>
    <t>Contratar el suministro e instalacion de llantas para los vehiculos asignados a la unidad administrativa especial cuerpo oficial de bomberos</t>
  </si>
  <si>
    <t xml:space="preserve">Contratar el servicio de alimentos e hidratación Componente sólido para soporte en emergencias y eventos institucionales </t>
  </si>
  <si>
    <t>Contratar el servicio de mantenimiento trajes de línea de fuego</t>
  </si>
  <si>
    <t>Adquirir elementos necesarios para la impresión de piezas que utilizará la UAECOBB dentro de su estrategia de Comunicaciones internas y externas, así como en el trabajo de prevención hacia la comunidad</t>
  </si>
  <si>
    <t>Contratar los servicios de monitoreo de medios de información para estimar el impacto de las noticias publicadas y la gestión de comunicación pública de la Unidad</t>
  </si>
  <si>
    <t>Prestar los servicios de mantenimiento preventivo y correctivo con suministro de repuestos e insumos para los equipos menores de la UAECOB</t>
  </si>
  <si>
    <t>Suministro de materiales para la realización de procesos de entrenamiento a personal operativo</t>
  </si>
  <si>
    <t>certificacion calidad</t>
  </si>
  <si>
    <t xml:space="preserve">mantenimiento y adecuacion sistema electrónico  de seguridad monitoreado, </t>
  </si>
  <si>
    <t>Adquirir botas y medias para el traje de diario del personal uniformado de la Unidad.</t>
  </si>
  <si>
    <t>seguridad electronica</t>
  </si>
  <si>
    <t>vehiculo comando</t>
  </si>
  <si>
    <t>Sistemas de Impresión en la UAECOB</t>
  </si>
  <si>
    <t>Mantenimiento Correctivo, mantenimiento Preventivo con bolsa de repuestos para los equipos y la infraestructura de Radiocomunicaciones del Sistema Troncalizado</t>
  </si>
  <si>
    <t>mantenimiento de extintores</t>
  </si>
  <si>
    <t xml:space="preserve">Contratar el suministro de espuma (película acuosa) al 1%, al 3% y al 6% para la extinción de incendios estructurales </t>
  </si>
  <si>
    <t>Raciones de campaña</t>
  </si>
  <si>
    <t>Entrenamiento en puesto de trabajo para el personal operativo</t>
  </si>
  <si>
    <t>Inscripción a procesos de capacitación</t>
  </si>
  <si>
    <t>Viáticos suministrados a los funcionarios de la UAECOBB que se desplacen a tomar capacitaciones en otras ciudades o países para cubrir gastos de hospedaje y alimentación</t>
  </si>
  <si>
    <t>Suministro de pasajes aéreos para los desplazamientos de los diferentes funcionarios, así mismo para el desplazamiento de instructores o conferencistas de otras ciudades o países cuando la entidad lo requiera para la capacitación de sus funcionarios</t>
  </si>
  <si>
    <t>Contratar los servicios permanentes e integrales en comunicación consistente en el diseño y producción de herramientas y piezas de comunicación masiva y directa para informar a la ciudadanía acerca de las estrategias misionales de la entidad</t>
  </si>
  <si>
    <t>adquisición de equipos de corte para USAR</t>
  </si>
  <si>
    <t>adquisición de UN SET para cargas pesadas</t>
  </si>
  <si>
    <t>adquisición de maquinas especializadas</t>
  </si>
  <si>
    <t>fortalecimiento primera respuesta incendios forestales</t>
  </si>
  <si>
    <t>fortalecimiento primera respuesta incendios edificios altos</t>
  </si>
  <si>
    <t>fortalecimiento respuesta para rescate diferentes modalidades</t>
  </si>
  <si>
    <t xml:space="preserve">fortalecimiento tecnologico para la respuesta de las operaciones </t>
  </si>
  <si>
    <t>adquisición cascos para rescates e incendios forestales</t>
  </si>
  <si>
    <t xml:space="preserve">Adquirir equipos de producción y postproducción en video profesional.  </t>
  </si>
  <si>
    <t>Adecuacion bodegas logistica</t>
  </si>
  <si>
    <t>Equipo de campamento, que incluye carpa térmica, baños, ducha, cocina, lavamanos, catres  y mesas de comedor</t>
  </si>
  <si>
    <t>Un montacargas manual con capacidad de carga mínimo 1 tonelada y altura de 4 mts</t>
  </si>
  <si>
    <t>Una camión grúa telescópica  con capacidad de 20 toneladas</t>
  </si>
  <si>
    <t>Carpas inflables</t>
  </si>
  <si>
    <t>Tanques móviles para cargue de combustible y espuma mínimo de 500 gls</t>
  </si>
  <si>
    <t>estandarización  certificacion</t>
  </si>
  <si>
    <t>semana de la prevencion</t>
  </si>
  <si>
    <t>semana del tendero </t>
  </si>
  <si>
    <t>administracion data center</t>
  </si>
  <si>
    <t>Sistema de control de presencia de personal</t>
  </si>
  <si>
    <t>Análisis, diseño e implementación del proceso de Revisiones Técnicas virtual</t>
  </si>
  <si>
    <t>Sistema de administración de Gestión Documental</t>
  </si>
  <si>
    <t>Actualizacion de plataforma tecnológica</t>
  </si>
  <si>
    <t>Línea de investigación aplicada para la Gestión del  Riesgo</t>
  </si>
  <si>
    <t>Estandarización de módulos o procesos educativos, técnicas y procedimientos bomberiles</t>
  </si>
  <si>
    <t>Diseño e implementación del modelo curricular pedagógico e investigativo en Gestión del Riesgo y bomberil</t>
  </si>
  <si>
    <t>PIGA-Mantenimiento piscina a razon de $ 2.200.000 por mes</t>
  </si>
  <si>
    <t>PIGA-MANTENIMIENTO CALDERA Y SUPERVISION (pisicina kennedy)</t>
  </si>
  <si>
    <t>PIGA-ADMINISTRACION TEMA DE PISCINA a razon de $ 3.000.000 por mes</t>
  </si>
  <si>
    <t>PIGA-Mantenimiento programa de GIRS (70 unid. De Contenedores pequeños para residuos sólidos $ 40.000 c/u   - 90 Contenedores grandes para residuos sólidos $ 100.000 c/u)</t>
  </si>
  <si>
    <t>PIGA-Incentivos y reconocimientos,</t>
  </si>
  <si>
    <t>PIGA-Ecolavado de máquinas</t>
  </si>
  <si>
    <t>Estación Central-Adecuacion y reforzamiento estructural. Ya hay lilcencia</t>
  </si>
  <si>
    <t>Interventoría-Central</t>
  </si>
  <si>
    <t>Estación Bosa-Adecuacion y reforzamiento estructural. Ya hay lilcencia</t>
  </si>
  <si>
    <t>Interventoría-Bosa</t>
  </si>
  <si>
    <t>Estación Bellavista-Actualizacion de Estudios y diseños existentes a norma vigente. Hay que ajustar los que existen</t>
  </si>
  <si>
    <t>Interventoria E y D-Bellavista</t>
  </si>
  <si>
    <t xml:space="preserve">Estación Fontibón- Actualizacion de Estudios y diseños existentes a norma vigente. Hay que ajustar los que existen </t>
  </si>
  <si>
    <t>Interventoria E y D-Fontibón</t>
  </si>
  <si>
    <t>Comando- OBRA NUEVA CERRAMIENTO-OBRAS DE URBANISMO. Pedir concepto a seguridad, antibandalico</t>
  </si>
  <si>
    <t>Comando-1 Planta electrica. Ya esta en los diseños aprobada</t>
  </si>
  <si>
    <t>Comando-Insonorizacion plantas electricas</t>
  </si>
  <si>
    <t>Comando-alumbrado de emergencia. Diseñor lo entrega RAM</t>
  </si>
  <si>
    <t>Comando- DISPOSITIVO DE PROTECCION CONTRA SOBRETENSIONES DPS (¡REGULADOR DE CORRIENTE). DISEÑOS LOS ENTREGA RAM</t>
  </si>
  <si>
    <t>Comando-Diseño de tanques de ACPM para las plantas electricas. Hoy no hay. Debe dar concepto Gestion del Riesgo y Ambiental</t>
  </si>
  <si>
    <t>Comando- Tanques de ACPM de 6000 galones para suplencia de 6 dias. Pueden ser dos tanques por seguridad y por que van a ser dos entidades las que van a operar alli. El tanque solo vale 15 millones, pero las valbulas y aditamientos valen mucho mas</t>
  </si>
  <si>
    <t>Construcción Centro Academico y entrenamiento
Legalizacion del predio (escrituras)</t>
  </si>
  <si>
    <t>Construcción Centro Academico y entrenamiento
estudios y diseños</t>
  </si>
  <si>
    <t>Construcción Centro Academico y entrenamiento
Interventoría estudios y diseños</t>
  </si>
  <si>
    <t>Estación Kennedy-Diseño y obra de traslado de la Cladera</t>
  </si>
  <si>
    <t>PIGA-Cuartos de acopio temporal de residuos sólidos</t>
  </si>
  <si>
    <t>PIGA-Tecnologías de eficiencia en uso de recursos (agua y energía eléctrica).</t>
  </si>
  <si>
    <t>PIGA-Preauditoría de certificación ISO 14000</t>
  </si>
  <si>
    <t>PIGA-Auditoría de certificación ISO 14000</t>
  </si>
  <si>
    <t>PIGA-Formación continuada -Capacitaciones y socializaciones</t>
  </si>
  <si>
    <t>Olimpiadas bomberiles</t>
  </si>
  <si>
    <t>Actividades y recursos para el montaje de los gestores locales</t>
  </si>
  <si>
    <t xml:space="preserve">Contratar suministro de la logistica y apoyo para los eventos que requiera llevar a cabo la UAECOB. </t>
  </si>
  <si>
    <t xml:space="preserve">Contratar la ejecución de un plan de medios de conformidad a los requerimientos de la UAECOB, en medios tradionales, alternativos y comunitarios.  </t>
  </si>
  <si>
    <t>0142 – Personal especializado para las actividades propias de los procesos de mejoramiento de gestión de la entidad</t>
  </si>
  <si>
    <t>908 - Fortalecimiento del Sistema Integrado de Gestión de la UAECOB</t>
  </si>
  <si>
    <t>412 - Modernización del Cuerpo Oficial de Bomberos</t>
  </si>
  <si>
    <t>Fortalecimiento primera respuesta
(Equipos para la atención de incendios estructurales, pitones, mandarrias, etc.)</t>
  </si>
  <si>
    <t>Adquisición de Elementos de Protección Personal, equipos e insumos para la atención de emergencias con materiales peligrosos</t>
  </si>
  <si>
    <t>Reposición y stock equipo menor
(Elementos para el programa canino
Equipos de autocontenido
Elementos y accesorios para intervenciones que generen rescate por extensión
Elementos y accesorios para intervenciones que generen rescate para animales, domésticos, de granja entre otros
Elementos y accesorios para la calibración de monitores atmosféricos
Equipos de corte
Equipos de rescate vehicular pesado
Medidores laser de distancia para realizar investigación de Incendios
Cámaras fotográficas profesionales para realizar investigación de incendios
Microscopio digital para realizar investigación de incendios
Tienda neumática de campaña para rehabilitación del bombero en emergencias)</t>
  </si>
  <si>
    <t>capacitacion externa a la comunidad sobre atención de emergencias (incluye insumos para realizar procesos de divulgación)</t>
  </si>
  <si>
    <t>Insumos para realizar procesos de capacitación y entrenamiento (fotocopias material de entrenamiento y capacitación misional)</t>
  </si>
  <si>
    <t>Desarrollar 1 programa que garantice el 100% del mantenimiento de la infraestructura física de las 17 Estaciones de Bomberos y el Comando</t>
  </si>
  <si>
    <t>Dotar 100 por ciento del equipamiento de bienes programados para el Cuerpo Oficial de Bomberos</t>
  </si>
  <si>
    <t>Implementar 1 Plan Institucional de Capacitación (PIC) para el Cuerpo Oficial de Bomberos</t>
  </si>
  <si>
    <t>Implementar y mantener el 100 por ciento del Sistema Integrado de Gestión de la UAECOB, de acuerdo a las actividades programadas</t>
  </si>
  <si>
    <t>Implementar 1 programa para el fortalecimiento de la gestión del riesgo contra incendio, preparativos, atención de incidentes con materiales peligrosos y rescates</t>
  </si>
  <si>
    <t>0143-Mantenimiento y sostenibilidad del proceso de recertificación al sistema integrado de gestión.</t>
  </si>
  <si>
    <t>Contratar el mantenimiento integral con suministro de repuestos y mano de obra especializada para los equipos de rescate vehicular liviano y pesado de la UAECOB.</t>
  </si>
  <si>
    <t>0767-Dotación tecnológica de las estaciones y el comando</t>
  </si>
  <si>
    <t>Construir 3 unidades de Bomberos divididas en 2 Estaciones y 1 Academia</t>
  </si>
  <si>
    <t>Adecuar 3 Estaciones de Bomberos</t>
  </si>
  <si>
    <t>Eje</t>
  </si>
  <si>
    <t>Programa</t>
  </si>
  <si>
    <t>Proyecto Prioritario</t>
  </si>
  <si>
    <t>02 - Un territorio que enfrenta el cambio climático y se ordena alrededor del agua</t>
  </si>
  <si>
    <t>20 - Gestión integral de riesgos</t>
  </si>
  <si>
    <t xml:space="preserve">201 - Fortalecimiento del Sistema Distrital de gestión del riesgo </t>
  </si>
  <si>
    <t>370 - 100% de las personas afectadas por incidentes emergencias y desastres con respuesta integral y coordinada del SDGR</t>
  </si>
  <si>
    <t>03 - Una Bogotá que defiende y fortalece lo público</t>
  </si>
  <si>
    <t>31 - Fortalecimiento de la función administrativa y desarrollo institucional</t>
  </si>
  <si>
    <t>235 - Sistemas de mejoramiento de la gestión y de la capacidad operativa de las entidades</t>
  </si>
  <si>
    <t xml:space="preserve">457 - Implementar en el 100% de las entidades del distrito el Sistema Integrado de Gestión </t>
  </si>
  <si>
    <t>Meta Plan de Desarrollo</t>
  </si>
  <si>
    <t>Proyecto de Inversión</t>
  </si>
  <si>
    <t>Necesidad</t>
  </si>
  <si>
    <t>Valor Necesidad</t>
  </si>
  <si>
    <t>Proceso</t>
  </si>
  <si>
    <t>Valor Total</t>
  </si>
  <si>
    <t>Tipo de Gasto Predis</t>
  </si>
  <si>
    <t>Componente</t>
  </si>
  <si>
    <t>Intensidad</t>
  </si>
  <si>
    <t>Cantidad (bienes a contratar)</t>
  </si>
  <si>
    <t>01 Infraestructura</t>
  </si>
  <si>
    <t>01  Construcción, adecuación y ampliación de infraestructura propia del sector</t>
  </si>
  <si>
    <t>03 Mejoramiento y mantenimiento de infraestructura propia del sector</t>
  </si>
  <si>
    <t>02 Dotación</t>
  </si>
  <si>
    <t>01 Adquisición y/o producción de equipos, materiales, suministros y servicios propios del sector</t>
  </si>
  <si>
    <t>0767-Dotación tecnológica De las estaciones y el comando</t>
  </si>
  <si>
    <t>02 Mantenimiento de equipos, materiales, suministros y servicios propios del sector</t>
  </si>
  <si>
    <t>03 Recurso Humano</t>
  </si>
  <si>
    <t>01 Divulgación, asistencia técnica y capacitación de la población</t>
  </si>
  <si>
    <t>05 Administración Institucional</t>
  </si>
  <si>
    <t>02 Administración, control y organización institucional para apoyo a la gestión del distrito</t>
  </si>
  <si>
    <t>0141-Otros gastos administración, control y organización institucional para apoyo o gestión del Estado</t>
  </si>
  <si>
    <t>06 Gastos Operativos</t>
  </si>
  <si>
    <t>01 Investigación básica aplicada y estudios propios del sector</t>
  </si>
  <si>
    <t>Subdirección de Gestión Humana</t>
  </si>
  <si>
    <t>N/A</t>
  </si>
  <si>
    <t>Suministro</t>
  </si>
  <si>
    <t>Oficina Asesora de Planeación</t>
  </si>
  <si>
    <t>Prestación de Servicios</t>
  </si>
  <si>
    <t>Contratación Directa</t>
  </si>
  <si>
    <t>Subdirección de Logística</t>
  </si>
  <si>
    <t>Mínima cuantía</t>
  </si>
  <si>
    <t>Subdirección de Gestión del Riesgo</t>
  </si>
  <si>
    <t>Compraventa</t>
  </si>
  <si>
    <t>Subdirección Operativa</t>
  </si>
  <si>
    <t>Arrendamiento</t>
  </si>
  <si>
    <t>Oficina Asesora Jurídica</t>
  </si>
  <si>
    <t>Nombre Proyecto de Inversión</t>
  </si>
  <si>
    <t>Licitación Pública</t>
  </si>
  <si>
    <t>Vigencia Futura</t>
  </si>
  <si>
    <t>NO</t>
  </si>
  <si>
    <t>PSP</t>
  </si>
  <si>
    <t>Dirección - Despacho</t>
  </si>
  <si>
    <t>Dirección -  Comunicaciones y Prensa</t>
  </si>
  <si>
    <t>Tipo de Contratación</t>
  </si>
  <si>
    <t>Consultoría</t>
  </si>
  <si>
    <t>Convenios</t>
  </si>
  <si>
    <t>Diseño</t>
  </si>
  <si>
    <t>Interventoría</t>
  </si>
  <si>
    <t>Obra</t>
  </si>
  <si>
    <t>OPERATIVOS GENERALES</t>
  </si>
  <si>
    <t>COMUNICACIONES EN EMERGENCIA</t>
  </si>
  <si>
    <t>ATENCIÓN DE INCENDIOS</t>
  </si>
  <si>
    <t>USAR. BÚSQUEDA Y RESCATE URBANO
(URBAN SEARCH AND RESCUE)</t>
  </si>
  <si>
    <t>BÚSQUEDA Y RESCATE</t>
  </si>
  <si>
    <t>BÚSQUEDA Y RESCATE DE ANIMALES EN EMERGENCIA (BRAE)</t>
  </si>
  <si>
    <t>RESPUESTA A INCIDENTES CON MATERIALES PELIGROSOS Y EMERGENCIAS QUÍMICAS - MATPEL</t>
  </si>
  <si>
    <t>CONOCIMIENTO DEL RIESGO</t>
  </si>
  <si>
    <t>REDUCCIÓN DEL RIESGO</t>
  </si>
  <si>
    <t>INVESTIGACIÓN DE SERVICIOS DE EMERGENCIA</t>
  </si>
  <si>
    <t>PLANEACIÓN Y GESTIÓN ESTRATÉGICA</t>
  </si>
  <si>
    <t>GESTIÓN DE COMUNICACIONES</t>
  </si>
  <si>
    <t>MEJORA CONTINUA</t>
  </si>
  <si>
    <t>EVALUACIÓN INDEPENDIENTE</t>
  </si>
  <si>
    <t>GESTIÓN DEL TALENTO HUMANO</t>
  </si>
  <si>
    <t xml:space="preserve">CONTROL DISCIPLINARIO </t>
  </si>
  <si>
    <t>ADMINISTRACIÓN DE RECURSOS FÍSICOS</t>
  </si>
  <si>
    <t>GESTIÓN DOCUMENTAL</t>
  </si>
  <si>
    <t>GESTIÓN FINANCIERA</t>
  </si>
  <si>
    <t>SERVICIO DE ATENCIÓN AL CIUDADANO</t>
  </si>
  <si>
    <t>GESTIÓN DE RECURSOS TECNOLÓGICOS</t>
  </si>
  <si>
    <t>GESTIÓN JURÍDICA</t>
  </si>
  <si>
    <t>CONTRATACION</t>
  </si>
  <si>
    <t>LOGISTICA PARA EMERGENCIAS Y SUMINISTROS</t>
  </si>
  <si>
    <t>PARQUE AUTOMOTOR</t>
  </si>
  <si>
    <t>EQUIPO MENOR</t>
  </si>
  <si>
    <t>GESTIÓN AMBIENTAL</t>
  </si>
  <si>
    <t>SI</t>
  </si>
  <si>
    <t>Modalidad de Contratación</t>
  </si>
  <si>
    <t>Concurso de Méritos</t>
  </si>
  <si>
    <t>Subasta a la inversa</t>
  </si>
  <si>
    <t>Selección Abreviada de menor cuantía</t>
  </si>
  <si>
    <t>Modernización Cuerpo Oficial de Bomberos</t>
  </si>
  <si>
    <t>Fortalecimiento del Sistema Integrado de Gestión de la UAECOB</t>
  </si>
  <si>
    <t>Construir tres (3) unidades de bomberos divididas en dos (2) estaciones y una (1) academia</t>
  </si>
  <si>
    <t>Desarrollar un programa que garantice el 100% del mantenimiento de la infraestructura fisica de las 17 estaciones de bomberos y el comando</t>
  </si>
  <si>
    <t>Implementar un (1) Plan Institucional de Capacitación (PIC) para el Cuerpo Oficial de Bomberos</t>
  </si>
  <si>
    <t>Oficina Control Interno</t>
  </si>
  <si>
    <t>Adecuar tres (3) estaciones de bomberos</t>
  </si>
  <si>
    <t xml:space="preserve">Inscripción a procesos de capacitación </t>
  </si>
  <si>
    <t>Personal especializado para las actividades propias de los procesos de mejoramiento de gestión de la entidad</t>
  </si>
  <si>
    <t>.</t>
  </si>
  <si>
    <t>Meta Proyecto de Inversión 412</t>
  </si>
  <si>
    <t>Meta Proyecto de Inversión 908</t>
  </si>
  <si>
    <t>Adición</t>
  </si>
  <si>
    <t xml:space="preserve">Compra de Muebles Enseres y Otros Elementos para las Instalaciones  de la UAE Cuerpo Oficial de Bomberos </t>
  </si>
  <si>
    <t xml:space="preserve">Contratar los servicios de canales de datos dedicados para la infraestructura LAN de Internet para la UAE Cuerpo Oficial de Bomberos. </t>
  </si>
  <si>
    <t>Contratar el mantenimiento integral con suministro de repuestos y mano de obra especializada para los equipos de rescate vehicular liviano y pesado de la UAE Cuerpo Oficial de Bomberos.</t>
  </si>
  <si>
    <t>Prestar los servicios de mantenimiento preventivo y correctivo con suministro de repuestos e insumos para los compresores de aire respirable de etapas y portátiles de la UAE Cuerpo Oficial de Bomberos</t>
  </si>
  <si>
    <t>Suministro de combustibles para vehículos, máquinas y equipos especializados de la UAE Cuerpo Oficial de Bomberos.</t>
  </si>
  <si>
    <t>Contratar los servicios de lavado y polichado de los vehículos de la UAE Cuerpo Oficial de Bomberos</t>
  </si>
  <si>
    <t>Descripción</t>
  </si>
  <si>
    <t>Fecha estimada de inicio de proceso de selección</t>
  </si>
  <si>
    <t>Duración estimada del contrato</t>
  </si>
  <si>
    <t xml:space="preserve">Modalidad de selección </t>
  </si>
  <si>
    <t>Valor total estimado</t>
  </si>
  <si>
    <t>¿Se requieren vigencias futuras?</t>
  </si>
  <si>
    <t>Valor estimado en la vigencia actual</t>
  </si>
  <si>
    <t>Estado de solicitud de vigencias futuras</t>
  </si>
  <si>
    <t>Datos de contacto del responsable</t>
  </si>
  <si>
    <t>Declaración sobre la naturaleza del Plan
Anual de Adquisiciones:</t>
  </si>
  <si>
    <t>A. INFORMACIÓN GENERAL DE LA ENTIDAD</t>
  </si>
  <si>
    <t>Nombre</t>
  </si>
  <si>
    <t>Dirección</t>
  </si>
  <si>
    <t>Teléfono</t>
  </si>
  <si>
    <t>Página web</t>
  </si>
  <si>
    <t>Perspectiva estratégica</t>
  </si>
  <si>
    <t>Información de contacto</t>
  </si>
  <si>
    <t>Valor total del PAA</t>
  </si>
  <si>
    <t>Límite de contratación menor cuantía</t>
  </si>
  <si>
    <t>Límite de contratación mínima cuantía</t>
  </si>
  <si>
    <t>Fecha de última actualización del PAA</t>
  </si>
  <si>
    <t>Visión</t>
  </si>
  <si>
    <t>Misión</t>
  </si>
  <si>
    <t>UNIDAD ADMINISTRATIVA ESPECIAL CUERPO OFICIAL DE BOMBEROS</t>
  </si>
  <si>
    <t>CALLE 20 68 A 06</t>
  </si>
  <si>
    <t>www.bomberosbogota.gov.co/‎</t>
  </si>
  <si>
    <t>Proteger la vida, el ambiente y el patrimonio de la población de Bogotá D.C., mediante la atención y gestión del riesgo en incendios, rescates, incidentes con materiales peligrosos y otras emergencias, de manera segura, eficiente, con sentido de responsabilidad social, fundamentadas en la excelencia institucional del talento humano.</t>
  </si>
  <si>
    <t>Ser para el 2020 el Cuerpo Oficial de Bomberos referente para América, tanto en el sector público como el privado por su servicio, su excelencia institucional y el cumplimiento de estándares de clase mundial.</t>
  </si>
  <si>
    <t xml:space="preserve">El Plan Anual de Adquisiciones (PAA) es un documento de naturaleza informativa y las adquisiciones
incluidas en el mismo pueden ser canceladas, revisadas o modificadas.
</t>
  </si>
  <si>
    <t>Esta información no representa compromiso u obligación alguna por parte de esta entidad ni la compromete a
adquirir los bienes, obras y servicios en él señalados.</t>
  </si>
  <si>
    <t>B. ADQUISICIONES PLANEADAS</t>
  </si>
  <si>
    <t>Códigos UNSPSC</t>
  </si>
  <si>
    <t>Fuente de los recursos</t>
  </si>
  <si>
    <t>Recursos propios</t>
  </si>
  <si>
    <t>Posibles códigos UNSPSC</t>
  </si>
  <si>
    <t>C. NECESIDADES ADICIONALES</t>
  </si>
  <si>
    <t>Suministro de alimentación para los caninos del grupo BRAE de la UAE Cuerpo Oficial de Bomberos</t>
  </si>
  <si>
    <t>Selección Abreviada por Subasta Inversa</t>
  </si>
  <si>
    <t>Personal de planta que labora en la entidad: 571 (Corte 31 dic)</t>
  </si>
  <si>
    <t>Servicios integrales de mantenimiento y mano de obra especializada para el parque automotor de la UAE Cuerpo Oficial de Bomberos, incluido el suministro de repuestos e insumos.</t>
  </si>
  <si>
    <t>Suministro de elementos de bioseguridad e insumos medicos basicos para la atencion de emergencias  de la UAE Cuerpo Oficial de Bomberos Bogota</t>
  </si>
  <si>
    <t>OBJETIVOS ESTRATÉGICOS: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Fortalecer la capacidad de gestión y desarrollo institucional e interinstitucional, para consolidar la modernización de la UAECOB y llevarla a la excelencia.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 ealizar compras coor dinadas.</t>
  </si>
  <si>
    <t>Contratar el Mantenimiento Correctivo, mantenimiento Preventivo con bolsa de repuestos para los equipos y la infraestructura de Radiocomunicaciones del Sistema No Troncalizado</t>
  </si>
  <si>
    <t>Suministro  de materiales,  equipos y  herramientas  para el  mejoramiento integral de las instalaciones de la  UAE Cuerpo Oficial  de Bomberos</t>
  </si>
  <si>
    <t>Alfredo Serrano Zabala
Comunicaciones y Relaciones Corporativas. 
Correo sserrano@bomberosbogota.gov.co  
Telefono 3822500 ext 13000</t>
  </si>
  <si>
    <t>Adquisición Traje linea de fuego</t>
  </si>
  <si>
    <t>Adquisición Botas linea de fuego en cuero</t>
  </si>
  <si>
    <t>Adquisición Trajes Fontanero</t>
  </si>
  <si>
    <t xml:space="preserve">Adquisición Traje  de rescate  </t>
  </si>
  <si>
    <t>Adquisición Cascos de rescate</t>
  </si>
  <si>
    <t>Adquision de elementos de proteccion personal para atencion de incidentes forestales (traje, casco, monogafas, máscaras de respiración y guantes).</t>
  </si>
  <si>
    <t>Adquisicion de trajes para abejas grupo BRAE</t>
  </si>
  <si>
    <t>Recursos logísticos para la realización de las diferentes actividades de capacitación Externa que desarrolla  el área de Reducción del Riesgo</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</si>
  <si>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</si>
  <si>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Acciones de apoyo al mejoramiento y mantenimiento de la infraestructura de las Estaciones de Bomberos</t>
  </si>
  <si>
    <t>Contratar el servicio integral de mantenimineto con suministro de respuestos y mano de obra especializada de los equipos menores de la UAE Cuerpo Oficial de Bomberos de Bogota</t>
  </si>
  <si>
    <t>Suministro de elementos de ferreteria para la atencion de las emergencias y soporte logistico de la mision de la UAE Cuerpo Oficial de Bomberos de Bogotá</t>
  </si>
  <si>
    <t>Contratar el  servicio de mantenimiento integral de los trajes especiales de la UAE Cuerpo Oficial de Bomberos de Bogota.</t>
  </si>
  <si>
    <t xml:space="preserve">Los viáticos para los funcionarios de la UAECOB que se desplacen a recibir capacitaciones fuera y al interior del país </t>
  </si>
  <si>
    <t xml:space="preserve">Habilitación y provisión de personal a través de la aplicación de pruebas calificatorias a fin de contar con un grupo de personas que puedan desarrollar las actividades bomberiles en la UAE Cuerpo Oficial de Bomberos.  </t>
  </si>
  <si>
    <t>Adquirir canecas para utilizarlas como diques de contensión para pequeñas cantidades de almacenamiento en las estaciones y sedes de la UAE Cuerpo Oficial de Bomberos.</t>
  </si>
  <si>
    <t>Mauricio Ayala Vásquez 
Subdirector Operativo. 
Correo mayala@bomberosbogota.gov.co  
Telefono 3822500 ext 30000</t>
  </si>
  <si>
    <t>Jorge Alberto Pardo Torres
Subdirector de Gestión del Riesgo
Correo jpardo@bomberosbogota.gov.co  
Telefono 3822500 ext 20000</t>
  </si>
  <si>
    <t>Mínima Cuantía</t>
  </si>
  <si>
    <t>Selección Abreviada de Menor Cuantía</t>
  </si>
  <si>
    <t>52141600                        52141500                        47111500</t>
  </si>
  <si>
    <t>39121700      30102300       30102400        30103100       30103600       30111500        30131500        30131600        30151600       30151700       30241500        30241600             30171500          30181500</t>
  </si>
  <si>
    <t xml:space="preserve">80111600
</t>
  </si>
  <si>
    <t>93141700
80141600
80141900
80161500</t>
  </si>
  <si>
    <t xml:space="preserve">
90101800
50192700
50193000
90101600</t>
  </si>
  <si>
    <t>53102300
53102500</t>
  </si>
  <si>
    <t>desde enero de 2015</t>
  </si>
  <si>
    <t>81161500
43233200</t>
  </si>
  <si>
    <t>46191500
46191600
72151600</t>
  </si>
  <si>
    <t>81161705
43191510</t>
  </si>
  <si>
    <t>81112101
81161801</t>
  </si>
  <si>
    <t>Acuerdo Marco de Precios</t>
  </si>
  <si>
    <t>46181518
46181509</t>
  </si>
  <si>
    <t>Selección abreviada de menor cuantía</t>
  </si>
  <si>
    <t>PROCESO EN CURSO "Compraventa de vehiculos operativos para la UAE Cuerpo Oficial de Bomberos de Bogota."</t>
  </si>
  <si>
    <t>Renovación del servicio de soporte y actualización del licenciamiento Oracle existente</t>
  </si>
  <si>
    <t>Mantenimiento licenciamiento herramienta de colaboración y plataforma de correo</t>
  </si>
  <si>
    <t>Adquisición equipos de protección respiratoria y otros equipamentos</t>
  </si>
  <si>
    <t>Adquisicion de equipo miscelaneo</t>
  </si>
  <si>
    <t>Construccion de centro de logistica para la UAE Cuerpo Oficial de bomberos de Bogota</t>
  </si>
  <si>
    <t>Compraventa de vehiculos operativos para la UAE Cuerpo Oficial de Bomberos de Bogota.</t>
  </si>
  <si>
    <t>Equipos y herramientas para adecuacion del centro de mantenimiento del parque automotor de la UAE Cuerpo Oficial de Bomberos de Bogota</t>
  </si>
  <si>
    <t>Adquisicion de  muebles y enseres para  dotacion del centro logistico de la UAE Cuerpo Oficial de Bomberos de Bogota</t>
  </si>
  <si>
    <t>Interventoria de la construccion del centro logistico de la UAE Cuerpo Oficial de Bomberos Bogota</t>
  </si>
  <si>
    <t>Capacitacion en gestion  logistica para el personal de la UAE Cuerpo Oficial de Bomberos de Bogota</t>
  </si>
  <si>
    <t>Contratar la prestacion del servicio para el desarrollo de los programas del plan estrategico de serguridad vial de la UAE Cuerpo Oficial de Bomberos de Bogota</t>
  </si>
  <si>
    <t xml:space="preserve">Sistema de informacion, modulo parque automotor  y mantenimiento del modulo suministro de equipo menor </t>
  </si>
  <si>
    <t>Suministro de elementos y accesorios para los grupos especiales de la UAE Cuerpo Oficial de Bomberos de Bogota</t>
  </si>
  <si>
    <t>Adquisición de elementos conmemorativos para la implementación de las actividades desarrolladas en el marco del procedimiento "Sensibilización y Educación en Prevención de Incendios y Emergencias Conexas - Club Bomberitos"  de la Subdirección de Gestión del Riesgo</t>
  </si>
  <si>
    <t>Contratar el suministro de elementos necesarios para la impresión de las piezas que utilizará la UAE Cuerpo Oficial de Bomberos dentro de su estrategia de Comunicaciones.</t>
  </si>
  <si>
    <t xml:space="preserve">Contratar la producción y divulgación de piezas comunicacionales de carácter masivo, alternativo o comunitario para promover la prevención desde las competencia de la UAE Cuerpo Oficial de Bomberos. </t>
  </si>
  <si>
    <t>Adquirir un stand multitemario tipo, para la participación de la UAE - Cuerpo Oficial de Bomberos de Bogota en exposiciones y  actividades ferias distritales</t>
  </si>
  <si>
    <t>Adquisición de elementos de papeleria necesarios para la implementación de las actividades desarrolladas por el area de reduccion del riesgo de la Subdirección de Gestión del Riesgo</t>
  </si>
  <si>
    <t xml:space="preserve">Contratar la realización de talleres de sensibilización orientados al fortalecimiento de la Subdirección de Gestión del Riesgo </t>
  </si>
  <si>
    <t>Acondicionamiento del "Rincón de la prevención" en el marco del procedimiento "Sensibilización y Educación en Prevención de Incendios y Emergencias Conexas - Club Bomberitos"  de la Subdirección de Gestión del Riesgo</t>
  </si>
  <si>
    <t>Adquisición de Equipamiento del "Rincón de la prevención" en el marco del procedimiento "Sensibilización y Educación en Prevención de Incendios y Emergencias Conexas - Club Bomberitos"  de la Subdirección de Gestión del Riesgo</t>
  </si>
  <si>
    <t xml:space="preserve">Contratar el desarrollo e implementación de la modalidad de formación virtual de cursos de capacitación externa </t>
  </si>
  <si>
    <t>Contratar los servicios diagramación y divulgación del material "Herramientas o instrumentos de Gestión del Riesgo"</t>
  </si>
  <si>
    <t>Contratar el desarrollo de un juego virtual de roles y toma de decisión en situaciones de emergencia</t>
  </si>
  <si>
    <t>Adquisición de escenario movil para capacitaciòn externa</t>
  </si>
  <si>
    <r>
      <t>Apoyo logísticos para la realización de los eventos que se requieran para el reconocimiento "</t>
    </r>
    <r>
      <rPr>
        <i/>
        <sz val="9"/>
        <rFont val="Tahoma"/>
        <family val="2"/>
      </rPr>
      <t>Cruz de Malta</t>
    </r>
    <r>
      <rPr>
        <sz val="9"/>
        <rFont val="Tahoma"/>
        <family val="2"/>
      </rPr>
      <t>".</t>
    </r>
  </si>
  <si>
    <t xml:space="preserve">Contratar dos cursos Internacionales, en investigacion de incendios forestales, Vehiculares, aeronaves, trenes, </t>
  </si>
  <si>
    <t xml:space="preserve">Adquisicion de Normas Y estandares NFPA, NTC,  literatura tecnica y cientifica, para el desarrollo de las labores de investigacion de incendios, explosiones, inspecion a escenas afectadas por una emergencia e inspeccion de riesgos. </t>
  </si>
  <si>
    <t>Adquisición de un Equipo para la identificacion de  de materiales peligrosos. (HAZ-MAT ID)por sus siglas en ingles.</t>
  </si>
  <si>
    <t>Adquisicion de un vehiculo Van 4x4, Adecuado para los requerimientos especificos del Equipo de investigacion de incendios y explosiones. de Carga de equipamientos, Oficina, y otros.</t>
  </si>
  <si>
    <t>Contratar el servicio de consultoria en el desarrollo de temas de acreditación en los procesos investigacion de servicios de emergencia, Conocimiento del riesgo y reduccion del riesgo.</t>
  </si>
  <si>
    <t xml:space="preserve">Contratar construccion  de la  estacion  de   Bomberos  de la UPZ - Santa Barbara </t>
  </si>
  <si>
    <t>Interventoria técnica, administrativa, financiera, y ambiental para la construcción de la Estación de Bomberos de la UPZ - Santa Barbara</t>
  </si>
  <si>
    <t>Adquisicion  Predio para  la Academia  de  la  UAE Cuerpo  Oficial  de  Bomberos de Bogota.</t>
  </si>
  <si>
    <t>Contratar los  estudios,   diseños  y  demas  tramites  para  la  construccion  de la  Academia  de la  UAE Cuerpo  Oficial  de  Bomberos  de  Bogota.</t>
  </si>
  <si>
    <t>Adquirir equipos tecnologicos para el Area de Servicio al Ciudadano, con el fin de  mejorar la calidada del servicio.</t>
  </si>
  <si>
    <t>Realizar la Implementación tecnologica de la Estación Bosa</t>
  </si>
  <si>
    <t>Actualización tecnologica de estaciones de bomberos".</t>
  </si>
  <si>
    <t>Implementación de Kioscos de autoservicios en las Estaciones o Alcaldias Locales para Atencion al ciudadano (Servicios de la Entidad)</t>
  </si>
  <si>
    <t>Servicios de bolsa de horas de desarrollo - en modalidad de fabrica de software para desarrollo y/o el mantenimiento de los sistemas de la Unidad.</t>
  </si>
  <si>
    <t>Implementación del Subsistema de Automatización, Edificio Comando</t>
  </si>
  <si>
    <t>Sistema de CCTV para las estaciones de bomberos</t>
  </si>
  <si>
    <t>Realizar la producción y realización de la nueva temporada del programa de televisión Línea de Fuego con el propósito de visibilizar el trabajo de los bomberos Oficiales de Bogotá</t>
  </si>
  <si>
    <t>Contratar una empresa especializada en la prestación de servicios de comunicación audiovisual a través de pantallas para publicación de información digital</t>
  </si>
  <si>
    <t>Soporte a la implementación de la infraestructura tecnológica y los sistemas de información de la UAE Cuerpo Oficial de Bomberos</t>
  </si>
  <si>
    <t>Adquisición de uniformes</t>
  </si>
  <si>
    <t>Suministro  de insumos   para computador e impresoras   para  las dependencias de la UAE Cuerpo  Oficial de Bomberos.</t>
  </si>
  <si>
    <t>81111800
81112300</t>
  </si>
  <si>
    <t>81112000
81112100</t>
  </si>
  <si>
    <t>Firmas digitales</t>
  </si>
  <si>
    <t>Mantenimiento y Soporte Software  productos ESRI (ArcVieW, Arceditor, 3D)</t>
  </si>
  <si>
    <t>Sumnistro de insumos de Aseo y cafeteria</t>
  </si>
  <si>
    <t>Sumnistro de insumos para lavadoras</t>
  </si>
  <si>
    <t>Arriendo archivo central y almacén</t>
  </si>
  <si>
    <t>Contratar bajo  la  modalidad de  Outsourcing los  servicios  de  recolección  distribución  y  entrega  de  documentos  oficiales  por intermedio del  servicio de mensajería motorizada en  forma  personalizada y/o  inmediata dentro  del  perímetro  urbano.</t>
  </si>
  <si>
    <t>Pago plan telefonia celular</t>
  </si>
  <si>
    <t>Contratar los servicios de canales de datos dedicados para la infraestructura LAN de Internet para la UAE Cuerpo Oficial de Bomberos.</t>
  </si>
  <si>
    <t>72151608
43191514
81161712</t>
  </si>
  <si>
    <t>Contratar la prestación del servicio de Comunicación Satelital para los teléfonos Iridium y unidades Bgan.</t>
  </si>
  <si>
    <t>Prestación  del  servicio  de  televisión  por  cable  para las estaciones de Bomberos.</t>
  </si>
  <si>
    <t>Compra de libros y publicaciones</t>
  </si>
  <si>
    <t>Fotocopias auténticas en juzgados</t>
  </si>
  <si>
    <t>Publicación de avisos y contratos</t>
  </si>
  <si>
    <t xml:space="preserve">Realizar el mantenimiento preventivo, correctivo y  suministro de repuestos para los  Gasodomésticos de  las diferentes estaciones de la UAE Cuerpo  Oficiales de Bomberos </t>
  </si>
  <si>
    <t>Realizar el mantenimiento preventivo, correctivo y  suministro de repuestos para los equipos de gimnasio instalados en las diferentes estaciones de la UAE  Cuerpo  Oficiales de Bomberos.</t>
  </si>
  <si>
    <t>Realizar el mantenimiento correctivo y preventivo y suministro de repuestos para los electrodomésticos de las diferentes estaciones de la UAE Cuerpo  Oficiales de Bomberos.</t>
  </si>
  <si>
    <t>Realizar el mantenimiento a las lavadoras y secadoras  industriales de la UAE Cuerpo Oficial de  Bomberos.</t>
  </si>
  <si>
    <t>Realizar el mantenimiento preventivo, correctivo y suministro de repuestos para los muebles y enseres de las estaciones de la UAE  Cuerpo  Oficiales de Bomberos.</t>
  </si>
  <si>
    <t>Contratar el servicio de poda y jardinería para las áreas verdes en las instalaciones de la unidad</t>
  </si>
  <si>
    <t>Prestar el servicio de vigilancia y seguridad privada en la modalidad de vigilancia fija, según especificaciones técnicas, en las instalaciones donde la UAE  Especial Cuerpo Oficial de  Bomberos requiera</t>
  </si>
  <si>
    <t>Contratar la  prestación  del  servicio  de  aseo  y  cafetería  para  la  UAE Cuerpo  Oficial  de  Bomberos.</t>
  </si>
  <si>
    <t>Mantenimiento  de las  rejas y  puertas de las  Salas de maquinas   estaciones   de  Bomberos</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</si>
  <si>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</si>
  <si>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Servicio  de  suministro  e  instalacion  de  vidrios  para  las   instalaciones  de  la  Entidad.</t>
  </si>
  <si>
    <t>Paquete integral de seguros</t>
  </si>
  <si>
    <t>Programa de inducción y reinducción</t>
  </si>
  <si>
    <t>Actividades Bienestar</t>
  </si>
  <si>
    <t>Realizar los exámenes Médicos Ocupacionales para el personal de la UAECOB</t>
  </si>
  <si>
    <t xml:space="preserve">Adquirir elementos de prevención en higiene industrial </t>
  </si>
  <si>
    <t>Contratar las actividades de intervención para el Programa de riesgo psicosocial</t>
  </si>
  <si>
    <t>Adquirir Elementos para fortalcer la práctica de acondicionamiento físico</t>
  </si>
  <si>
    <t>Realizar la vacunación para el personal de la UAE Cuerpo Oficial de Bomberos</t>
  </si>
  <si>
    <t>Adquirir los elementos de aseo y desinfección</t>
  </si>
  <si>
    <t>Contratar el saneamiento ambiental para las estaciones y sedes de la UAE Cuerpo Oficial de Bomberos</t>
  </si>
  <si>
    <t>Pago derechos de registro, escrituración y gastos notariales.</t>
  </si>
  <si>
    <t>Revisiones técnico mecánicas</t>
  </si>
  <si>
    <t>72153200
73151700
72111000</t>
  </si>
  <si>
    <t>72121300
72152700
72152700</t>
  </si>
  <si>
    <t>72121000
95121700</t>
  </si>
  <si>
    <t>Adquisición Botas tácticas</t>
  </si>
  <si>
    <t>Adquisición de guantes y monjas para la atención de incendios estructurales.</t>
  </si>
  <si>
    <t xml:space="preserve">44121600                    44121700                        44121800                             44121900                  44122000                          14111500                          44122100                       </t>
  </si>
  <si>
    <t>servicios públicos</t>
  </si>
  <si>
    <t>Selección abreviada por subasta inversa</t>
  </si>
  <si>
    <t>Suministro  de implementos  de  papelería y oficina   para las dependencias de la UAE Cuerpo  Oficial de Bomberos.</t>
  </si>
  <si>
    <t>Suministro de insumos y medicamentos veterinarios e intervenciones clínicas para el grupo BRAE de la UAE Cuerpo Oficial de Bomberos</t>
  </si>
  <si>
    <t>Servicio médico veterinario para el programa BRAE de la UAE Cuerpo Oficial de Bomberos.</t>
  </si>
  <si>
    <t xml:space="preserve">Contratar el servicio de transporte de personas para las actividades misionales propias de la UAE Cuerpo Oficial de Bomberos </t>
  </si>
  <si>
    <t xml:space="preserve">Impermeabilización de la Terraza y Tanque de agua potable de la Estación de Bomberos Central B-2 </t>
  </si>
  <si>
    <t xml:space="preserve">Contar con los escenarios  para la realización de los cursos de  entrenamiento y capacitación del personal operativo de la UAE Cuerpo Oficial de Bomberos     </t>
  </si>
  <si>
    <t>Realizar la medición del clima organizacional de la UAECOB y diseñar una propuesta de intervención con base en los resultados del estudio para la mejora de la cultura organizacional a mediano y largo plazo</t>
  </si>
  <si>
    <t>Incentivos</t>
  </si>
  <si>
    <t>Adquirir elementos para la  brigada de emergencias de la UAECOB</t>
  </si>
  <si>
    <t>Proceso de clasificación externa (IEC) para el equipo USAR de la UAE Cuerpo Oficial de Bomberos</t>
  </si>
  <si>
    <t>Implementación Gobierno en Línea</t>
  </si>
  <si>
    <t>Adriana Mercedes Benavides Rivera
Subdirectora de Gestión Corporativa
Correo abenavides@bomberosbogota.gov.co  
Telefono 3822500 ext 20000</t>
  </si>
  <si>
    <t>25101701
25102106
25101503
25101912
25101933</t>
  </si>
  <si>
    <t>Adriana Mercedes Benavides Rivera
Subdirectora de Gestión Corporativa. 
Correo abenavidez@bomberosbogota.gov.co  
Telefono 3822500 ext 40000</t>
  </si>
  <si>
    <t xml:space="preserve">72152100
73161500                    </t>
  </si>
  <si>
    <t>72154010 
72101506</t>
  </si>
  <si>
    <t>Adicion  y Prorroga contrato  C.P.S. No 444/14,  cuyo  objeto  es "  Prestar el servicio de vigilancia y seguridad privada en la modalidad de vigilancia fija, según especificaciones técnicas, en las instalaciones donde la UAE Cuerpo Oficial de Bomberos requiera."</t>
  </si>
  <si>
    <t>39121700
30102300
30102400
30103100
30103600
30111500        30131500        30131600        30151600       30151700       30241500        30241600             30171500          30181500</t>
  </si>
  <si>
    <t xml:space="preserve">84131600
84131500 
84131600                            </t>
  </si>
  <si>
    <t>PLAN ANUAL DE ADQUISICIONES 2015 INVERSIÓN</t>
  </si>
  <si>
    <t>53102700
53111601
53111602</t>
  </si>
  <si>
    <t>47121500          
47121600        
47121700          
47121800           
47121900           
47121500                  
47131600          
47131700              
47131800           
47131900          
47132100</t>
  </si>
  <si>
    <t>49101701
49101702
60101401
60101402</t>
  </si>
  <si>
    <t>14111500
31201500
44103100 
44121700
60121200
60141000</t>
  </si>
  <si>
    <t>73151900
82121500
82101600</t>
  </si>
  <si>
    <t>43232400
43233400</t>
  </si>
  <si>
    <t>43232400
43233400
43232000</t>
  </si>
  <si>
    <t>55101510
55111513</t>
  </si>
  <si>
    <t xml:space="preserve">
41113100
41113300</t>
  </si>
  <si>
    <t>83121701
82101602</t>
  </si>
  <si>
    <t>86141702
52161505</t>
  </si>
  <si>
    <t>43211500
43212100</t>
  </si>
  <si>
    <t>43222600
72151600 
46171600</t>
  </si>
  <si>
    <t>43231500 
43232400 
81111500 
72151600</t>
  </si>
  <si>
    <t>43231500 
43232400 
43232600 
81111500 
81111800 
81112200 
81141900</t>
  </si>
  <si>
    <t>45121500 
46171600 
72151600</t>
  </si>
  <si>
    <t>25102100
25101700
25101900</t>
  </si>
  <si>
    <t>Adquisición de Diadema  con microfono para radio comunicación con conexión a consola</t>
  </si>
  <si>
    <t>Jorge Artulo Lemus Montañez
Director
Correo jlemus@bomberosbogota.gov.co  
Telefono 3822500 ext 10000</t>
  </si>
  <si>
    <t>46181500
46181700
46181800</t>
  </si>
  <si>
    <t xml:space="preserve">46181518
46181509
</t>
  </si>
  <si>
    <t>46171600
92121700
46191500
72151700
42191500
81101700
72151600
39121100
46151600</t>
  </si>
  <si>
    <t>46171600
92121700
46191500
72151700
42191500
81101700
72151600
39121100
46151600
39121800</t>
  </si>
  <si>
    <t>Adición   y  prorroga  Contrato  de prestación  de  servicios  No.  170 de 2014,  cuyo  objeto  es “ contratar la  prestación  del  servicio  de  aseo  y  Cafetería  para  la  UAE Cuerpo  oficial  de  Bomberos”</t>
  </si>
  <si>
    <t xml:space="preserve">Mantenimiento  General  estaciones </t>
  </si>
  <si>
    <t>Adición  y  prorroga  contrato  de  arrendamiento de un Bien  Inmueble   426-2014,  cuyo  objeto  es  “Arrendamiento de un inmueble para el funcionamiento de algunas dependencias de la UAE Cuerpo Oficial de Bomberos de Bogotá.”</t>
  </si>
  <si>
    <t xml:space="preserve">Mantenimiento   calderines </t>
  </si>
  <si>
    <t xml:space="preserve">CAJA MENOR </t>
  </si>
  <si>
    <t>Servicios Publicos</t>
  </si>
  <si>
    <t>72151000
72101500</t>
  </si>
  <si>
    <t>Gastos Generales de Computador</t>
  </si>
  <si>
    <t>Adquisición de gasodomésticos para las estaciones de bomberos</t>
  </si>
  <si>
    <t>40102000
41102400</t>
  </si>
  <si>
    <t>72102100
72151000
81111800</t>
  </si>
  <si>
    <t>83101500
83101800
83111501</t>
  </si>
  <si>
    <t>Proyecto de Inversión 412: Modernización Cuerpo Oficial de Bomberos: $26.829.283.000</t>
  </si>
  <si>
    <t>Proyecto de Inversión 908: Fortalecimiento del Sistema Integrado de Gestión de la UAE Cuerpo Oficial de Bomberos: $3.269.304.000</t>
  </si>
  <si>
    <t>56121015
56111900</t>
  </si>
  <si>
    <t>Mantenimiento Placas salas de máquinas estaciones de Bomberos B11-B12-B13-B15</t>
  </si>
  <si>
    <t>Interventoría para el Mantenimiento Placas salas de máquinas estaciones de Bomberos B11-B12-B13-B15</t>
  </si>
  <si>
    <t>Dotación para la nueva Estación de Bomberos de Fontibón</t>
  </si>
  <si>
    <t xml:space="preserve">Prestar el servicio  de mantenimiento  preventivo y  correctivo,  con  suministro de repuestos y  soporte para las UPS con las que cuenta la  UAE Cuerpo  Oficial  de  Bomberos  </t>
  </si>
  <si>
    <t>Minima  Cuantía</t>
  </si>
  <si>
    <t>Mantenimiento  planta eléctrica del Edificio Comando</t>
  </si>
  <si>
    <t xml:space="preserve">44121600                    44121700                        44121800                             44121900                  44122000                          14111500                          44122100                       
</t>
  </si>
  <si>
    <t>Adición  y  prorroga  contrato  de Suministro    217-2014,  cuyo  objeto  es  “SUMINISTRO DE ELEMENTOS DE OFICINA Y PAPELERIA PARA LAS DEPENDENCIAS Y NECESIDADES DE LA UAE CUERPO OFICIAL DE BOMBEROS DE BOGOTÁ D.C..”</t>
  </si>
  <si>
    <t>Prestar el servicio de comunicaciones voz a voz y datos por bolsa de segundos a consumo, sobre equipos y tecnología trunking digital IDEN  con equipos entregados en calidad de comodato para la UAE Cuerpo Oficial de Bomberos</t>
  </si>
  <si>
    <t>Suministro e instalación de elementos tecnológicos para la UAE Cuerpo Oficial de Bomberos</t>
  </si>
  <si>
    <t>Adición y prórroga al contrato 415 de 2014 cuyo objeto es Servicios integrales de mantenimiento y mano de obra especializada para el parque automotor de la UAE Cuerpo Oficial de Bomberos, incluido el suministro de repuestos e insumos.</t>
  </si>
  <si>
    <t>Adición y prórroga al contrato 435 de 2013 "Prestar los servicios integrales de mantenimiento preventivo y correctivo del parque automotor de la UAECOB, incluido el suministro de repuestos e insumos y mano de obra especializada"</t>
  </si>
  <si>
    <t>Adición y prórroga al contrato 162 de 2014 cuyo objeto es "Contratar el mantenimiento integral de los trajes de línea de fuego"</t>
  </si>
  <si>
    <t xml:space="preserve">Adición al contrato 148 de 2014 cuyo objeto es "Suministro de alimentación para los caninos del grupo BRAE de la UAE Cuerpo Oficial de Bomberos" </t>
  </si>
  <si>
    <t>Contratar la renovación del licenciamiento de Antivirus.</t>
  </si>
  <si>
    <t>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t>
  </si>
  <si>
    <t>Prestar los servicios de mantenimiento, soporte técnico, mejoras y actualizaciones del aplicativo INFODOC SOFTWARE utilizado por la Unidad.</t>
  </si>
  <si>
    <t>Adquisición, soporte, administración y proceso de actualización de los módulos de la herramienta de gestión Aranda Software</t>
  </si>
  <si>
    <t>Mantenimiento plataforma IP Avaya</t>
  </si>
  <si>
    <t>Prestar los servicios de mantenimiento, soporte técnico, mejoras y actualizaciones del aplicativo PCT utilizado por la Unidad.</t>
  </si>
  <si>
    <t>Prestar el  servicio de Mantenimiento  correctivo y  preventivo de aires acondicionados con bolsa de repuestos.</t>
  </si>
  <si>
    <t>Adición y prórroga al contrato 391 de 2014 cuyo objeto es "Prestación de servicios de alimentación e hidratación para la atención de incidentes, eventos y capacitaciones de la UAE Cuerpo Oficial de Bomberos de Bogotá. "</t>
  </si>
  <si>
    <t>Contratar el suministro de repuestos e insumos para los equipos de aire autocontenido de la UAE Cuerpo Oficial de Bomberos, así como el mantenimiento preventivo y correctivo del Posicheck 3</t>
  </si>
  <si>
    <t>Compraventa de equipos y herramientas para el diagnóstico técnico del parque automotor de la U.A.E. Cuerpo Oficial de Bomberos"</t>
  </si>
  <si>
    <t>41111615
41111900
41112200</t>
  </si>
  <si>
    <t>Realizar actividades de entrenamiento que permitan mejorar las habilidades y destrezas del personal operativo de la UAE Cuerpo Oficial de Bomberos</t>
  </si>
  <si>
    <t xml:space="preserve"> Adición   N° 181 de 2014, cuyo  objeto  es  Contratar bajo la modalidad de outsourcing, los servicios de recolección, distribución y entrega de documentos oficiales por intermedio del servicio de mensajería motorizada en forma personalizada y/o inmediata dentro del perímetro urbao.</t>
  </si>
  <si>
    <t>Interventoría Técnica, administrativa, financiera y ambiental paras la Construcción, Ampliación, reforzamiento estructural y adecuación estación de Bomberos de Bosa</t>
  </si>
  <si>
    <t xml:space="preserve">Construccion, Ampliación ,  reforzamiento  estructural y  adecuacion  estacion  de  Bomberos  de  Bosa </t>
  </si>
  <si>
    <t>Adición  y  Prorroga  Contrato  No.  152-2014,  cuyo  es Contratar los seguros que amparen los intereses patrimoniales actuales y futuros, así como los bienes de propiedad de la unidad administrativa especial cuerpo de bomberos, que estén bajo su responsabilidad y custodia y aquellos que sean adquiridos para desarrollar las funciones inherentes a su actividad así como la expedición de una póliza colectiva de seguro de vida grupo funcionarios y responsabilidad civil servidores públicos y cualquier otra póliza de seguros que requiera la entidad en el desarrollo de su actividad</t>
  </si>
  <si>
    <t xml:space="preserve">Adición </t>
  </si>
  <si>
    <t xml:space="preserve">47121700
47121800
47121900
47131600
47131700
47131800
47131900
</t>
  </si>
  <si>
    <t xml:space="preserve">Mantenimiento correctivo  y  preventivo  con  suministro  de    repuestos  para los  Ascensores Edificio  comando </t>
  </si>
  <si>
    <t>Adquisición de equipamiento para el análisis e investigación de las causas y origen de las emergencias</t>
  </si>
  <si>
    <t>Adición y prórroga al CPS Nro. 467 de 2014, cuyo objeto es “Prestar los servicios de Seguridad Informática Perimetral Administrada”</t>
  </si>
  <si>
    <t>Adquirir materiales para formación en Atención Prehospitalaria</t>
  </si>
  <si>
    <t xml:space="preserve">Adquirir material diverso para implementar los procesos de capacitación y entrenamiento misional </t>
  </si>
  <si>
    <t>Reconocimiento de Pago por variación de la tasa representativa del mercado TRM, según liquidación del contrato N° 443 de 2014 cuyo objeto es "Adquisición de equipos de radio comunicación y dispositivos móviles acordes a la plataforma tecnológica digital existente  y a la actualización tecnológica"</t>
  </si>
  <si>
    <t>25174402
43191510</t>
  </si>
  <si>
    <t>Mantenimiento  Ascensor   Nueva   Estación  de Bomberos  de   Fontibón</t>
  </si>
  <si>
    <t>Selección  abreviada por  subasta a la Inversa</t>
  </si>
  <si>
    <t>72154010
72101506</t>
  </si>
  <si>
    <t>Contratacion  Directa</t>
  </si>
  <si>
    <t>Prestar el servicio de migración, reestructuración  de claves y acompañamiento técnico funcional en la instalación del Software Motorsystem High Power</t>
  </si>
  <si>
    <t>Adición Contrato de Obra Pública No. 184-2015, cuyo objeto es "Impermeabilización con revestimiento de Poliurea de las placas de la terraza y la impermeabilización con revestimiento de Poliurea del tanque de agua potable de la estación de bomberos B-2 (estación central) de la U.A.E. Cuerpo Oficial de Bomberos de Bogotá"</t>
  </si>
  <si>
    <t>39112300
27112700
41112200
43191600
55101500</t>
  </si>
  <si>
    <t>Contratar el servicio de transporte terrestre de los servidores públicos que participarán en actividades de entrenamiento y reentrenamiento misional</t>
  </si>
  <si>
    <t>Mantenimiento  Calentadores  solares de las  estaciones de Bomberos</t>
  </si>
  <si>
    <t>Adquisición de Equipos de Seguridad Perimetral para la UAE Cuerpo Oficial de Bomberos</t>
  </si>
  <si>
    <t>Tramite para la excención del pago de peajes de conformidad con lo establecido en la ley 1575 de 2012</t>
  </si>
  <si>
    <t>Gustavo Arias Nuñez
Oficina Asesora de Planeación
Correo garias@bomberosbogota.gov.co  
Telefono 3822500 ext 14000</t>
  </si>
  <si>
    <t>Suministro de materiales para simulación de incendios estructurales</t>
  </si>
  <si>
    <t>Realizar la auditoría de seguimiento para el mantenimiento de las certificaciones de los subsistemas de Gestión Ambiental, de Calidad y Seguridad y Salud en el Trabajo, según los requisitos establecidos bajo las normas ISO 9001:2008, NTCGP 1000:2009, ISO 14001:2004 y OHSAS 18001:2007 para la Unidad Administrativa Especial Cuerpo Oficial de Bomberos</t>
  </si>
  <si>
    <t>Adición  Contrato de suministro    No.  224-2014,  cuyo  objeto  es “EL  SUMINISTRO  MATERIALES ELECTRICOS PARA EL  MEJORAMIENTO  INTEGRAL  DE LAS INSTALACIONES DE LA  UAE CUERPO  OFICIAL  DE  BOMBEROS”</t>
  </si>
  <si>
    <t>Sentencias Judiciales</t>
  </si>
  <si>
    <t>78141500</t>
  </si>
  <si>
    <t>Adición y prórroga al contrato 282 de 2014 cuyo objeto es "Suministro de raciones de campaña para alimentación de personal en la atención de incidentes"</t>
  </si>
  <si>
    <t>Pedro Antonio Higuera Corredor
Subdirector Logístico
Correo phiguera@bomberosbogota.gov.co  
Telefono 3822500 ext 60000</t>
  </si>
  <si>
    <t>Adición al contrato No. 200 de 2015 cuyo objeto es, "Renovación del servicio de soporte y actualización del licenciamiento Oracle existente"</t>
  </si>
  <si>
    <t>Adquirir, instalar y adecuar módulos para el área de correspondencia del Edificio Comando de la UAECOB</t>
  </si>
  <si>
    <t>Contratar la   mudanza y traslado integral del archivo  central  de  la  UAECOB</t>
  </si>
  <si>
    <t xml:space="preserve">Logística  para  el  traslado  de  bienes  muebles Ubicados en  la  Bodega  de  la UAECOB  </t>
  </si>
  <si>
    <t>Adición y prorroga contrato No.  225-2014,  cuyo  objeto  es  “SUMINISTRO MATERIALES DE CONSTRUCCION Y FERRETERÍA PARA EL MEJORAMIENTO INTEGRAL DE LAS INSTALACIONES DE LA UAE CUERPO OFICIAL DE BOMBEROS.”</t>
  </si>
  <si>
    <t>Adición y prorroga contrato No.  195-DE 2015,  cuyo  objeto  es  “Arrendamiento  de una  bodega  ubicada en la calle 50 No. 15-46 en Bogotá, para el  funcionamiento del  fondo Documental Acumulado  ( Archivo  Central) y  el  almacenamiento de los  bienes en tránsito del  almacén General ”</t>
  </si>
  <si>
    <t>Adicion  y prorroga al  contrato  No.  178 de 2015 cuyo  objeto  es " Prestar los  servicios de mantenimiento,  soporte técnico ,  mejoras y  actualizaciones del  aplicativo  INFODOC SOFTWARE utilizado  por  la  Unidad."</t>
  </si>
  <si>
    <t xml:space="preserve">adición </t>
  </si>
  <si>
    <t>80131502</t>
  </si>
  <si>
    <t>81112205</t>
  </si>
  <si>
    <t>78101801</t>
  </si>
  <si>
    <t>72102900</t>
  </si>
  <si>
    <t>Realizar la implementación tecnológica en la Estación de Bomberos de Fontibón, con el fin de facilitar las comunicaciones y la administración de la misma para la atención y gestión integral del riesgo contra incendio, los operativos y atención de rescates a la actividad Bomberil</t>
  </si>
  <si>
    <t>Adicion  y prorroga al  contrato  No.  504  de 2014 cuyo  objeto  es " Prestar los  servicios de mantenimiento preventivo de los  subsistemas CCTV,  control  de  acceso,  detección  de  incendios,  video conferencia,  voceo,  rutilantes y  alerta bomberil para las  estaciones  de Bomberos  de Kennedy- B5 y  Bicentenario B14"</t>
  </si>
  <si>
    <t xml:space="preserve">adicion </t>
  </si>
  <si>
    <t>Adición y Prorroga Contrato de Obra Pública N° 269 de 2015, cuyo objeto es "Mantenimiento Placas salas de máquinas estaciones de Bomberos B11-B12-B13-B15"</t>
  </si>
  <si>
    <t>Adición y Prorroga Contrato Interventoría N° 220 de 2015, cuyo objeto es "Interventoría para el mantenimiento Placas salas de máquinas estaciones de Bomberos B11-B12-B13-B15"</t>
  </si>
  <si>
    <t>Efren Gonzalez Rodriguez
Subdirector de Gestión Humana
Correo cgonzalez@bomberosbogota.gov.co  
Telefono 3822500 ext 50000</t>
  </si>
  <si>
    <t>Adquisición de equipos de almacenamiento  para la migración de los procesos virtualizados, con su respectiva configuración, soporte técnico, puesta en producción y su garantía incluida</t>
  </si>
  <si>
    <t>Adquisición de aceites lubricantes, hidráulicos y líquidos refrigerantes.</t>
  </si>
  <si>
    <t>Compra de cortinas para cubículos individuales en los dormitorios de las estaciones de bomberos de la UAECOB</t>
  </si>
  <si>
    <t>Compra de Banderas para las Instalaciones de Bomberos</t>
  </si>
  <si>
    <t>Adquirir señalización ambiental para las Estaciones de Bomberos</t>
  </si>
  <si>
    <t>Adquirir Topes para llantas en las salas de Máquinas de la UAECOB</t>
  </si>
  <si>
    <t>Adición y Prórroga al Contrato N° 294 de 2015 cuyo objeto es "Adquirir material diverso para implementar los procesos de capacitación y entrenamiento misional"</t>
  </si>
  <si>
    <t>Adquirir uniformes de  gala para el  personal Uniformado  de  la  UAECOB</t>
  </si>
  <si>
    <t xml:space="preserve">Adición contrato  170 de 2015,  cuyo  objeto  es “Servicio de suministro e instalación de vidrios para las instalaciones de la Entidad” </t>
  </si>
  <si>
    <r>
      <t>Gustavo Arias Nuñez 
Jefe Oficina Asesora de Planeación. 
Correo garias</t>
    </r>
    <r>
      <rPr>
        <u val="single"/>
        <sz val="9"/>
        <rFont val="Tahoma"/>
        <family val="2"/>
      </rPr>
      <t xml:space="preserve">@bomberosbogota.gov.co
</t>
    </r>
    <r>
      <rPr>
        <sz val="9"/>
        <rFont val="Tahoma"/>
        <family val="2"/>
      </rPr>
      <t>Telefono 3822500 ext 14000</t>
    </r>
  </si>
  <si>
    <t>Adición al contrato N° 196 de 2015 cuyo objeto es "Suministro de alimentación para los caninos del grupo BRAE de la UAE Cuerpo Oficial de Bomberos de Bogotá"</t>
  </si>
  <si>
    <t>Contratar el suministro, instalación y configuración de cámaras de vigilancia para la estación de Bomberos Restrepo</t>
  </si>
  <si>
    <t>Adición al contrato de compraventa N° 308 de 2015 cuyo objeto es "Adquisición de elementos de protección personal para el personal operativo del Cuerpo Oficial de Bomberos de Bogotá descritos de la siguiente manera: Grupo 1: Adquisición Traje Línea de Fuego</t>
  </si>
  <si>
    <t>Adición al contrato de compraventa N° 309 de 2015 cuyo objeto es "Adquisición de elementos de protección personal para el personal operativo del cuerpo oficial de bomberos de bogotá descritos de la siguiente manera: 2: adquisición botas tácticas"</t>
  </si>
  <si>
    <t>Adquirir estructura para realizar entrenamiento y reentrenamiento en rescate vertical.</t>
  </si>
  <si>
    <t>Adquisición de un sistema de estanteria rodante o movil para el almacenamiento de documentos</t>
  </si>
  <si>
    <t>Adquirir Electrodomésticos y enseres para la Nueva estación de Bomberos   de Fontibón.</t>
  </si>
  <si>
    <t>72151700
46151600
46171600</t>
  </si>
  <si>
    <t>52141600
52141500
47111500</t>
  </si>
  <si>
    <t>30191500
27112100</t>
  </si>
  <si>
    <t>Contratar el suministro e instalación de llantas para los vehículos de la UAE Cuerpo Oficial de bomberos Bogota</t>
  </si>
  <si>
    <t>Adición y Prórroga al contrato N° 306 de 2015 cuyo objeto es “Suministro  de materiales,  equipos y  herramientas  para el  mejoramiento integral de las instalaciones de la  UAE Cuerpo Oficial  de Bomberos - Grupo II”</t>
  </si>
  <si>
    <t>Adición y Prórroga al contrato N° 307 de 2015 cuyo objeto es “Suministro  de materiales,  equipos y  herramientas  para el  mejoramiento integral de las instalaciones de la  UAE Cuerpo Oficial  de Bomberos - Grupo I"</t>
  </si>
  <si>
    <t>Escaneo a imagen PDF de los planos oficiales de las edificaciones de la entidad</t>
  </si>
  <si>
    <t>Adición y Prórroga al Contrato N° 216 de 2015 cuyo objeto es “Mantenimiento licenciamiento herramienta de colaboración y plataforma de correo”</t>
  </si>
  <si>
    <t>Adición y prórroga al contrato No. 484 de 2014 cuyo objeto es "Suministro de Combustible para vehículos de apoyo y de la UAE Cuerpo Oficial Bomberos fuera de la ciudad de Bogotá"</t>
  </si>
  <si>
    <t>Adición y prórroga Contrato Compraventa No. 318-2015, cuyo objeto es "Compra de Banderas para las instalaciones de Bomberos"</t>
  </si>
  <si>
    <t>Adición y prórroga al CPS número 146 / 2015 cuyo objeto es "Prestar los servicios profesionales  como médico veterinario para el programa BRAE de la UAE Cuerpo Oficial de Bomberos"</t>
  </si>
  <si>
    <t xml:space="preserve">Adquirir Cajas para  embalaje  de documentos de  archivo  histórico   </t>
  </si>
  <si>
    <t>Adquirir elementos para adelantar campaña para el  uso  de los  elementos  de  protección  en  las  diferentes  actividades</t>
  </si>
  <si>
    <t>Adición y Prórroga al Contrato N° 214 de 2015 cuyo objeto es “Mantenimiento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t>
  </si>
  <si>
    <t xml:space="preserve">Adición y Prórroga al Contrato N° 188 de 2015 cuyo objeto es “Prestar el servicio  de mantenimiento  preventivo y  correctivo,  con  suministro de repuestos y  soporte para las UPS con las que cuenta la  UAE Cuerpo  Oficial  de  Bomberos” </t>
  </si>
  <si>
    <t xml:space="preserve">44122003
24121503
</t>
  </si>
  <si>
    <t>Mínima  Cuantía</t>
  </si>
  <si>
    <t xml:space="preserve">81111800
81112300
</t>
  </si>
  <si>
    <t>39121000</t>
  </si>
  <si>
    <t>Claudia Inés Guzmán Niño
Jefe Oficina  Asesora Juridica. 
Correo cguzman@bomberosbogota.gov.co  
Telefono 3822500 ext 12000</t>
  </si>
  <si>
    <t>Adición  al contrato No. 161 de 2015 cuyo objeto es "Compraventa de vehículos Operativos  para la UAE Cuerpo Oficial de Bomberos de Bogotá, que le fue asignado en el grupo 2- Maquina Extintora 4x2.”</t>
  </si>
  <si>
    <t>Adquisición  de  Hornos microondas para las  Instalaciones de  la  UAECOB</t>
  </si>
  <si>
    <t>Arrendamiento de un inmueble para el funcionamiento temporal de la Estación B-8 Bosa</t>
  </si>
  <si>
    <t>Garantizar el soporte logístico para la realización de los cursos de Bombero I y II</t>
  </si>
  <si>
    <t>Adición al contrato de compraventa N° 301 de 2015 cuyo objeto es "Adquisición de elementos de protección personal para el personal operativo del cuerpo oficial de bomberos de Bogotá descritos de la siguiente manera: grupo 1: adquisición trajes fontanero”</t>
  </si>
  <si>
    <t>Adición al contrato de compraventa N° 309 de 2015 cuyo objeto es ‘‘Adquisición de elementos de protección personal para el personal operativo del cuerpo oficial de bomberos de Bogotá descritos de la siguiente manera: grupo 3: adquisición botas Línea de fuego en cuero."</t>
  </si>
  <si>
    <t>Adición al contrato de compraventa N° 299 de 2015 cuyo objeto es "Adquisición de elementos de protección personal para el personal operativo del cuerpo oficial de bomberos de Bogotá descritos de la siguiente manera: grupo 3: "adquisición de guantes y monjas para la atención de incendios estructurales"</t>
  </si>
  <si>
    <t>Adición al contrato de compraventa N° 300 de 2015 cuyo objeto es "Adquisición de elementos de protección personal para el personal operativo del cuerpo oficial de bomberos de Bogotá descritos de la siguiente manera: grupo 2: adquisición de trajes para abejas grupo BRAE"</t>
  </si>
  <si>
    <t>Capacitación, entrenamiento y reentrenamiento para los integrantes del Grupo Especializado de Búsqueda y Rescate Urbano, para la consecución de la clasificación externa (IEC) para el equipo USAR de la UAE Cuerpo Oficial de Bomberos"</t>
  </si>
  <si>
    <r>
      <t>Adición  al contrato No. 162 de 2015 cuyo objeto es "</t>
    </r>
    <r>
      <rPr>
        <sz val="9"/>
        <color indexed="8"/>
        <rFont val="Tahoma"/>
        <family val="2"/>
      </rPr>
      <t>Compraventa de vehículos  operativos para la UAE Cuerpo Oficial de Bomberos de Bogotá, que le fueron asignados en el grupo 1 –Grúa de 50 Toneladas de Capacidad y Grupo  6  - Maquina Plataforma</t>
    </r>
    <r>
      <rPr>
        <sz val="9"/>
        <color indexed="59"/>
        <rFont val="Tahoma"/>
        <family val="2"/>
      </rPr>
      <t>."</t>
    </r>
  </si>
  <si>
    <r>
      <t>Adición  al contrato No. 164 de 2015 cuyo objeto es "</t>
    </r>
    <r>
      <rPr>
        <sz val="9"/>
        <color indexed="8"/>
        <rFont val="Tahoma"/>
        <family val="2"/>
      </rPr>
      <t>Compraventa de vehículos  operativos para la UAE Cuerpo Oficial de Bomberos de Bogotá, que le fue asignado en los grupos Nos: Grupo 3- Maquina Extintora 4x4, Grupo 4 Maquina de Rescate 4 x 4 y Grupo  5  - Maquina Matpel 4 x 2.”</t>
    </r>
  </si>
  <si>
    <r>
      <t>Adición al contrato No. 281  de 2015 cuyo objeto es:</t>
    </r>
    <r>
      <rPr>
        <sz val="9"/>
        <color indexed="63"/>
        <rFont val="Tahoma"/>
        <family val="2"/>
      </rPr>
      <t xml:space="preserve"> </t>
    </r>
    <r>
      <rPr>
        <i/>
        <sz val="9"/>
        <color indexed="8"/>
        <rFont val="Tahoma"/>
        <family val="2"/>
      </rPr>
      <t>”</t>
    </r>
    <r>
      <rPr>
        <sz val="9"/>
        <color indexed="8"/>
        <rFont val="Tahoma"/>
        <family val="2"/>
      </rPr>
      <t>Servicios Integrales de mantenimiento y mano de obra especializada para el parque automotor de la UAE   Cuerpo Oficial de Bomberos , incluido El Suministro de repuestos e insumos”.</t>
    </r>
  </si>
  <si>
    <t>Adición al contrato N° 230 de 2015 cuyo objeto es "Contratar el saneamiento ambiental para las estaciones y sedes de la UAE Cuerpo Oficial de Bomberos"</t>
  </si>
  <si>
    <t>Adición al contrato N° 283 de 2015 cuyo objeto es "Adquirir los elementos de aseo y desinfección"</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</si>
</sst>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_(* #,##0_);_(* \(#,##0\);_(* &quot;-&quot;??_);_(@_)"/>
    <numFmt numFmtId="166" formatCode="_-* #,##0\ _P_t_s_-;\-* #,##0\ _P_t_s_-;_-* &quot;-&quot;??\ _P_t_s_-;_-@_-"/>
    <numFmt numFmtId="167" formatCode="_-* #,##0.00\ _P_t_s_-;\-* #,##0.00\ _P_t_s_-;_-* &quot;-&quot;??\ _P_t_s_-;_-@_-"/>
    <numFmt numFmtId="168" formatCode="d/mm/yyyy;@"/>
    <numFmt numFmtId="169" formatCode="[$-240A]d&quot; de &quot;mmmm&quot; de &quot;yyyy;@"/>
    <numFmt numFmtId="170" formatCode="0_);\(0\)"/>
    <numFmt numFmtId="171" formatCode="dd/mm/yyyy;@"/>
    <numFmt numFmtId="172" formatCode="_(&quot;$&quot;\ * #,##0_);_(&quot;$&quot;\ * \(#,##0\);_(&quot;$&quot;\ * &quot;-&quot;??_);_(@_)"/>
    <numFmt numFmtId="173" formatCode="[$-240A]General"/>
    <numFmt numFmtId="174" formatCode="d&quot; de &quot;mmmm&quot; de &quot;yyyy;@"/>
    <numFmt numFmtId="175" formatCode="&quot; &quot;#,##0.00&quot; &quot;;&quot; (&quot;#,##0.00&quot;)&quot;;&quot; -&quot;#&quot; &quot;;&quot; &quot;@&quot; &quot;"/>
  </numFmts>
  <fonts count="63">
    <font>
      <sz val="11"/>
      <color theme="1"/>
      <name val="Calibri"/>
      <family val="2"/>
    </font>
    <font>
      <sz val="11"/>
      <color indexed="8"/>
      <name val="Calibri"/>
      <family val="2"/>
    </font>
    <font>
      <sz val="10"/>
      <name val="Arial"/>
      <family val="2"/>
    </font>
    <font>
      <sz val="9"/>
      <name val="Tahoma"/>
      <family val="2"/>
    </font>
    <font>
      <b/>
      <sz val="9"/>
      <name val="Tahoma"/>
      <family val="2"/>
    </font>
    <font>
      <sz val="8"/>
      <color indexed="8"/>
      <name val="Tahoma"/>
      <family val="2"/>
    </font>
    <font>
      <b/>
      <sz val="8"/>
      <color indexed="8"/>
      <name val="Tahoma"/>
      <family val="2"/>
    </font>
    <font>
      <b/>
      <sz val="11"/>
      <color indexed="8"/>
      <name val="Calibri"/>
      <family val="2"/>
    </font>
    <font>
      <sz val="8"/>
      <name val="Tahoma"/>
      <family val="2"/>
    </font>
    <font>
      <sz val="9"/>
      <name val="Arial"/>
      <family val="2"/>
    </font>
    <font>
      <b/>
      <sz val="8"/>
      <name val="Tahoma"/>
      <family val="2"/>
    </font>
    <font>
      <b/>
      <sz val="7"/>
      <name val="Arial"/>
      <family val="2"/>
    </font>
    <font>
      <sz val="10"/>
      <color indexed="8"/>
      <name val="Tahoma"/>
      <family val="2"/>
    </font>
    <font>
      <u val="single"/>
      <sz val="12.65"/>
      <color indexed="12"/>
      <name val="Calibri"/>
      <family val="2"/>
    </font>
    <font>
      <u val="single"/>
      <sz val="9"/>
      <name val="Tahoma"/>
      <family val="2"/>
    </font>
    <font>
      <b/>
      <sz val="12"/>
      <name val="Tahoma"/>
      <family val="2"/>
    </font>
    <font>
      <sz val="12"/>
      <name val="Tahoma"/>
      <family val="2"/>
    </font>
    <font>
      <sz val="9"/>
      <color indexed="8"/>
      <name val="Tahoma"/>
      <family val="2"/>
    </font>
    <font>
      <sz val="9"/>
      <color indexed="8"/>
      <name val="Calibri"/>
      <family val="2"/>
    </font>
    <font>
      <i/>
      <sz val="9"/>
      <name val="Tahoma"/>
      <family val="2"/>
    </font>
    <font>
      <sz val="10"/>
      <name val="Tahoma"/>
      <family val="2"/>
    </font>
    <font>
      <sz val="9"/>
      <color indexed="63"/>
      <name val="Tahoma"/>
      <family val="2"/>
    </font>
    <font>
      <i/>
      <sz val="9"/>
      <color indexed="8"/>
      <name val="Tahoma"/>
      <family val="2"/>
    </font>
    <font>
      <sz val="9"/>
      <color indexed="5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
      <family val="2"/>
    </font>
    <font>
      <u val="single"/>
      <sz val="12.6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ahoma"/>
      <family val="2"/>
    </font>
    <font>
      <b/>
      <sz val="8"/>
      <color theme="1"/>
      <name val="Tahoma"/>
      <family val="2"/>
    </font>
    <font>
      <sz val="9"/>
      <color theme="1"/>
      <name val="Tahoma"/>
      <family val="2"/>
    </font>
    <font>
      <sz val="9"/>
      <color theme="1"/>
      <name val="Calibri"/>
      <family val="2"/>
    </font>
    <font>
      <sz val="9"/>
      <color rgb="FF000000"/>
      <name val="Tahoma"/>
      <family val="2"/>
    </font>
    <font>
      <sz val="10"/>
      <color theme="1"/>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rgb="FF66CCFF"/>
        <bgColor indexed="64"/>
      </patternFill>
    </fill>
    <fill>
      <patternFill patternType="solid">
        <fgColor theme="3" tint="0.5999900102615356"/>
        <bgColor indexed="64"/>
      </patternFill>
    </fill>
    <fill>
      <patternFill patternType="solid">
        <fgColor rgb="FF00FFFF"/>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color rgb="FF000000"/>
      </left>
      <right style="thin">
        <color rgb="FF000000"/>
      </right>
      <top style="thin">
        <color rgb="FF000000"/>
      </top>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175" fontId="46" fillId="0" borderId="0">
      <alignment/>
      <protection/>
    </xf>
    <xf numFmtId="173" fontId="46" fillId="0" borderId="0">
      <alignment/>
      <protection/>
    </xf>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Fill="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118">
    <xf numFmtId="0" fontId="0" fillId="0" borderId="0" xfId="0" applyFont="1" applyAlignment="1">
      <alignment/>
    </xf>
    <xf numFmtId="0" fontId="3" fillId="0" borderId="0" xfId="0" applyFont="1" applyFill="1" applyBorder="1" applyAlignment="1">
      <alignment vertical="center" wrapText="1"/>
    </xf>
    <xf numFmtId="37" fontId="3" fillId="0" borderId="0" xfId="0" applyNumberFormat="1" applyFont="1" applyFill="1" applyBorder="1" applyAlignment="1">
      <alignment vertical="center" wrapText="1"/>
    </xf>
    <xf numFmtId="0" fontId="57" fillId="0" borderId="0" xfId="0" applyFont="1" applyAlignment="1">
      <alignment horizontal="center" vertical="center" wrapText="1"/>
    </xf>
    <xf numFmtId="3" fontId="3" fillId="0" borderId="10" xfId="0" applyNumberFormat="1" applyFont="1" applyFill="1" applyBorder="1" applyAlignment="1">
      <alignment vertical="center" wrapText="1"/>
    </xf>
    <xf numFmtId="3" fontId="57" fillId="0" borderId="0" xfId="0" applyNumberFormat="1" applyFont="1" applyAlignment="1">
      <alignment horizontal="center" vertical="center" wrapText="1"/>
    </xf>
    <xf numFmtId="0" fontId="58" fillId="33" borderId="10" xfId="0" applyFont="1" applyFill="1" applyBorder="1" applyAlignment="1">
      <alignment horizontal="center" vertical="center" wrapText="1"/>
    </xf>
    <xf numFmtId="3" fontId="58" fillId="33" borderId="10" xfId="0" applyNumberFormat="1" applyFont="1" applyFill="1" applyBorder="1" applyAlignment="1">
      <alignment horizontal="center" vertical="center" wrapText="1"/>
    </xf>
    <xf numFmtId="0" fontId="57" fillId="0" borderId="10" xfId="0" applyFont="1" applyBorder="1" applyAlignment="1">
      <alignment vertical="center" wrapText="1"/>
    </xf>
    <xf numFmtId="3" fontId="57" fillId="0" borderId="10" xfId="0" applyNumberFormat="1" applyFont="1" applyBorder="1" applyAlignment="1">
      <alignment vertical="center" wrapText="1"/>
    </xf>
    <xf numFmtId="0" fontId="57" fillId="0" borderId="10" xfId="0" applyFont="1" applyBorder="1" applyAlignment="1">
      <alignment horizontal="center" vertical="center" wrapText="1"/>
    </xf>
    <xf numFmtId="3" fontId="58" fillId="33" borderId="10" xfId="0" applyNumberFormat="1" applyFont="1" applyFill="1" applyBorder="1" applyAlignment="1">
      <alignment vertical="center" wrapText="1"/>
    </xf>
    <xf numFmtId="0" fontId="4" fillId="34" borderId="10" xfId="0" applyFont="1" applyFill="1" applyBorder="1" applyAlignment="1">
      <alignment horizontal="center" vertical="center" wrapText="1"/>
    </xf>
    <xf numFmtId="165" fontId="4" fillId="34" borderId="10" xfId="49"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3" fillId="0" borderId="10" xfId="140" applyFont="1" applyFill="1" applyBorder="1" applyAlignment="1">
      <alignment vertical="center" wrapText="1"/>
      <protection/>
    </xf>
    <xf numFmtId="3" fontId="3" fillId="0" borderId="10" xfId="0" applyNumberFormat="1" applyFont="1" applyFill="1" applyBorder="1" applyAlignment="1">
      <alignment horizontal="center" vertical="center" wrapText="1"/>
    </xf>
    <xf numFmtId="0" fontId="3" fillId="0" borderId="10" xfId="132" applyFont="1" applyFill="1" applyBorder="1" applyAlignment="1">
      <alignment vertical="center" wrapText="1"/>
      <protection/>
    </xf>
    <xf numFmtId="0" fontId="0" fillId="0" borderId="0" xfId="0" applyAlignment="1">
      <alignment vertical="center"/>
    </xf>
    <xf numFmtId="0" fontId="0" fillId="0" borderId="0" xfId="0" applyAlignment="1">
      <alignment horizontal="center" vertical="center"/>
    </xf>
    <xf numFmtId="3" fontId="56" fillId="35" borderId="0" xfId="0" applyNumberFormat="1" applyFont="1" applyFill="1" applyAlignment="1">
      <alignment vertical="center"/>
    </xf>
    <xf numFmtId="0" fontId="0" fillId="0" borderId="10" xfId="0"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1" fillId="15" borderId="10" xfId="0" applyFont="1" applyFill="1" applyBorder="1" applyAlignment="1">
      <alignment horizontal="center" vertical="center" wrapText="1"/>
    </xf>
    <xf numFmtId="0" fontId="10" fillId="15" borderId="10" xfId="0" applyFont="1" applyFill="1" applyBorder="1" applyAlignment="1">
      <alignment vertical="center"/>
    </xf>
    <xf numFmtId="0" fontId="57" fillId="0" borderId="10" xfId="0" applyFont="1" applyBorder="1" applyAlignment="1">
      <alignment vertical="center"/>
    </xf>
    <xf numFmtId="0" fontId="57" fillId="0" borderId="11" xfId="0" applyFont="1" applyFill="1" applyBorder="1" applyAlignment="1">
      <alignment vertical="center"/>
    </xf>
    <xf numFmtId="0" fontId="57" fillId="0" borderId="0" xfId="0" applyFont="1" applyFill="1" applyBorder="1" applyAlignment="1">
      <alignment vertical="center"/>
    </xf>
    <xf numFmtId="0" fontId="4" fillId="36" borderId="10" xfId="49" applyNumberFormat="1" applyFont="1" applyFill="1" applyBorder="1" applyAlignment="1">
      <alignment horizontal="center" vertical="center" wrapText="1"/>
    </xf>
    <xf numFmtId="166" fontId="0" fillId="0" borderId="0" xfId="51" applyNumberFormat="1" applyFont="1" applyFill="1" applyBorder="1" applyAlignment="1">
      <alignment horizontal="left"/>
    </xf>
    <xf numFmtId="4" fontId="3" fillId="0" borderId="0" xfId="0" applyNumberFormat="1" applyFont="1" applyFill="1" applyBorder="1" applyAlignment="1">
      <alignment vertical="center" wrapText="1"/>
    </xf>
    <xf numFmtId="168" fontId="3"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vertical="center" wrapText="1"/>
    </xf>
    <xf numFmtId="0" fontId="3" fillId="37" borderId="0" xfId="0" applyFont="1" applyFill="1" applyBorder="1" applyAlignment="1">
      <alignment vertical="center"/>
    </xf>
    <xf numFmtId="37" fontId="3" fillId="37" borderId="0" xfId="0" applyNumberFormat="1" applyFont="1" applyFill="1" applyBorder="1" applyAlignment="1">
      <alignment vertical="center" wrapText="1"/>
    </xf>
    <xf numFmtId="0" fontId="3" fillId="37" borderId="0" xfId="0" applyFont="1" applyFill="1" applyBorder="1" applyAlignment="1">
      <alignment vertical="center" wrapText="1"/>
    </xf>
    <xf numFmtId="37" fontId="3" fillId="37" borderId="0" xfId="0" applyNumberFormat="1" applyFont="1" applyFill="1" applyBorder="1" applyAlignment="1">
      <alignment vertical="center"/>
    </xf>
    <xf numFmtId="170" fontId="3" fillId="37" borderId="0" xfId="0" applyNumberFormat="1" applyFont="1" applyFill="1" applyBorder="1" applyAlignment="1">
      <alignment horizontal="left" vertical="center"/>
    </xf>
    <xf numFmtId="37" fontId="47" fillId="37" borderId="0" xfId="47" applyNumberFormat="1" applyFill="1" applyBorder="1" applyAlignment="1" applyProtection="1">
      <alignment vertical="center"/>
      <protection/>
    </xf>
    <xf numFmtId="0" fontId="56" fillId="37" borderId="0" xfId="0" applyFont="1" applyFill="1" applyAlignment="1">
      <alignment/>
    </xf>
    <xf numFmtId="0" fontId="3" fillId="37" borderId="0" xfId="0" applyFont="1" applyFill="1" applyBorder="1" applyAlignment="1">
      <alignment horizontal="center" vertical="center" wrapText="1"/>
    </xf>
    <xf numFmtId="37" fontId="4" fillId="37" borderId="0" xfId="0" applyNumberFormat="1" applyFont="1" applyFill="1" applyBorder="1" applyAlignment="1">
      <alignment vertical="center" wrapText="1"/>
    </xf>
    <xf numFmtId="44" fontId="3" fillId="37" borderId="0" xfId="66" applyFont="1" applyFill="1" applyBorder="1" applyAlignment="1">
      <alignment horizontal="left" vertical="center"/>
    </xf>
    <xf numFmtId="0" fontId="15" fillId="38" borderId="0" xfId="0" applyFont="1" applyFill="1" applyBorder="1" applyAlignment="1">
      <alignment vertical="center"/>
    </xf>
    <xf numFmtId="37" fontId="3" fillId="38" borderId="0" xfId="0" applyNumberFormat="1" applyFont="1" applyFill="1" applyBorder="1" applyAlignment="1">
      <alignment vertical="center" wrapText="1"/>
    </xf>
    <xf numFmtId="0" fontId="3" fillId="38" borderId="0" xfId="0" applyFont="1" applyFill="1" applyBorder="1" applyAlignment="1">
      <alignment vertical="center" wrapText="1"/>
    </xf>
    <xf numFmtId="0" fontId="3" fillId="38" borderId="0" xfId="0" applyFont="1" applyFill="1" applyBorder="1" applyAlignment="1">
      <alignment horizontal="center" vertical="center" wrapText="1"/>
    </xf>
    <xf numFmtId="0" fontId="16" fillId="38" borderId="0" xfId="0" applyFont="1" applyFill="1" applyBorder="1" applyAlignment="1">
      <alignment vertical="center"/>
    </xf>
    <xf numFmtId="39" fontId="3" fillId="38" borderId="0" xfId="0" applyNumberFormat="1" applyFont="1" applyFill="1" applyBorder="1" applyAlignment="1">
      <alignment vertical="center" wrapText="1"/>
    </xf>
    <xf numFmtId="37" fontId="3" fillId="0" borderId="0" xfId="0" applyNumberFormat="1" applyFont="1" applyFill="1" applyBorder="1" applyAlignment="1">
      <alignment vertical="center"/>
    </xf>
    <xf numFmtId="172" fontId="3" fillId="37" borderId="0" xfId="66" applyNumberFormat="1" applyFont="1" applyFill="1" applyBorder="1" applyAlignment="1">
      <alignment horizontal="left" vertical="center"/>
    </xf>
    <xf numFmtId="0" fontId="3" fillId="37" borderId="0" xfId="0" applyFont="1" applyFill="1" applyBorder="1" applyAlignment="1">
      <alignment horizontal="center" wrapText="1"/>
    </xf>
    <xf numFmtId="37" fontId="3" fillId="37" borderId="0" xfId="0" applyNumberFormat="1" applyFont="1" applyFill="1" applyBorder="1" applyAlignment="1">
      <alignment horizontal="center" wrapText="1"/>
    </xf>
    <xf numFmtId="0" fontId="3" fillId="0" borderId="10" xfId="0" applyFont="1" applyFill="1" applyBorder="1" applyAlignment="1">
      <alignment vertical="center" wrapText="1"/>
    </xf>
    <xf numFmtId="171" fontId="3" fillId="0" borderId="0" xfId="0" applyNumberFormat="1" applyFont="1" applyFill="1" applyBorder="1" applyAlignment="1">
      <alignment vertical="center"/>
    </xf>
    <xf numFmtId="0" fontId="3" fillId="37" borderId="0" xfId="0" applyFont="1" applyFill="1" applyBorder="1" applyAlignment="1">
      <alignment horizontal="justify" vertical="center" wrapText="1"/>
    </xf>
    <xf numFmtId="37" fontId="3" fillId="37" borderId="0" xfId="0" applyNumberFormat="1" applyFont="1" applyFill="1" applyBorder="1" applyAlignment="1">
      <alignment horizontal="justify" vertical="center" wrapText="1"/>
    </xf>
    <xf numFmtId="171" fontId="3" fillId="37" borderId="0" xfId="0" applyNumberFormat="1" applyFont="1" applyFill="1" applyBorder="1" applyAlignment="1">
      <alignment horizontal="justify" vertical="center"/>
    </xf>
    <xf numFmtId="0" fontId="4" fillId="36" borderId="10" xfId="49"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38" borderId="0" xfId="0" applyFont="1" applyFill="1" applyBorder="1" applyAlignment="1">
      <alignment horizontal="justify" vertical="center" wrapText="1"/>
    </xf>
    <xf numFmtId="0" fontId="59" fillId="0" borderId="10" xfId="0" applyFont="1" applyFill="1" applyBorder="1" applyAlignment="1">
      <alignment horizontal="justify" vertical="center" wrapText="1"/>
    </xf>
    <xf numFmtId="0" fontId="3" fillId="0" borderId="10" xfId="51" applyNumberFormat="1" applyFont="1" applyFill="1" applyBorder="1" applyAlignment="1">
      <alignment horizontal="center" vertical="center" wrapText="1"/>
    </xf>
    <xf numFmtId="0" fontId="59" fillId="0" borderId="12" xfId="51"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59" fillId="0" borderId="10" xfId="51" applyNumberFormat="1" applyFont="1" applyFill="1" applyBorder="1" applyAlignment="1">
      <alignment horizontal="left" vertical="center" wrapText="1"/>
    </xf>
    <xf numFmtId="0" fontId="59" fillId="0" borderId="13" xfId="0" applyFont="1" applyFill="1" applyBorder="1" applyAlignment="1">
      <alignment horizontal="center" vertical="center" wrapText="1"/>
    </xf>
    <xf numFmtId="0" fontId="59" fillId="0" borderId="10" xfId="51" applyNumberFormat="1" applyFont="1" applyFill="1" applyBorder="1" applyAlignment="1">
      <alignment horizontal="center" vertical="center" wrapText="1"/>
    </xf>
    <xf numFmtId="0" fontId="60" fillId="0" borderId="0" xfId="0" applyFont="1" applyFill="1" applyAlignment="1">
      <alignment/>
    </xf>
    <xf numFmtId="173" fontId="61" fillId="0" borderId="14" xfId="46" applyFont="1" applyFill="1" applyBorder="1" applyAlignment="1">
      <alignment horizontal="center" vertical="center" wrapText="1"/>
      <protection/>
    </xf>
    <xf numFmtId="169" fontId="3" fillId="0" borderId="10" xfId="0" applyNumberFormat="1" applyFont="1" applyFill="1" applyBorder="1" applyAlignment="1">
      <alignment horizontal="center" vertical="center" wrapText="1"/>
    </xf>
    <xf numFmtId="0" fontId="3" fillId="0" borderId="15" xfId="0" applyFont="1" applyFill="1" applyBorder="1" applyAlignment="1">
      <alignment horizontal="justify" vertical="center" wrapText="1"/>
    </xf>
    <xf numFmtId="43" fontId="3" fillId="37" borderId="0" xfId="49" applyFont="1" applyFill="1" applyBorder="1" applyAlignment="1">
      <alignment vertical="center" wrapText="1"/>
    </xf>
    <xf numFmtId="174" fontId="61" fillId="0" borderId="16" xfId="46" applyNumberFormat="1" applyFont="1" applyFill="1" applyBorder="1" applyAlignment="1">
      <alignment horizontal="center" vertical="center" wrapText="1"/>
      <protection/>
    </xf>
    <xf numFmtId="173" fontId="61" fillId="0" borderId="16" xfId="46" applyFont="1" applyFill="1" applyBorder="1" applyAlignment="1">
      <alignment horizontal="center" vertical="center" wrapText="1"/>
      <protection/>
    </xf>
    <xf numFmtId="4" fontId="3" fillId="0" borderId="12"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173" fontId="61" fillId="0" borderId="16" xfId="51" applyNumberFormat="1" applyFont="1" applyFill="1" applyBorder="1" applyAlignment="1" applyProtection="1">
      <alignment horizontal="center" vertical="center" wrapText="1"/>
      <protection/>
    </xf>
    <xf numFmtId="0" fontId="3" fillId="0" borderId="0" xfId="0" applyFont="1" applyFill="1" applyBorder="1" applyAlignment="1">
      <alignment vertical="center" wrapText="1"/>
    </xf>
    <xf numFmtId="3"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60"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37" fontId="4" fillId="37" borderId="0" xfId="0" applyNumberFormat="1" applyFont="1" applyFill="1" applyBorder="1" applyAlignment="1">
      <alignment vertical="center" wrapText="1"/>
    </xf>
    <xf numFmtId="0" fontId="59" fillId="0" borderId="10" xfId="51" applyNumberFormat="1" applyFont="1" applyFill="1" applyBorder="1" applyAlignment="1">
      <alignment horizontal="center" vertical="center" wrapText="1"/>
    </xf>
    <xf numFmtId="0" fontId="0" fillId="0" borderId="0" xfId="0" applyFill="1" applyAlignment="1">
      <alignment/>
    </xf>
    <xf numFmtId="0" fontId="3" fillId="0" borderId="0" xfId="157" applyFont="1" applyFill="1" applyBorder="1" applyAlignment="1">
      <alignment horizontal="left" vertical="center" wrapText="1"/>
      <protection/>
    </xf>
    <xf numFmtId="4" fontId="3" fillId="0" borderId="10" xfId="0" applyNumberFormat="1" applyFont="1" applyFill="1" applyBorder="1" applyAlignment="1">
      <alignment vertical="center" wrapText="1"/>
    </xf>
    <xf numFmtId="0" fontId="62" fillId="0" borderId="10" xfId="51" applyNumberFormat="1" applyFont="1" applyFill="1" applyBorder="1" applyAlignment="1">
      <alignment horizontal="left" vertical="center" wrapText="1"/>
    </xf>
    <xf numFmtId="3" fontId="3" fillId="0" borderId="10" xfId="0" applyNumberFormat="1" applyFont="1" applyFill="1" applyBorder="1" applyAlignment="1">
      <alignment vertical="center" wrapText="1"/>
    </xf>
    <xf numFmtId="174" fontId="61" fillId="0" borderId="14" xfId="46" applyNumberFormat="1" applyFont="1" applyFill="1" applyBorder="1" applyAlignment="1">
      <alignment horizontal="center" vertical="center" wrapText="1"/>
      <protection/>
    </xf>
    <xf numFmtId="0" fontId="59" fillId="0" borderId="10" xfId="0" applyFont="1" applyFill="1" applyBorder="1" applyAlignment="1">
      <alignment horizontal="center" vertical="center"/>
    </xf>
    <xf numFmtId="3" fontId="3" fillId="0" borderId="10" xfId="158" applyNumberFormat="1" applyFont="1" applyFill="1" applyBorder="1" applyAlignment="1">
      <alignment horizontal="left" vertical="center" wrapText="1"/>
      <protection/>
    </xf>
    <xf numFmtId="0" fontId="59" fillId="0" borderId="10" xfId="0" applyFont="1" applyFill="1" applyBorder="1" applyAlignment="1">
      <alignment horizontal="center" vertical="center" wrapText="1"/>
    </xf>
    <xf numFmtId="3" fontId="3" fillId="0" borderId="10" xfId="158" applyNumberFormat="1" applyFont="1" applyFill="1" applyBorder="1" applyAlignment="1">
      <alignment horizontal="right" vertical="center" wrapText="1"/>
      <protection/>
    </xf>
    <xf numFmtId="174" fontId="61" fillId="0" borderId="10" xfId="46" applyNumberFormat="1" applyFont="1" applyFill="1" applyBorder="1" applyAlignment="1">
      <alignment horizontal="center" vertical="center" wrapText="1"/>
      <protection/>
    </xf>
    <xf numFmtId="10" fontId="3" fillId="0" borderId="0" xfId="160" applyNumberFormat="1" applyFont="1" applyFill="1" applyBorder="1" applyAlignment="1">
      <alignment vertical="center" wrapText="1"/>
    </xf>
    <xf numFmtId="173" fontId="61" fillId="0" borderId="10" xfId="51" applyNumberFormat="1" applyFont="1" applyFill="1" applyBorder="1" applyAlignment="1" applyProtection="1">
      <alignment horizontal="center" vertical="center" wrapText="1"/>
      <protection/>
    </xf>
    <xf numFmtId="15" fontId="59" fillId="0" borderId="10" xfId="0" applyNumberFormat="1" applyFont="1" applyFill="1" applyBorder="1" applyAlignment="1">
      <alignment horizontal="center" vertical="center"/>
    </xf>
    <xf numFmtId="3" fontId="3" fillId="0" borderId="10" xfId="158" applyNumberFormat="1" applyFont="1" applyFill="1" applyBorder="1" applyAlignment="1">
      <alignment horizontal="center" vertical="center" wrapText="1"/>
      <protection/>
    </xf>
    <xf numFmtId="49" fontId="3" fillId="0" borderId="10" xfId="158" applyNumberFormat="1" applyFont="1" applyFill="1" applyBorder="1" applyAlignment="1">
      <alignment horizontal="center" vertical="center" wrapText="1"/>
      <protection/>
    </xf>
    <xf numFmtId="43" fontId="3" fillId="0" borderId="10" xfId="0" applyNumberFormat="1" applyFont="1" applyFill="1" applyBorder="1" applyAlignment="1">
      <alignment vertical="center" wrapText="1"/>
    </xf>
    <xf numFmtId="14" fontId="59" fillId="0" borderId="10" xfId="0" applyNumberFormat="1" applyFont="1" applyFill="1" applyBorder="1" applyAlignment="1">
      <alignment horizontal="center" vertical="center" wrapText="1"/>
    </xf>
    <xf numFmtId="3" fontId="59" fillId="0" borderId="10" xfId="0" applyNumberFormat="1" applyFont="1" applyFill="1" applyBorder="1" applyAlignment="1">
      <alignment horizontal="right" vertical="center"/>
    </xf>
    <xf numFmtId="174" fontId="61" fillId="0" borderId="15" xfId="46" applyNumberFormat="1" applyFont="1" applyFill="1" applyBorder="1" applyAlignment="1">
      <alignment horizontal="center" vertical="center" wrapText="1"/>
      <protection/>
    </xf>
    <xf numFmtId="3" fontId="14" fillId="0" borderId="10" xfId="158" applyNumberFormat="1" applyFont="1" applyFill="1" applyBorder="1" applyAlignment="1">
      <alignment horizontal="left" vertical="center" wrapText="1"/>
      <protection/>
    </xf>
    <xf numFmtId="3" fontId="0" fillId="0" borderId="0" xfId="0" applyNumberFormat="1" applyFill="1" applyAlignment="1">
      <alignment/>
    </xf>
    <xf numFmtId="3" fontId="0" fillId="0" borderId="0" xfId="0" applyNumberFormat="1" applyFill="1" applyBorder="1" applyAlignment="1">
      <alignment/>
    </xf>
    <xf numFmtId="4" fontId="9" fillId="0" borderId="0" xfId="0" applyNumberFormat="1" applyFont="1" applyFill="1" applyBorder="1" applyAlignment="1" applyProtection="1">
      <alignment/>
      <protection locked="0"/>
    </xf>
    <xf numFmtId="0" fontId="0" fillId="0" borderId="0" xfId="0" applyFill="1" applyBorder="1" applyAlignment="1">
      <alignment/>
    </xf>
    <xf numFmtId="0" fontId="3" fillId="0" borderId="10" xfId="157" applyFont="1" applyFill="1" applyBorder="1" applyAlignment="1">
      <alignment horizontal="left" vertical="center" wrapText="1"/>
      <protection/>
    </xf>
    <xf numFmtId="0" fontId="57" fillId="0" borderId="10" xfId="0" applyFont="1" applyBorder="1" applyAlignment="1">
      <alignment horizontal="center" vertical="center" wrapText="1"/>
    </xf>
    <xf numFmtId="0" fontId="57" fillId="0" borderId="10" xfId="0" applyFont="1" applyBorder="1" applyAlignment="1">
      <alignment horizontal="center" vertical="center" textRotation="90" wrapText="1"/>
    </xf>
  </cellXfs>
  <cellStyles count="1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Comma" xfId="45"/>
    <cellStyle name="Excel Built-in Normal" xfId="46"/>
    <cellStyle name="Hyperlink" xfId="47"/>
    <cellStyle name="Incorrecto" xfId="48"/>
    <cellStyle name="Comma" xfId="49"/>
    <cellStyle name="Comma [0]" xfId="50"/>
    <cellStyle name="Millares 2" xfId="51"/>
    <cellStyle name="Millares 2 2" xfId="52"/>
    <cellStyle name="Millares 2 3" xfId="53"/>
    <cellStyle name="Millares 2 4" xfId="54"/>
    <cellStyle name="Millares 2 5" xfId="55"/>
    <cellStyle name="Millares 2 6" xfId="56"/>
    <cellStyle name="Millares 2 7" xfId="57"/>
    <cellStyle name="Millares 3" xfId="58"/>
    <cellStyle name="Millares 3 2" xfId="59"/>
    <cellStyle name="Millares 3 3" xfId="60"/>
    <cellStyle name="Millares 3 4" xfId="61"/>
    <cellStyle name="Millares 3 5" xfId="62"/>
    <cellStyle name="Millares 3 6" xfId="63"/>
    <cellStyle name="Millares 3 7" xfId="64"/>
    <cellStyle name="Millares 5" xfId="65"/>
    <cellStyle name="Currency" xfId="66"/>
    <cellStyle name="Currency [0]" xfId="67"/>
    <cellStyle name="Moneda 2" xfId="68"/>
    <cellStyle name="Moneda 2 2" xfId="69"/>
    <cellStyle name="Moneda 2 3" xfId="70"/>
    <cellStyle name="Moneda 2 4" xfId="71"/>
    <cellStyle name="Moneda 2 5" xfId="72"/>
    <cellStyle name="Moneda 2 6" xfId="73"/>
    <cellStyle name="Moneda 2 7" xfId="74"/>
    <cellStyle name="Moneda 3" xfId="75"/>
    <cellStyle name="Moneda 3 2" xfId="76"/>
    <cellStyle name="Moneda 3 2 2" xfId="77"/>
    <cellStyle name="Moneda 3 2 2 2" xfId="78"/>
    <cellStyle name="Moneda 3 2 2 2 2" xfId="79"/>
    <cellStyle name="Moneda 3 2 2 3" xfId="80"/>
    <cellStyle name="Moneda 3 2 3" xfId="81"/>
    <cellStyle name="Moneda 3 2 3 2" xfId="82"/>
    <cellStyle name="Moneda 3 2 3 2 2" xfId="83"/>
    <cellStyle name="Moneda 3 2 3 3" xfId="84"/>
    <cellStyle name="Moneda 3 2 4" xfId="85"/>
    <cellStyle name="Moneda 3 2 4 2" xfId="86"/>
    <cellStyle name="Moneda 3 2 5" xfId="87"/>
    <cellStyle name="Moneda 3 3" xfId="88"/>
    <cellStyle name="Moneda 3 3 2" xfId="89"/>
    <cellStyle name="Moneda 3 3 2 2" xfId="90"/>
    <cellStyle name="Moneda 3 3 3" xfId="91"/>
    <cellStyle name="Moneda 3 4" xfId="92"/>
    <cellStyle name="Moneda 3 4 2" xfId="93"/>
    <cellStyle name="Moneda 3 4 2 2" xfId="94"/>
    <cellStyle name="Moneda 3 4 3" xfId="95"/>
    <cellStyle name="Moneda 3 5" xfId="96"/>
    <cellStyle name="Moneda 3 5 2" xfId="97"/>
    <cellStyle name="Moneda 3 5 2 2" xfId="98"/>
    <cellStyle name="Moneda 3 5 3" xfId="99"/>
    <cellStyle name="Moneda 3 6" xfId="100"/>
    <cellStyle name="Moneda 3 6 2" xfId="101"/>
    <cellStyle name="Moneda 3 7" xfId="102"/>
    <cellStyle name="Moneda 4" xfId="103"/>
    <cellStyle name="Moneda 4 2" xfId="104"/>
    <cellStyle name="Moneda 4 2 2" xfId="105"/>
    <cellStyle name="Moneda 4 2 2 2" xfId="106"/>
    <cellStyle name="Moneda 4 2 3" xfId="107"/>
    <cellStyle name="Moneda 4 3" xfId="108"/>
    <cellStyle name="Moneda 4 3 2" xfId="109"/>
    <cellStyle name="Moneda 4 3 2 2" xfId="110"/>
    <cellStyle name="Moneda 4 3 3" xfId="111"/>
    <cellStyle name="Moneda 4 4" xfId="112"/>
    <cellStyle name="Moneda 4 4 2" xfId="113"/>
    <cellStyle name="Moneda 4 4 2 2" xfId="114"/>
    <cellStyle name="Moneda 4 4 3" xfId="115"/>
    <cellStyle name="Moneda 4 5" xfId="116"/>
    <cellStyle name="Moneda 4 5 2" xfId="117"/>
    <cellStyle name="Moneda 4 6" xfId="118"/>
    <cellStyle name="Moneda 5" xfId="119"/>
    <cellStyle name="Moneda 5 2" xfId="120"/>
    <cellStyle name="Moneda 5 2 2" xfId="121"/>
    <cellStyle name="Moneda 5 3" xfId="122"/>
    <cellStyle name="Moneda 6" xfId="123"/>
    <cellStyle name="Moneda 6 2" xfId="124"/>
    <cellStyle name="Moneda 6 2 2" xfId="125"/>
    <cellStyle name="Moneda 6 3" xfId="126"/>
    <cellStyle name="Moneda 7" xfId="127"/>
    <cellStyle name="Moneda 7 2" xfId="128"/>
    <cellStyle name="Moneda 8" xfId="129"/>
    <cellStyle name="Neutral" xfId="130"/>
    <cellStyle name="Normal 2" xfId="131"/>
    <cellStyle name="Normal 2 10" xfId="132"/>
    <cellStyle name="Normal 2 11" xfId="133"/>
    <cellStyle name="Normal 2 12" xfId="134"/>
    <cellStyle name="Normal 2 13" xfId="135"/>
    <cellStyle name="Normal 2 14" xfId="136"/>
    <cellStyle name="Normal 2 15" xfId="137"/>
    <cellStyle name="Normal 2 16" xfId="138"/>
    <cellStyle name="Normal 2 17" xfId="139"/>
    <cellStyle name="Normal 2 2" xfId="140"/>
    <cellStyle name="Normal 2 3" xfId="141"/>
    <cellStyle name="Normal 2 4" xfId="142"/>
    <cellStyle name="Normal 2 5" xfId="143"/>
    <cellStyle name="Normal 2 6" xfId="144"/>
    <cellStyle name="Normal 2 7" xfId="145"/>
    <cellStyle name="Normal 2 8" xfId="146"/>
    <cellStyle name="Normal 2 9" xfId="147"/>
    <cellStyle name="Normal 3" xfId="148"/>
    <cellStyle name="Normal 3 2" xfId="149"/>
    <cellStyle name="Normal 4" xfId="150"/>
    <cellStyle name="Normal 4 2" xfId="151"/>
    <cellStyle name="Normal 4 3" xfId="152"/>
    <cellStyle name="Normal 4 4" xfId="153"/>
    <cellStyle name="Normal 4 5" xfId="154"/>
    <cellStyle name="Normal 4 6" xfId="155"/>
    <cellStyle name="Normal 4 7" xfId="156"/>
    <cellStyle name="Normal_Libro1" xfId="157"/>
    <cellStyle name="Normal_PROGRMACION PPTO 2008 Consolidado" xfId="158"/>
    <cellStyle name="Notas" xfId="159"/>
    <cellStyle name="Percent" xfId="160"/>
    <cellStyle name="Porcentual 2" xfId="161"/>
    <cellStyle name="Salida" xfId="162"/>
    <cellStyle name="Texto de advertencia" xfId="163"/>
    <cellStyle name="Texto explicativo" xfId="164"/>
    <cellStyle name="Título" xfId="165"/>
    <cellStyle name="Título 1" xfId="166"/>
    <cellStyle name="Título 2" xfId="167"/>
    <cellStyle name="Título 3" xfId="168"/>
    <cellStyle name="Total" xfId="169"/>
  </cellStyles>
  <dxfs count="6">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valencia\Mis%20documentos\Downloads\Programaci&#243;n%20PAC%202015\PAC%202015%20Tecnolog&#237;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valencia\Mis%20documentos\Downloads\Programaci&#243;n%20PAC%202015\PAC%202015%20Log&#237;stic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A 2015 INICIAL"/>
      <sheetName val="Hoja1"/>
      <sheetName val="POAI 2013"/>
      <sheetName val="TABLAS"/>
      <sheetName val="Resumen para SDH V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 2015 INICIAL"/>
      <sheetName val="Hoja1"/>
      <sheetName val="POAI 2013"/>
      <sheetName val="TABLAS"/>
      <sheetName val="Resumen para SDH V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mberosbogota.gov.co/&#8206;"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9FF66"/>
    <pageSetUpPr fitToPage="1"/>
  </sheetPr>
  <dimension ref="A1:N265"/>
  <sheetViews>
    <sheetView tabSelected="1" view="pageBreakPreview" zoomScale="55" zoomScaleNormal="110" zoomScaleSheetLayoutView="55" zoomScalePageLayoutView="0" workbookViewId="0" topLeftCell="A259">
      <selection activeCell="O262" sqref="O262"/>
    </sheetView>
  </sheetViews>
  <sheetFormatPr defaultColWidth="11.421875" defaultRowHeight="15"/>
  <cols>
    <col min="1" max="1" width="3.57421875" style="82" customWidth="1"/>
    <col min="2" max="2" width="16.421875" style="2" customWidth="1"/>
    <col min="3" max="3" width="21.421875" style="61" customWidth="1"/>
    <col min="4" max="4" width="22.00390625" style="1" customWidth="1"/>
    <col min="5" max="5" width="8.28125" style="22" customWidth="1"/>
    <col min="6" max="6" width="17.00390625" style="23" customWidth="1"/>
    <col min="7" max="7" width="17.00390625" style="1" customWidth="1"/>
    <col min="8" max="8" width="17.8515625" style="2" customWidth="1"/>
    <col min="9" max="9" width="21.421875" style="2" customWidth="1"/>
    <col min="10" max="10" width="16.28125" style="1" customWidth="1"/>
    <col min="11" max="11" width="17.57421875" style="23" customWidth="1"/>
    <col min="12" max="12" width="33.28125" style="1" customWidth="1"/>
    <col min="13" max="16384" width="11.421875" style="1" customWidth="1"/>
  </cols>
  <sheetData>
    <row r="1" spans="1:9" s="23" customFormat="1" ht="11.25">
      <c r="A1" s="82"/>
      <c r="B1" s="36"/>
      <c r="C1" s="57"/>
      <c r="E1" s="42"/>
      <c r="F1" s="37"/>
      <c r="G1" s="37"/>
      <c r="H1" s="36"/>
      <c r="I1" s="36"/>
    </row>
    <row r="2" spans="1:13" s="23" customFormat="1" ht="15">
      <c r="A2" s="82"/>
      <c r="B2" s="41" t="s">
        <v>442</v>
      </c>
      <c r="C2" s="58"/>
      <c r="D2" s="36"/>
      <c r="E2" s="37"/>
      <c r="F2" s="45" t="s">
        <v>258</v>
      </c>
      <c r="G2" s="62"/>
      <c r="H2" s="47"/>
      <c r="I2" s="48"/>
      <c r="J2" s="47"/>
      <c r="K2" s="47"/>
      <c r="L2" s="46"/>
      <c r="M2" s="46"/>
    </row>
    <row r="3" spans="1:13" s="23" customFormat="1" ht="15">
      <c r="A3" s="82"/>
      <c r="B3" s="37"/>
      <c r="C3" s="58"/>
      <c r="D3" s="36"/>
      <c r="E3" s="37"/>
      <c r="F3" s="49" t="s">
        <v>277</v>
      </c>
      <c r="G3" s="62"/>
      <c r="H3" s="47"/>
      <c r="I3" s="48"/>
      <c r="J3" s="47"/>
      <c r="K3" s="47"/>
      <c r="L3" s="46"/>
      <c r="M3" s="46"/>
    </row>
    <row r="4" spans="1:13" s="23" customFormat="1" ht="15">
      <c r="A4" s="82"/>
      <c r="B4" s="41" t="s">
        <v>259</v>
      </c>
      <c r="C4" s="58"/>
      <c r="D4" s="36"/>
      <c r="E4" s="37"/>
      <c r="F4" s="49" t="s">
        <v>278</v>
      </c>
      <c r="G4" s="62"/>
      <c r="H4" s="47"/>
      <c r="I4" s="48"/>
      <c r="J4" s="47"/>
      <c r="K4" s="47"/>
      <c r="L4" s="50"/>
      <c r="M4" s="50"/>
    </row>
    <row r="5" spans="1:12" s="23" customFormat="1" ht="11.25">
      <c r="A5" s="82"/>
      <c r="B5" s="37"/>
      <c r="C5" s="58"/>
      <c r="D5" s="36"/>
      <c r="E5" s="37"/>
      <c r="F5" s="37"/>
      <c r="G5" s="37"/>
      <c r="H5" s="36"/>
      <c r="I5" s="36"/>
      <c r="J5" s="37"/>
      <c r="K5" s="37"/>
      <c r="L5" s="37"/>
    </row>
    <row r="6" spans="1:12" s="23" customFormat="1" ht="11.25">
      <c r="A6" s="82"/>
      <c r="B6" s="35" t="s">
        <v>260</v>
      </c>
      <c r="C6" s="38" t="s">
        <v>272</v>
      </c>
      <c r="D6" s="36"/>
      <c r="F6" s="37"/>
      <c r="G6" s="37"/>
      <c r="H6" s="36"/>
      <c r="I6" s="36"/>
      <c r="J6" s="37"/>
      <c r="K6" s="37"/>
      <c r="L6" s="37"/>
    </row>
    <row r="7" spans="1:12" s="23" customFormat="1" ht="11.25">
      <c r="A7" s="82"/>
      <c r="B7" s="35" t="s">
        <v>261</v>
      </c>
      <c r="C7" s="38" t="s">
        <v>273</v>
      </c>
      <c r="D7" s="36"/>
      <c r="E7" s="37"/>
      <c r="F7" s="37"/>
      <c r="G7" s="37"/>
      <c r="H7" s="36"/>
      <c r="I7" s="36"/>
      <c r="J7" s="37"/>
      <c r="K7" s="37"/>
      <c r="L7" s="37"/>
    </row>
    <row r="8" spans="1:12" s="23" customFormat="1" ht="11.25">
      <c r="A8" s="82"/>
      <c r="B8" s="35" t="s">
        <v>262</v>
      </c>
      <c r="C8" s="39">
        <v>3822500</v>
      </c>
      <c r="D8" s="36"/>
      <c r="E8" s="37"/>
      <c r="F8" s="37"/>
      <c r="G8" s="37"/>
      <c r="H8" s="36"/>
      <c r="I8" s="36"/>
      <c r="J8" s="37"/>
      <c r="K8" s="37"/>
      <c r="L8" s="37"/>
    </row>
    <row r="9" spans="1:12" s="23" customFormat="1" ht="17.25">
      <c r="A9" s="82"/>
      <c r="B9" s="35" t="s">
        <v>263</v>
      </c>
      <c r="C9" s="40" t="s">
        <v>274</v>
      </c>
      <c r="D9" s="36"/>
      <c r="E9" s="37"/>
      <c r="F9" s="37"/>
      <c r="G9" s="37"/>
      <c r="H9" s="36"/>
      <c r="I9" s="36"/>
      <c r="J9" s="37"/>
      <c r="K9" s="37"/>
      <c r="L9" s="37"/>
    </row>
    <row r="10" spans="1:12" s="23" customFormat="1" ht="11.25">
      <c r="A10" s="82"/>
      <c r="B10" s="35" t="s">
        <v>271</v>
      </c>
      <c r="C10" s="38" t="s">
        <v>275</v>
      </c>
      <c r="D10" s="36"/>
      <c r="E10" s="37"/>
      <c r="F10" s="38"/>
      <c r="G10" s="38"/>
      <c r="H10" s="38"/>
      <c r="I10" s="38"/>
      <c r="J10" s="38"/>
      <c r="K10" s="38"/>
      <c r="L10" s="38"/>
    </row>
    <row r="11" spans="1:12" s="23" customFormat="1" ht="11.25">
      <c r="A11" s="82"/>
      <c r="B11" s="35" t="s">
        <v>270</v>
      </c>
      <c r="C11" s="38" t="s">
        <v>276</v>
      </c>
      <c r="D11" s="36"/>
      <c r="E11" s="37"/>
      <c r="F11" s="38"/>
      <c r="G11" s="38"/>
      <c r="H11" s="38"/>
      <c r="I11" s="38"/>
      <c r="J11" s="38"/>
      <c r="K11" s="38"/>
      <c r="L11" s="38"/>
    </row>
    <row r="12" spans="1:12" s="23" customFormat="1" ht="11.25">
      <c r="A12" s="82"/>
      <c r="B12" s="35" t="s">
        <v>264</v>
      </c>
      <c r="C12" s="38" t="s">
        <v>290</v>
      </c>
      <c r="D12" s="36"/>
      <c r="E12" s="37"/>
      <c r="F12" s="36"/>
      <c r="G12" s="36"/>
      <c r="H12" s="36"/>
      <c r="I12" s="36"/>
      <c r="J12" s="36"/>
      <c r="K12" s="36"/>
      <c r="L12" s="36"/>
    </row>
    <row r="13" spans="1:12" s="23" customFormat="1" ht="11.25">
      <c r="A13" s="82"/>
      <c r="B13" s="35"/>
      <c r="C13" s="51" t="s">
        <v>287</v>
      </c>
      <c r="D13" s="36"/>
      <c r="E13" s="37"/>
      <c r="F13" s="37"/>
      <c r="G13" s="37"/>
      <c r="H13" s="36"/>
      <c r="I13" s="36"/>
      <c r="J13" s="37"/>
      <c r="K13" s="37"/>
      <c r="L13" s="37"/>
    </row>
    <row r="14" spans="1:12" s="23" customFormat="1" ht="11.25">
      <c r="A14" s="82"/>
      <c r="B14" s="35"/>
      <c r="C14" s="38" t="s">
        <v>478</v>
      </c>
      <c r="D14" s="36"/>
      <c r="E14" s="37"/>
      <c r="F14" s="37"/>
      <c r="G14" s="37"/>
      <c r="H14" s="36"/>
      <c r="I14" s="36"/>
      <c r="J14" s="37"/>
      <c r="K14" s="37"/>
      <c r="L14" s="37"/>
    </row>
    <row r="15" spans="1:12" s="23" customFormat="1" ht="11.25">
      <c r="A15" s="82"/>
      <c r="B15" s="35"/>
      <c r="C15" s="38" t="s">
        <v>479</v>
      </c>
      <c r="D15" s="36"/>
      <c r="E15" s="37"/>
      <c r="F15" s="37"/>
      <c r="G15" s="37"/>
      <c r="H15" s="36"/>
      <c r="I15" s="36"/>
      <c r="J15" s="37"/>
      <c r="K15" s="37"/>
      <c r="L15" s="37"/>
    </row>
    <row r="16" spans="1:12" s="23" customFormat="1" ht="11.25">
      <c r="A16" s="82"/>
      <c r="B16" s="35" t="s">
        <v>265</v>
      </c>
      <c r="C16" s="38" t="s">
        <v>566</v>
      </c>
      <c r="D16" s="36"/>
      <c r="E16" s="37"/>
      <c r="F16" s="37"/>
      <c r="G16" s="53"/>
      <c r="H16" s="54"/>
      <c r="I16" s="36"/>
      <c r="J16" s="37"/>
      <c r="K16" s="37"/>
      <c r="L16" s="37"/>
    </row>
    <row r="17" spans="1:12" s="23" customFormat="1" ht="11.25">
      <c r="A17" s="82"/>
      <c r="B17" s="35" t="s">
        <v>266</v>
      </c>
      <c r="C17" s="44">
        <v>37182133608</v>
      </c>
      <c r="D17" s="36"/>
      <c r="E17" s="37"/>
      <c r="G17" s="52"/>
      <c r="H17" s="44"/>
      <c r="I17" s="36"/>
      <c r="J17" s="37"/>
      <c r="K17" s="37"/>
      <c r="L17" s="37"/>
    </row>
    <row r="18" spans="1:12" s="23" customFormat="1" ht="11.25">
      <c r="A18" s="82"/>
      <c r="B18" s="35" t="s">
        <v>267</v>
      </c>
      <c r="C18" s="44">
        <v>289957500</v>
      </c>
      <c r="D18" s="36"/>
      <c r="E18" s="37"/>
      <c r="F18" s="37"/>
      <c r="G18" s="37"/>
      <c r="H18" s="36"/>
      <c r="I18" s="36"/>
      <c r="J18" s="37"/>
      <c r="K18" s="37"/>
      <c r="L18" s="37"/>
    </row>
    <row r="19" spans="1:12" s="23" customFormat="1" ht="11.25">
      <c r="A19" s="82"/>
      <c r="B19" s="35" t="s">
        <v>268</v>
      </c>
      <c r="C19" s="44">
        <v>28995750</v>
      </c>
      <c r="D19" s="36"/>
      <c r="E19" s="37"/>
      <c r="F19" s="37"/>
      <c r="G19" s="37"/>
      <c r="H19" s="36"/>
      <c r="I19" s="36"/>
      <c r="J19" s="37"/>
      <c r="K19" s="37"/>
      <c r="L19" s="37"/>
    </row>
    <row r="20" spans="1:12" s="23" customFormat="1" ht="11.25">
      <c r="A20" s="82"/>
      <c r="B20" s="35" t="s">
        <v>269</v>
      </c>
      <c r="C20" s="56">
        <v>42355</v>
      </c>
      <c r="D20" s="36"/>
      <c r="F20" s="37"/>
      <c r="G20" s="36"/>
      <c r="H20" s="36"/>
      <c r="I20" s="36"/>
      <c r="J20" s="37"/>
      <c r="K20" s="37"/>
      <c r="L20" s="37"/>
    </row>
    <row r="21" spans="1:12" s="23" customFormat="1" ht="11.25">
      <c r="A21" s="82"/>
      <c r="B21" s="36"/>
      <c r="C21" s="59"/>
      <c r="D21" s="37"/>
      <c r="E21" s="42"/>
      <c r="F21" s="37"/>
      <c r="G21" s="37"/>
      <c r="H21" s="36"/>
      <c r="I21" s="36"/>
      <c r="J21" s="37"/>
      <c r="K21" s="37"/>
      <c r="L21" s="37"/>
    </row>
    <row r="22" spans="1:12" s="23" customFormat="1" ht="15">
      <c r="A22" s="82"/>
      <c r="B22" s="41" t="s">
        <v>279</v>
      </c>
      <c r="C22" s="57"/>
      <c r="D22" s="36"/>
      <c r="E22" s="42"/>
      <c r="F22" s="76"/>
      <c r="G22" s="76"/>
      <c r="H22" s="43"/>
      <c r="I22" s="88"/>
      <c r="J22" s="43"/>
      <c r="K22" s="43"/>
      <c r="L22" s="43"/>
    </row>
    <row r="23" spans="2:12" ht="31.5" customHeight="1">
      <c r="B23" s="29" t="s">
        <v>280</v>
      </c>
      <c r="C23" s="29" t="s">
        <v>249</v>
      </c>
      <c r="D23" s="29" t="s">
        <v>250</v>
      </c>
      <c r="E23" s="29" t="s">
        <v>251</v>
      </c>
      <c r="F23" s="29" t="s">
        <v>252</v>
      </c>
      <c r="G23" s="29" t="s">
        <v>281</v>
      </c>
      <c r="H23" s="29" t="s">
        <v>253</v>
      </c>
      <c r="I23" s="29" t="s">
        <v>255</v>
      </c>
      <c r="J23" s="29" t="s">
        <v>254</v>
      </c>
      <c r="K23" s="29" t="s">
        <v>256</v>
      </c>
      <c r="L23" s="29" t="s">
        <v>257</v>
      </c>
    </row>
    <row r="24" spans="2:12" s="90" customFormat="1" ht="87" customHeight="1">
      <c r="B24" s="98" t="s">
        <v>443</v>
      </c>
      <c r="C24" s="110" t="s">
        <v>374</v>
      </c>
      <c r="D24" s="100">
        <v>42181</v>
      </c>
      <c r="E24" s="96">
        <v>4</v>
      </c>
      <c r="F24" s="98" t="s">
        <v>186</v>
      </c>
      <c r="G24" s="98" t="s">
        <v>282</v>
      </c>
      <c r="H24" s="99">
        <f>683000000-257926046</f>
        <v>425073954</v>
      </c>
      <c r="I24" s="99">
        <f>+H24</f>
        <v>425073954</v>
      </c>
      <c r="J24" s="96" t="s">
        <v>188</v>
      </c>
      <c r="K24" s="96" t="s">
        <v>188</v>
      </c>
      <c r="L24" s="94" t="s">
        <v>436</v>
      </c>
    </row>
    <row r="25" spans="2:12" s="90" customFormat="1" ht="103.5" customHeight="1">
      <c r="B25" s="96">
        <v>44103100</v>
      </c>
      <c r="C25" s="97" t="s">
        <v>375</v>
      </c>
      <c r="D25" s="100">
        <v>42124</v>
      </c>
      <c r="E25" s="96">
        <v>9</v>
      </c>
      <c r="F25" s="98" t="s">
        <v>422</v>
      </c>
      <c r="G25" s="98" t="s">
        <v>282</v>
      </c>
      <c r="H25" s="99">
        <f>110000000-900000</f>
        <v>109100000</v>
      </c>
      <c r="I25" s="99">
        <f aca="true" t="shared" si="0" ref="I25:I80">+H25</f>
        <v>109100000</v>
      </c>
      <c r="J25" s="96" t="s">
        <v>188</v>
      </c>
      <c r="K25" s="96" t="s">
        <v>188</v>
      </c>
      <c r="L25" s="94" t="s">
        <v>436</v>
      </c>
    </row>
    <row r="26" spans="2:12" s="90" customFormat="1" ht="74.25" customHeight="1">
      <c r="B26" s="96">
        <v>81112205</v>
      </c>
      <c r="C26" s="97" t="s">
        <v>495</v>
      </c>
      <c r="D26" s="100">
        <v>42268</v>
      </c>
      <c r="E26" s="96">
        <v>12</v>
      </c>
      <c r="F26" s="98" t="s">
        <v>422</v>
      </c>
      <c r="G26" s="98" t="s">
        <v>282</v>
      </c>
      <c r="H26" s="99">
        <f>20000000+15330126</f>
        <v>35330126</v>
      </c>
      <c r="I26" s="99">
        <f t="shared" si="0"/>
        <v>35330126</v>
      </c>
      <c r="J26" s="96" t="s">
        <v>188</v>
      </c>
      <c r="K26" s="96" t="s">
        <v>188</v>
      </c>
      <c r="L26" s="94" t="s">
        <v>531</v>
      </c>
    </row>
    <row r="27" spans="2:12" s="90" customFormat="1" ht="123" customHeight="1">
      <c r="B27" s="98" t="s">
        <v>376</v>
      </c>
      <c r="C27" s="97" t="s">
        <v>496</v>
      </c>
      <c r="D27" s="100">
        <v>42154</v>
      </c>
      <c r="E27" s="96">
        <v>7</v>
      </c>
      <c r="F27" s="98" t="s">
        <v>313</v>
      </c>
      <c r="G27" s="98" t="s">
        <v>282</v>
      </c>
      <c r="H27" s="99">
        <f>120000000-20000000</f>
        <v>100000000</v>
      </c>
      <c r="I27" s="99">
        <f t="shared" si="0"/>
        <v>100000000</v>
      </c>
      <c r="J27" s="96" t="s">
        <v>188</v>
      </c>
      <c r="K27" s="96" t="s">
        <v>188</v>
      </c>
      <c r="L27" s="94" t="s">
        <v>531</v>
      </c>
    </row>
    <row r="28" spans="2:12" s="90" customFormat="1" ht="105" customHeight="1">
      <c r="B28" s="96">
        <v>39121000</v>
      </c>
      <c r="C28" s="97" t="s">
        <v>484</v>
      </c>
      <c r="D28" s="100">
        <v>42087</v>
      </c>
      <c r="E28" s="96">
        <v>7</v>
      </c>
      <c r="F28" s="98" t="s">
        <v>485</v>
      </c>
      <c r="G28" s="98" t="s">
        <v>282</v>
      </c>
      <c r="H28" s="99">
        <f>30000000-8000000</f>
        <v>22000000</v>
      </c>
      <c r="I28" s="99">
        <f t="shared" si="0"/>
        <v>22000000</v>
      </c>
      <c r="J28" s="96" t="s">
        <v>188</v>
      </c>
      <c r="K28" s="96" t="s">
        <v>188</v>
      </c>
      <c r="L28" s="94" t="s">
        <v>531</v>
      </c>
    </row>
    <row r="29" spans="2:12" s="90" customFormat="1" ht="45.75" customHeight="1">
      <c r="B29" s="96">
        <v>72101511</v>
      </c>
      <c r="C29" s="97" t="s">
        <v>501</v>
      </c>
      <c r="D29" s="100">
        <v>42111</v>
      </c>
      <c r="E29" s="96">
        <v>7</v>
      </c>
      <c r="F29" s="98" t="s">
        <v>312</v>
      </c>
      <c r="G29" s="98" t="s">
        <v>282</v>
      </c>
      <c r="H29" s="99">
        <v>13000000</v>
      </c>
      <c r="I29" s="99">
        <f t="shared" si="0"/>
        <v>13000000</v>
      </c>
      <c r="J29" s="96" t="s">
        <v>188</v>
      </c>
      <c r="K29" s="96" t="s">
        <v>188</v>
      </c>
      <c r="L29" s="94" t="s">
        <v>531</v>
      </c>
    </row>
    <row r="30" spans="2:12" s="90" customFormat="1" ht="45.75" customHeight="1">
      <c r="B30" s="98" t="s">
        <v>377</v>
      </c>
      <c r="C30" s="97" t="s">
        <v>378</v>
      </c>
      <c r="D30" s="100" t="s">
        <v>173</v>
      </c>
      <c r="E30" s="96">
        <v>12</v>
      </c>
      <c r="F30" s="98" t="s">
        <v>312</v>
      </c>
      <c r="G30" s="98" t="s">
        <v>282</v>
      </c>
      <c r="H30" s="99">
        <v>300000</v>
      </c>
      <c r="I30" s="99">
        <f t="shared" si="0"/>
        <v>300000</v>
      </c>
      <c r="J30" s="96" t="s">
        <v>188</v>
      </c>
      <c r="K30" s="96" t="s">
        <v>188</v>
      </c>
      <c r="L30" s="94" t="s">
        <v>531</v>
      </c>
    </row>
    <row r="31" spans="2:12" s="90" customFormat="1" ht="45.75" customHeight="1">
      <c r="B31" s="96">
        <v>81112205</v>
      </c>
      <c r="C31" s="97" t="s">
        <v>524</v>
      </c>
      <c r="D31" s="100">
        <v>42153</v>
      </c>
      <c r="E31" s="96">
        <v>7</v>
      </c>
      <c r="F31" s="98" t="s">
        <v>177</v>
      </c>
      <c r="G31" s="98" t="s">
        <v>282</v>
      </c>
      <c r="H31" s="99">
        <v>13000000</v>
      </c>
      <c r="I31" s="99">
        <f t="shared" si="0"/>
        <v>13000000</v>
      </c>
      <c r="J31" s="96" t="s">
        <v>188</v>
      </c>
      <c r="K31" s="96" t="s">
        <v>188</v>
      </c>
      <c r="L31" s="94" t="s">
        <v>531</v>
      </c>
    </row>
    <row r="32" spans="2:12" s="90" customFormat="1" ht="70.5" customHeight="1">
      <c r="B32" s="96">
        <v>81112213</v>
      </c>
      <c r="C32" s="97" t="s">
        <v>500</v>
      </c>
      <c r="D32" s="100">
        <v>42087</v>
      </c>
      <c r="E32" s="96">
        <v>7</v>
      </c>
      <c r="F32" s="98" t="s">
        <v>177</v>
      </c>
      <c r="G32" s="98" t="s">
        <v>282</v>
      </c>
      <c r="H32" s="99">
        <v>7000000</v>
      </c>
      <c r="I32" s="99">
        <f t="shared" si="0"/>
        <v>7000000</v>
      </c>
      <c r="J32" s="96" t="s">
        <v>188</v>
      </c>
      <c r="K32" s="96" t="s">
        <v>188</v>
      </c>
      <c r="L32" s="94" t="s">
        <v>531</v>
      </c>
    </row>
    <row r="33" spans="2:12" s="90" customFormat="1" ht="64.5" customHeight="1">
      <c r="B33" s="96">
        <v>81112205</v>
      </c>
      <c r="C33" s="97" t="s">
        <v>497</v>
      </c>
      <c r="D33" s="100">
        <v>42087</v>
      </c>
      <c r="E33" s="96">
        <v>7</v>
      </c>
      <c r="F33" s="98" t="s">
        <v>177</v>
      </c>
      <c r="G33" s="98" t="s">
        <v>282</v>
      </c>
      <c r="H33" s="99">
        <v>10000000</v>
      </c>
      <c r="I33" s="99">
        <f t="shared" si="0"/>
        <v>10000000</v>
      </c>
      <c r="J33" s="96" t="s">
        <v>188</v>
      </c>
      <c r="K33" s="96" t="s">
        <v>188</v>
      </c>
      <c r="L33" s="94" t="s">
        <v>531</v>
      </c>
    </row>
    <row r="34" spans="2:12" s="90" customFormat="1" ht="45.75" customHeight="1">
      <c r="B34" s="96">
        <v>81112205</v>
      </c>
      <c r="C34" s="97" t="s">
        <v>379</v>
      </c>
      <c r="D34" s="100">
        <v>42153</v>
      </c>
      <c r="E34" s="96">
        <v>12</v>
      </c>
      <c r="F34" s="98" t="s">
        <v>177</v>
      </c>
      <c r="G34" s="98" t="s">
        <v>282</v>
      </c>
      <c r="H34" s="99">
        <v>10000000</v>
      </c>
      <c r="I34" s="99">
        <f t="shared" si="0"/>
        <v>10000000</v>
      </c>
      <c r="J34" s="96" t="s">
        <v>188</v>
      </c>
      <c r="K34" s="96" t="s">
        <v>188</v>
      </c>
      <c r="L34" s="94" t="s">
        <v>531</v>
      </c>
    </row>
    <row r="35" spans="2:12" s="90" customFormat="1" ht="68.25" customHeight="1">
      <c r="B35" s="96">
        <v>81111811</v>
      </c>
      <c r="C35" s="97" t="s">
        <v>498</v>
      </c>
      <c r="D35" s="100">
        <v>42087</v>
      </c>
      <c r="E35" s="96">
        <v>12</v>
      </c>
      <c r="F35" s="98" t="s">
        <v>177</v>
      </c>
      <c r="G35" s="98" t="s">
        <v>282</v>
      </c>
      <c r="H35" s="99">
        <f>60000000-25000000</f>
        <v>35000000</v>
      </c>
      <c r="I35" s="99">
        <f t="shared" si="0"/>
        <v>35000000</v>
      </c>
      <c r="J35" s="96" t="s">
        <v>188</v>
      </c>
      <c r="K35" s="96" t="s">
        <v>188</v>
      </c>
      <c r="L35" s="94" t="s">
        <v>531</v>
      </c>
    </row>
    <row r="36" spans="2:12" s="90" customFormat="1" ht="45.75" customHeight="1">
      <c r="B36" s="96">
        <v>72151604</v>
      </c>
      <c r="C36" s="97" t="s">
        <v>499</v>
      </c>
      <c r="D36" s="100">
        <v>42200</v>
      </c>
      <c r="E36" s="96">
        <v>12</v>
      </c>
      <c r="F36" s="98" t="s">
        <v>485</v>
      </c>
      <c r="G36" s="98" t="s">
        <v>282</v>
      </c>
      <c r="H36" s="99">
        <v>40000000</v>
      </c>
      <c r="I36" s="99">
        <f t="shared" si="0"/>
        <v>40000000</v>
      </c>
      <c r="J36" s="96" t="s">
        <v>188</v>
      </c>
      <c r="K36" s="96" t="s">
        <v>188</v>
      </c>
      <c r="L36" s="94" t="s">
        <v>531</v>
      </c>
    </row>
    <row r="37" spans="2:12" s="90" customFormat="1" ht="45.75" customHeight="1">
      <c r="B37" s="96">
        <v>15121520</v>
      </c>
      <c r="C37" s="97" t="s">
        <v>558</v>
      </c>
      <c r="D37" s="100">
        <v>42262</v>
      </c>
      <c r="E37" s="96">
        <v>6</v>
      </c>
      <c r="F37" s="98" t="s">
        <v>312</v>
      </c>
      <c r="G37" s="98" t="s">
        <v>282</v>
      </c>
      <c r="H37" s="99">
        <v>16000000</v>
      </c>
      <c r="I37" s="99">
        <f t="shared" si="0"/>
        <v>16000000</v>
      </c>
      <c r="J37" s="96" t="s">
        <v>188</v>
      </c>
      <c r="K37" s="96" t="s">
        <v>188</v>
      </c>
      <c r="L37" s="94" t="s">
        <v>538</v>
      </c>
    </row>
    <row r="38" spans="2:12" s="90" customFormat="1" ht="45.75" customHeight="1">
      <c r="B38" s="98" t="s">
        <v>444</v>
      </c>
      <c r="C38" s="97" t="s">
        <v>380</v>
      </c>
      <c r="D38" s="100">
        <v>42164</v>
      </c>
      <c r="E38" s="96">
        <v>8</v>
      </c>
      <c r="F38" s="98" t="s">
        <v>521</v>
      </c>
      <c r="G38" s="98" t="s">
        <v>282</v>
      </c>
      <c r="H38" s="99">
        <f>222000000+13100000-28083910</f>
        <v>207016090</v>
      </c>
      <c r="I38" s="99">
        <f t="shared" si="0"/>
        <v>207016090</v>
      </c>
      <c r="J38" s="96" t="s">
        <v>188</v>
      </c>
      <c r="K38" s="96" t="s">
        <v>188</v>
      </c>
      <c r="L38" s="94" t="s">
        <v>436</v>
      </c>
    </row>
    <row r="39" spans="2:14" s="90" customFormat="1" ht="45.75" customHeight="1">
      <c r="B39" s="96">
        <v>47131800</v>
      </c>
      <c r="C39" s="97" t="s">
        <v>381</v>
      </c>
      <c r="D39" s="100">
        <v>42107</v>
      </c>
      <c r="E39" s="96">
        <v>10</v>
      </c>
      <c r="F39" s="98" t="s">
        <v>312</v>
      </c>
      <c r="G39" s="98" t="s">
        <v>282</v>
      </c>
      <c r="H39" s="99">
        <f>12000000-1219888</f>
        <v>10780112</v>
      </c>
      <c r="I39" s="99">
        <f t="shared" si="0"/>
        <v>10780112</v>
      </c>
      <c r="J39" s="96" t="s">
        <v>188</v>
      </c>
      <c r="K39" s="96" t="s">
        <v>188</v>
      </c>
      <c r="L39" s="94" t="s">
        <v>436</v>
      </c>
      <c r="M39" s="111"/>
      <c r="N39" s="111"/>
    </row>
    <row r="40" spans="2:13" s="90" customFormat="1" ht="45.75" customHeight="1">
      <c r="B40" s="96">
        <v>80131502</v>
      </c>
      <c r="C40" s="97" t="s">
        <v>382</v>
      </c>
      <c r="D40" s="100">
        <v>42307</v>
      </c>
      <c r="E40" s="96">
        <v>12</v>
      </c>
      <c r="F40" s="98" t="s">
        <v>177</v>
      </c>
      <c r="G40" s="98" t="s">
        <v>282</v>
      </c>
      <c r="H40" s="99">
        <f>85000000-11244500-4500000-55533333</f>
        <v>13722167</v>
      </c>
      <c r="I40" s="99">
        <f t="shared" si="0"/>
        <v>13722167</v>
      </c>
      <c r="J40" s="96" t="s">
        <v>188</v>
      </c>
      <c r="K40" s="96" t="s">
        <v>188</v>
      </c>
      <c r="L40" s="94" t="s">
        <v>436</v>
      </c>
      <c r="M40" s="111"/>
    </row>
    <row r="41" spans="2:13" s="90" customFormat="1" ht="99" customHeight="1">
      <c r="B41" s="96">
        <v>78102206</v>
      </c>
      <c r="C41" s="97" t="s">
        <v>383</v>
      </c>
      <c r="D41" s="100">
        <v>42095</v>
      </c>
      <c r="E41" s="96">
        <v>10</v>
      </c>
      <c r="F41" s="98" t="s">
        <v>422</v>
      </c>
      <c r="G41" s="98" t="s">
        <v>282</v>
      </c>
      <c r="H41" s="99">
        <f>75600000-1106765-2007065-550000-6000000-6000000-1366667</f>
        <v>58569503</v>
      </c>
      <c r="I41" s="99">
        <f t="shared" si="0"/>
        <v>58569503</v>
      </c>
      <c r="J41" s="96" t="s">
        <v>188</v>
      </c>
      <c r="K41" s="96" t="s">
        <v>188</v>
      </c>
      <c r="L41" s="94" t="s">
        <v>436</v>
      </c>
      <c r="M41" s="111"/>
    </row>
    <row r="42" spans="2:13" s="90" customFormat="1" ht="45.75" customHeight="1">
      <c r="B42" s="96">
        <v>83111603</v>
      </c>
      <c r="C42" s="97" t="s">
        <v>384</v>
      </c>
      <c r="D42" s="100" t="s">
        <v>173</v>
      </c>
      <c r="E42" s="96">
        <v>12</v>
      </c>
      <c r="F42" s="98" t="s">
        <v>421</v>
      </c>
      <c r="G42" s="98" t="s">
        <v>282</v>
      </c>
      <c r="H42" s="99">
        <v>19200000</v>
      </c>
      <c r="I42" s="99">
        <f t="shared" si="0"/>
        <v>19200000</v>
      </c>
      <c r="J42" s="96" t="s">
        <v>188</v>
      </c>
      <c r="K42" s="96" t="s">
        <v>188</v>
      </c>
      <c r="L42" s="94" t="s">
        <v>436</v>
      </c>
      <c r="M42" s="111"/>
    </row>
    <row r="43" spans="2:14" s="90" customFormat="1" ht="45.75" customHeight="1">
      <c r="B43" s="89" t="s">
        <v>420</v>
      </c>
      <c r="C43" s="97" t="s">
        <v>423</v>
      </c>
      <c r="D43" s="100">
        <v>42072</v>
      </c>
      <c r="E43" s="96">
        <v>10</v>
      </c>
      <c r="F43" s="98" t="s">
        <v>325</v>
      </c>
      <c r="G43" s="98" t="s">
        <v>282</v>
      </c>
      <c r="H43" s="99">
        <f>58000000-10000000+10124225</f>
        <v>58124225</v>
      </c>
      <c r="I43" s="99">
        <f t="shared" si="0"/>
        <v>58124225</v>
      </c>
      <c r="J43" s="96" t="s">
        <v>188</v>
      </c>
      <c r="K43" s="96" t="s">
        <v>188</v>
      </c>
      <c r="L43" s="94" t="s">
        <v>436</v>
      </c>
      <c r="M43" s="111"/>
      <c r="N43" s="111"/>
    </row>
    <row r="44" spans="2:13" s="90" customFormat="1" ht="60" customHeight="1">
      <c r="B44" s="96">
        <v>81111804</v>
      </c>
      <c r="C44" s="97" t="s">
        <v>385</v>
      </c>
      <c r="D44" s="100">
        <v>42153</v>
      </c>
      <c r="E44" s="96">
        <v>7</v>
      </c>
      <c r="F44" s="98" t="s">
        <v>177</v>
      </c>
      <c r="G44" s="98" t="s">
        <v>282</v>
      </c>
      <c r="H44" s="99">
        <f>147100000-12499188</f>
        <v>134600812</v>
      </c>
      <c r="I44" s="99">
        <f t="shared" si="0"/>
        <v>134600812</v>
      </c>
      <c r="J44" s="96" t="s">
        <v>188</v>
      </c>
      <c r="K44" s="96" t="s">
        <v>188</v>
      </c>
      <c r="L44" s="94" t="s">
        <v>531</v>
      </c>
      <c r="M44" s="111"/>
    </row>
    <row r="45" spans="2:13" s="90" customFormat="1" ht="45.75" customHeight="1">
      <c r="B45" s="98" t="s">
        <v>386</v>
      </c>
      <c r="C45" s="97" t="s">
        <v>387</v>
      </c>
      <c r="D45" s="100">
        <v>42226</v>
      </c>
      <c r="E45" s="96">
        <v>12</v>
      </c>
      <c r="F45" s="98" t="s">
        <v>312</v>
      </c>
      <c r="G45" s="98" t="s">
        <v>282</v>
      </c>
      <c r="H45" s="99">
        <f>7500000+6000000</f>
        <v>13500000</v>
      </c>
      <c r="I45" s="99">
        <f t="shared" si="0"/>
        <v>13500000</v>
      </c>
      <c r="J45" s="96" t="s">
        <v>188</v>
      </c>
      <c r="K45" s="96" t="s">
        <v>188</v>
      </c>
      <c r="L45" s="94" t="s">
        <v>531</v>
      </c>
      <c r="M45" s="111"/>
    </row>
    <row r="46" spans="2:13" s="90" customFormat="1" ht="45.75" customHeight="1">
      <c r="B46" s="96">
        <v>83111801</v>
      </c>
      <c r="C46" s="97" t="s">
        <v>388</v>
      </c>
      <c r="D46" s="100">
        <v>42095</v>
      </c>
      <c r="E46" s="96">
        <v>12</v>
      </c>
      <c r="F46" s="98" t="s">
        <v>312</v>
      </c>
      <c r="G46" s="98" t="s">
        <v>282</v>
      </c>
      <c r="H46" s="99">
        <v>18600000</v>
      </c>
      <c r="I46" s="99">
        <f t="shared" si="0"/>
        <v>18600000</v>
      </c>
      <c r="J46" s="96" t="s">
        <v>188</v>
      </c>
      <c r="K46" s="96" t="s">
        <v>188</v>
      </c>
      <c r="L46" s="94" t="s">
        <v>436</v>
      </c>
      <c r="M46" s="111"/>
    </row>
    <row r="47" spans="2:13" s="90" customFormat="1" ht="45.75" customHeight="1">
      <c r="B47" s="96">
        <v>55101524</v>
      </c>
      <c r="C47" s="97" t="s">
        <v>389</v>
      </c>
      <c r="D47" s="100" t="s">
        <v>173</v>
      </c>
      <c r="E47" s="96">
        <v>12</v>
      </c>
      <c r="F47" s="98" t="s">
        <v>177</v>
      </c>
      <c r="G47" s="98" t="s">
        <v>282</v>
      </c>
      <c r="H47" s="99">
        <f>5000000-2950000-1000000</f>
        <v>1050000</v>
      </c>
      <c r="I47" s="99">
        <f t="shared" si="0"/>
        <v>1050000</v>
      </c>
      <c r="J47" s="96" t="s">
        <v>188</v>
      </c>
      <c r="K47" s="96" t="s">
        <v>188</v>
      </c>
      <c r="L47" s="94" t="s">
        <v>593</v>
      </c>
      <c r="M47" s="111"/>
    </row>
    <row r="48" spans="2:13" s="90" customFormat="1" ht="45.75" customHeight="1">
      <c r="B48" s="96">
        <v>82121700</v>
      </c>
      <c r="C48" s="97" t="s">
        <v>390</v>
      </c>
      <c r="D48" s="100" t="s">
        <v>173</v>
      </c>
      <c r="E48" s="96">
        <v>12</v>
      </c>
      <c r="F48" s="98" t="s">
        <v>177</v>
      </c>
      <c r="G48" s="98" t="s">
        <v>282</v>
      </c>
      <c r="H48" s="99">
        <v>1000000</v>
      </c>
      <c r="I48" s="99">
        <f t="shared" si="0"/>
        <v>1000000</v>
      </c>
      <c r="J48" s="96" t="s">
        <v>188</v>
      </c>
      <c r="K48" s="96" t="s">
        <v>188</v>
      </c>
      <c r="L48" s="94" t="s">
        <v>593</v>
      </c>
      <c r="M48" s="111"/>
    </row>
    <row r="49" spans="2:13" s="90" customFormat="1" ht="45.75" customHeight="1">
      <c r="B49" s="96">
        <v>55101519</v>
      </c>
      <c r="C49" s="97" t="s">
        <v>391</v>
      </c>
      <c r="D49" s="100" t="s">
        <v>173</v>
      </c>
      <c r="E49" s="96">
        <v>12</v>
      </c>
      <c r="F49" s="98" t="s">
        <v>177</v>
      </c>
      <c r="G49" s="98" t="s">
        <v>282</v>
      </c>
      <c r="H49" s="99">
        <v>1500000</v>
      </c>
      <c r="I49" s="99">
        <f t="shared" si="0"/>
        <v>1500000</v>
      </c>
      <c r="J49" s="96" t="s">
        <v>188</v>
      </c>
      <c r="K49" s="96" t="s">
        <v>188</v>
      </c>
      <c r="L49" s="94" t="s">
        <v>556</v>
      </c>
      <c r="M49" s="111"/>
    </row>
    <row r="50" spans="2:13" s="90" customFormat="1" ht="45.75" customHeight="1">
      <c r="B50" s="96">
        <v>72153600</v>
      </c>
      <c r="C50" s="97" t="s">
        <v>392</v>
      </c>
      <c r="D50" s="100">
        <v>42146</v>
      </c>
      <c r="E50" s="96">
        <v>8</v>
      </c>
      <c r="F50" s="98" t="s">
        <v>312</v>
      </c>
      <c r="G50" s="98" t="s">
        <v>282</v>
      </c>
      <c r="H50" s="99">
        <v>16000000</v>
      </c>
      <c r="I50" s="99">
        <f t="shared" si="0"/>
        <v>16000000</v>
      </c>
      <c r="J50" s="96" t="s">
        <v>188</v>
      </c>
      <c r="K50" s="96" t="s">
        <v>188</v>
      </c>
      <c r="L50" s="94" t="s">
        <v>436</v>
      </c>
      <c r="M50" s="111"/>
    </row>
    <row r="51" spans="2:13" s="90" customFormat="1" ht="45.75" customHeight="1">
      <c r="B51" s="96">
        <v>72152100</v>
      </c>
      <c r="C51" s="97" t="s">
        <v>393</v>
      </c>
      <c r="D51" s="100">
        <v>42139</v>
      </c>
      <c r="E51" s="96">
        <v>9</v>
      </c>
      <c r="F51" s="98" t="s">
        <v>312</v>
      </c>
      <c r="G51" s="98" t="s">
        <v>282</v>
      </c>
      <c r="H51" s="99">
        <v>20000000</v>
      </c>
      <c r="I51" s="99">
        <f t="shared" si="0"/>
        <v>20000000</v>
      </c>
      <c r="J51" s="96" t="s">
        <v>188</v>
      </c>
      <c r="K51" s="96" t="s">
        <v>188</v>
      </c>
      <c r="L51" s="94" t="s">
        <v>436</v>
      </c>
      <c r="M51" s="111"/>
    </row>
    <row r="52" spans="2:13" s="90" customFormat="1" ht="45.75" customHeight="1">
      <c r="B52" s="98" t="s">
        <v>437</v>
      </c>
      <c r="C52" s="97" t="s">
        <v>394</v>
      </c>
      <c r="D52" s="100">
        <v>42146</v>
      </c>
      <c r="E52" s="96">
        <v>9</v>
      </c>
      <c r="F52" s="98" t="s">
        <v>312</v>
      </c>
      <c r="G52" s="98" t="s">
        <v>282</v>
      </c>
      <c r="H52" s="99">
        <v>12000000</v>
      </c>
      <c r="I52" s="99">
        <f t="shared" si="0"/>
        <v>12000000</v>
      </c>
      <c r="J52" s="96" t="s">
        <v>188</v>
      </c>
      <c r="K52" s="96" t="s">
        <v>188</v>
      </c>
      <c r="L52" s="94" t="s">
        <v>436</v>
      </c>
      <c r="M52" s="111"/>
    </row>
    <row r="53" spans="2:13" s="90" customFormat="1" ht="45.75" customHeight="1">
      <c r="B53" s="96">
        <v>73171500</v>
      </c>
      <c r="C53" s="97" t="s">
        <v>395</v>
      </c>
      <c r="D53" s="100">
        <v>42146</v>
      </c>
      <c r="E53" s="96">
        <v>11</v>
      </c>
      <c r="F53" s="98" t="s">
        <v>312</v>
      </c>
      <c r="G53" s="98" t="s">
        <v>282</v>
      </c>
      <c r="H53" s="99">
        <v>13000000</v>
      </c>
      <c r="I53" s="99">
        <f t="shared" si="0"/>
        <v>13000000</v>
      </c>
      <c r="J53" s="96" t="s">
        <v>188</v>
      </c>
      <c r="K53" s="96" t="s">
        <v>188</v>
      </c>
      <c r="L53" s="94" t="s">
        <v>436</v>
      </c>
      <c r="M53" s="111"/>
    </row>
    <row r="54" spans="2:13" s="90" customFormat="1" ht="45.75" customHeight="1">
      <c r="B54" s="96">
        <v>72152300</v>
      </c>
      <c r="C54" s="97" t="s">
        <v>396</v>
      </c>
      <c r="D54" s="100">
        <v>42149</v>
      </c>
      <c r="E54" s="96">
        <v>7</v>
      </c>
      <c r="F54" s="98" t="s">
        <v>312</v>
      </c>
      <c r="G54" s="98" t="s">
        <v>282</v>
      </c>
      <c r="H54" s="99">
        <v>26000000</v>
      </c>
      <c r="I54" s="99">
        <f t="shared" si="0"/>
        <v>26000000</v>
      </c>
      <c r="J54" s="96" t="s">
        <v>188</v>
      </c>
      <c r="K54" s="96" t="s">
        <v>188</v>
      </c>
      <c r="L54" s="94" t="s">
        <v>436</v>
      </c>
      <c r="M54" s="111"/>
    </row>
    <row r="55" spans="2:13" s="90" customFormat="1" ht="45.75" customHeight="1">
      <c r="B55" s="98" t="s">
        <v>438</v>
      </c>
      <c r="C55" s="97" t="s">
        <v>513</v>
      </c>
      <c r="D55" s="100">
        <v>42109</v>
      </c>
      <c r="E55" s="96">
        <v>12</v>
      </c>
      <c r="F55" s="98" t="s">
        <v>177</v>
      </c>
      <c r="G55" s="98" t="s">
        <v>282</v>
      </c>
      <c r="H55" s="99">
        <f>12000000+5000000</f>
        <v>17000000</v>
      </c>
      <c r="I55" s="99">
        <f t="shared" si="0"/>
        <v>17000000</v>
      </c>
      <c r="J55" s="96" t="s">
        <v>188</v>
      </c>
      <c r="K55" s="96" t="s">
        <v>188</v>
      </c>
      <c r="L55" s="94" t="s">
        <v>436</v>
      </c>
      <c r="M55" s="111"/>
    </row>
    <row r="56" spans="2:13" s="90" customFormat="1" ht="45.75" customHeight="1">
      <c r="B56" s="98" t="s">
        <v>472</v>
      </c>
      <c r="C56" s="97" t="s">
        <v>469</v>
      </c>
      <c r="D56" s="100">
        <v>42104</v>
      </c>
      <c r="E56" s="96">
        <v>10</v>
      </c>
      <c r="F56" s="98" t="s">
        <v>313</v>
      </c>
      <c r="G56" s="98" t="s">
        <v>282</v>
      </c>
      <c r="H56" s="99">
        <f>35000000-8320000</f>
        <v>26680000</v>
      </c>
      <c r="I56" s="99">
        <f t="shared" si="0"/>
        <v>26680000</v>
      </c>
      <c r="J56" s="96" t="s">
        <v>188</v>
      </c>
      <c r="K56" s="96" t="s">
        <v>188</v>
      </c>
      <c r="L56" s="94" t="s">
        <v>436</v>
      </c>
      <c r="M56" s="111"/>
    </row>
    <row r="57" spans="2:13" s="90" customFormat="1" ht="45.75" customHeight="1">
      <c r="B57" s="96">
        <v>72101500</v>
      </c>
      <c r="C57" s="97" t="s">
        <v>486</v>
      </c>
      <c r="D57" s="100">
        <v>42130</v>
      </c>
      <c r="E57" s="96">
        <v>10</v>
      </c>
      <c r="F57" s="98" t="s">
        <v>177</v>
      </c>
      <c r="G57" s="98" t="s">
        <v>282</v>
      </c>
      <c r="H57" s="99">
        <v>25000000</v>
      </c>
      <c r="I57" s="99">
        <f t="shared" si="0"/>
        <v>25000000</v>
      </c>
      <c r="J57" s="96" t="s">
        <v>188</v>
      </c>
      <c r="K57" s="96" t="s">
        <v>188</v>
      </c>
      <c r="L57" s="94" t="s">
        <v>436</v>
      </c>
      <c r="M57" s="111"/>
    </row>
    <row r="58" spans="2:13" s="90" customFormat="1" ht="45.75" customHeight="1">
      <c r="B58" s="96">
        <v>70111500</v>
      </c>
      <c r="C58" s="97" t="s">
        <v>397</v>
      </c>
      <c r="D58" s="100">
        <v>42078</v>
      </c>
      <c r="E58" s="96">
        <v>10</v>
      </c>
      <c r="F58" s="98" t="s">
        <v>313</v>
      </c>
      <c r="G58" s="98" t="s">
        <v>282</v>
      </c>
      <c r="H58" s="99">
        <f>35000000-7000000</f>
        <v>28000000</v>
      </c>
      <c r="I58" s="99">
        <f t="shared" si="0"/>
        <v>28000000</v>
      </c>
      <c r="J58" s="96" t="s">
        <v>188</v>
      </c>
      <c r="K58" s="96" t="s">
        <v>188</v>
      </c>
      <c r="L58" s="94" t="s">
        <v>436</v>
      </c>
      <c r="M58" s="111"/>
    </row>
    <row r="59" spans="2:13" s="90" customFormat="1" ht="79.5" customHeight="1">
      <c r="B59" s="96">
        <v>92121504</v>
      </c>
      <c r="C59" s="97" t="s">
        <v>398</v>
      </c>
      <c r="D59" s="100">
        <v>42050</v>
      </c>
      <c r="E59" s="96">
        <v>11</v>
      </c>
      <c r="F59" s="98" t="s">
        <v>186</v>
      </c>
      <c r="G59" s="98" t="s">
        <v>282</v>
      </c>
      <c r="H59" s="99">
        <f>363417300-22412109</f>
        <v>341005191</v>
      </c>
      <c r="I59" s="99">
        <f t="shared" si="0"/>
        <v>341005191</v>
      </c>
      <c r="J59" s="96" t="s">
        <v>188</v>
      </c>
      <c r="K59" s="96" t="s">
        <v>188</v>
      </c>
      <c r="L59" s="94" t="s">
        <v>436</v>
      </c>
      <c r="M59" s="111"/>
    </row>
    <row r="60" spans="2:13" s="90" customFormat="1" ht="67.5" customHeight="1">
      <c r="B60" s="96">
        <v>92121504</v>
      </c>
      <c r="C60" s="97" t="s">
        <v>439</v>
      </c>
      <c r="D60" s="100">
        <v>42050</v>
      </c>
      <c r="E60" s="96">
        <v>1</v>
      </c>
      <c r="F60" s="98" t="s">
        <v>242</v>
      </c>
      <c r="G60" s="98" t="s">
        <v>282</v>
      </c>
      <c r="H60" s="99">
        <f>39000000+22412109</f>
        <v>61412109</v>
      </c>
      <c r="I60" s="99">
        <f t="shared" si="0"/>
        <v>61412109</v>
      </c>
      <c r="J60" s="96" t="s">
        <v>188</v>
      </c>
      <c r="K60" s="96" t="s">
        <v>188</v>
      </c>
      <c r="L60" s="94" t="s">
        <v>436</v>
      </c>
      <c r="M60" s="111"/>
    </row>
    <row r="61" spans="2:13" s="90" customFormat="1" ht="45.75" customHeight="1">
      <c r="B61" s="96">
        <v>76111500</v>
      </c>
      <c r="C61" s="97" t="s">
        <v>399</v>
      </c>
      <c r="D61" s="100">
        <v>42036</v>
      </c>
      <c r="E61" s="96">
        <v>8</v>
      </c>
      <c r="F61" s="98" t="s">
        <v>325</v>
      </c>
      <c r="G61" s="98" t="s">
        <v>282</v>
      </c>
      <c r="H61" s="99">
        <f>125975000-9236160-11680000</f>
        <v>105058840</v>
      </c>
      <c r="I61" s="99">
        <f t="shared" si="0"/>
        <v>105058840</v>
      </c>
      <c r="J61" s="96" t="s">
        <v>188</v>
      </c>
      <c r="K61" s="96" t="s">
        <v>188</v>
      </c>
      <c r="L61" s="94" t="s">
        <v>436</v>
      </c>
      <c r="M61" s="111"/>
    </row>
    <row r="62" spans="2:13" s="90" customFormat="1" ht="45.75" customHeight="1">
      <c r="B62" s="96">
        <v>72151000</v>
      </c>
      <c r="C62" s="97" t="s">
        <v>400</v>
      </c>
      <c r="D62" s="100">
        <v>42265</v>
      </c>
      <c r="E62" s="96">
        <v>9</v>
      </c>
      <c r="F62" s="98" t="s">
        <v>312</v>
      </c>
      <c r="G62" s="98" t="s">
        <v>282</v>
      </c>
      <c r="H62" s="99">
        <f>39525000-15000000-10500000+10500000+10500000</f>
        <v>35025000</v>
      </c>
      <c r="I62" s="99">
        <f t="shared" si="0"/>
        <v>35025000</v>
      </c>
      <c r="J62" s="96" t="s">
        <v>188</v>
      </c>
      <c r="K62" s="96" t="s">
        <v>188</v>
      </c>
      <c r="L62" s="94" t="s">
        <v>436</v>
      </c>
      <c r="M62" s="111"/>
    </row>
    <row r="63" spans="2:13" s="90" customFormat="1" ht="90" customHeight="1">
      <c r="B63" s="98" t="s">
        <v>440</v>
      </c>
      <c r="C63" s="97" t="s">
        <v>401</v>
      </c>
      <c r="D63" s="100">
        <v>42185</v>
      </c>
      <c r="E63" s="96">
        <v>6</v>
      </c>
      <c r="F63" s="98" t="s">
        <v>312</v>
      </c>
      <c r="G63" s="98" t="s">
        <v>282</v>
      </c>
      <c r="H63" s="99">
        <f>18000000+9777150</f>
        <v>27777150</v>
      </c>
      <c r="I63" s="99">
        <f t="shared" si="0"/>
        <v>27777150</v>
      </c>
      <c r="J63" s="96" t="s">
        <v>188</v>
      </c>
      <c r="K63" s="96" t="s">
        <v>188</v>
      </c>
      <c r="L63" s="94" t="s">
        <v>436</v>
      </c>
      <c r="M63" s="111"/>
    </row>
    <row r="64" spans="2:13" s="90" customFormat="1" ht="45.75" customHeight="1">
      <c r="B64" s="96">
        <v>72153002</v>
      </c>
      <c r="C64" s="97" t="s">
        <v>402</v>
      </c>
      <c r="D64" s="100">
        <v>42069</v>
      </c>
      <c r="E64" s="96">
        <v>12</v>
      </c>
      <c r="F64" s="98" t="s">
        <v>312</v>
      </c>
      <c r="G64" s="98" t="s">
        <v>282</v>
      </c>
      <c r="H64" s="99">
        <v>10000000</v>
      </c>
      <c r="I64" s="99">
        <f t="shared" si="0"/>
        <v>10000000</v>
      </c>
      <c r="J64" s="96" t="s">
        <v>188</v>
      </c>
      <c r="K64" s="96" t="s">
        <v>188</v>
      </c>
      <c r="L64" s="94" t="s">
        <v>436</v>
      </c>
      <c r="M64" s="111"/>
    </row>
    <row r="65" spans="2:13" s="90" customFormat="1" ht="68.25" customHeight="1">
      <c r="B65" s="96">
        <v>72102900</v>
      </c>
      <c r="C65" s="97" t="s">
        <v>292</v>
      </c>
      <c r="D65" s="100">
        <v>42202</v>
      </c>
      <c r="E65" s="96">
        <v>12</v>
      </c>
      <c r="F65" s="98" t="s">
        <v>186</v>
      </c>
      <c r="G65" s="98" t="s">
        <v>282</v>
      </c>
      <c r="H65" s="99">
        <f>200000000-(35165400/2)-35000000-70000000+20800000-18800000-9900000-20000000-9000000</f>
        <v>40517300</v>
      </c>
      <c r="I65" s="99">
        <f t="shared" si="0"/>
        <v>40517300</v>
      </c>
      <c r="J65" s="96" t="s">
        <v>188</v>
      </c>
      <c r="K65" s="96" t="s">
        <v>188</v>
      </c>
      <c r="L65" s="94" t="s">
        <v>436</v>
      </c>
      <c r="M65" s="111"/>
    </row>
    <row r="66" spans="2:13" s="90" customFormat="1" ht="45.75" customHeight="1">
      <c r="B66" s="98" t="s">
        <v>441</v>
      </c>
      <c r="C66" s="97" t="s">
        <v>403</v>
      </c>
      <c r="D66" s="100">
        <v>42095</v>
      </c>
      <c r="E66" s="96">
        <v>12</v>
      </c>
      <c r="F66" s="98" t="s">
        <v>325</v>
      </c>
      <c r="G66" s="98" t="s">
        <v>282</v>
      </c>
      <c r="H66" s="99">
        <f>2649000000-300000000-21460364-151379137</f>
        <v>2176160499</v>
      </c>
      <c r="I66" s="99">
        <f t="shared" si="0"/>
        <v>2176160499</v>
      </c>
      <c r="J66" s="96" t="s">
        <v>188</v>
      </c>
      <c r="K66" s="96" t="s">
        <v>188</v>
      </c>
      <c r="L66" s="94" t="s">
        <v>436</v>
      </c>
      <c r="M66" s="111"/>
    </row>
    <row r="67" spans="2:13" s="90" customFormat="1" ht="45.75" customHeight="1">
      <c r="B67" s="96">
        <v>86111604</v>
      </c>
      <c r="C67" s="97" t="s">
        <v>404</v>
      </c>
      <c r="D67" s="100">
        <v>42307</v>
      </c>
      <c r="E67" s="96">
        <v>7</v>
      </c>
      <c r="F67" s="98" t="s">
        <v>313</v>
      </c>
      <c r="G67" s="98" t="s">
        <v>282</v>
      </c>
      <c r="H67" s="99">
        <v>62000000</v>
      </c>
      <c r="I67" s="99">
        <f t="shared" si="0"/>
        <v>62000000</v>
      </c>
      <c r="J67" s="96" t="s">
        <v>188</v>
      </c>
      <c r="K67" s="96" t="s">
        <v>188</v>
      </c>
      <c r="L67" s="94" t="s">
        <v>556</v>
      </c>
      <c r="M67" s="111"/>
    </row>
    <row r="68" spans="2:13" s="90" customFormat="1" ht="45.75" customHeight="1">
      <c r="B68" s="96">
        <v>80111500</v>
      </c>
      <c r="C68" s="97" t="s">
        <v>405</v>
      </c>
      <c r="D68" s="100">
        <v>42087</v>
      </c>
      <c r="E68" s="96">
        <v>8</v>
      </c>
      <c r="F68" s="98" t="s">
        <v>186</v>
      </c>
      <c r="G68" s="98" t="s">
        <v>282</v>
      </c>
      <c r="H68" s="99">
        <v>535000000</v>
      </c>
      <c r="I68" s="99">
        <f t="shared" si="0"/>
        <v>535000000</v>
      </c>
      <c r="J68" s="96" t="s">
        <v>188</v>
      </c>
      <c r="K68" s="96" t="s">
        <v>188</v>
      </c>
      <c r="L68" s="94" t="s">
        <v>556</v>
      </c>
      <c r="M68" s="111"/>
    </row>
    <row r="69" spans="2:13" s="90" customFormat="1" ht="45.75" customHeight="1">
      <c r="B69" s="96">
        <v>80111500</v>
      </c>
      <c r="C69" s="97" t="s">
        <v>430</v>
      </c>
      <c r="D69" s="100">
        <v>42248</v>
      </c>
      <c r="E69" s="96">
        <v>2</v>
      </c>
      <c r="F69" s="98" t="s">
        <v>173</v>
      </c>
      <c r="G69" s="98" t="s">
        <v>282</v>
      </c>
      <c r="H69" s="99">
        <v>40000000</v>
      </c>
      <c r="I69" s="99">
        <f t="shared" si="0"/>
        <v>40000000</v>
      </c>
      <c r="J69" s="96" t="s">
        <v>188</v>
      </c>
      <c r="K69" s="96" t="s">
        <v>188</v>
      </c>
      <c r="L69" s="94" t="s">
        <v>556</v>
      </c>
      <c r="M69" s="111"/>
    </row>
    <row r="70" spans="2:13" s="90" customFormat="1" ht="45.75" customHeight="1">
      <c r="B70" s="96">
        <v>42172000</v>
      </c>
      <c r="C70" s="97" t="s">
        <v>431</v>
      </c>
      <c r="D70" s="100">
        <v>42216</v>
      </c>
      <c r="E70" s="96">
        <v>4</v>
      </c>
      <c r="F70" s="98" t="s">
        <v>312</v>
      </c>
      <c r="G70" s="98" t="s">
        <v>282</v>
      </c>
      <c r="H70" s="99">
        <v>500000</v>
      </c>
      <c r="I70" s="99">
        <f t="shared" si="0"/>
        <v>500000</v>
      </c>
      <c r="J70" s="96" t="s">
        <v>188</v>
      </c>
      <c r="K70" s="96" t="s">
        <v>188</v>
      </c>
      <c r="L70" s="94" t="s">
        <v>556</v>
      </c>
      <c r="M70" s="111"/>
    </row>
    <row r="71" spans="2:14" s="90" customFormat="1" ht="45.75" customHeight="1">
      <c r="B71" s="96">
        <v>85122201</v>
      </c>
      <c r="C71" s="97" t="s">
        <v>406</v>
      </c>
      <c r="D71" s="100">
        <v>42247</v>
      </c>
      <c r="E71" s="96">
        <v>6</v>
      </c>
      <c r="F71" s="98" t="s">
        <v>313</v>
      </c>
      <c r="G71" s="98" t="s">
        <v>282</v>
      </c>
      <c r="H71" s="99">
        <v>70000000</v>
      </c>
      <c r="I71" s="99">
        <f t="shared" si="0"/>
        <v>70000000</v>
      </c>
      <c r="J71" s="96" t="s">
        <v>188</v>
      </c>
      <c r="K71" s="96" t="s">
        <v>188</v>
      </c>
      <c r="L71" s="94" t="s">
        <v>556</v>
      </c>
      <c r="M71" s="111"/>
      <c r="N71" s="111"/>
    </row>
    <row r="72" spans="2:14" s="90" customFormat="1" ht="45.75" customHeight="1">
      <c r="B72" s="96">
        <v>46181900</v>
      </c>
      <c r="C72" s="97" t="s">
        <v>407</v>
      </c>
      <c r="D72" s="100">
        <v>42095</v>
      </c>
      <c r="E72" s="96">
        <v>4</v>
      </c>
      <c r="F72" s="98" t="s">
        <v>312</v>
      </c>
      <c r="G72" s="98" t="s">
        <v>282</v>
      </c>
      <c r="H72" s="99">
        <f>10000000-2376828</f>
        <v>7623172</v>
      </c>
      <c r="I72" s="99">
        <f t="shared" si="0"/>
        <v>7623172</v>
      </c>
      <c r="J72" s="96" t="s">
        <v>188</v>
      </c>
      <c r="K72" s="96" t="s">
        <v>188</v>
      </c>
      <c r="L72" s="94" t="s">
        <v>556</v>
      </c>
      <c r="M72" s="111"/>
      <c r="N72" s="112"/>
    </row>
    <row r="73" spans="2:14" s="90" customFormat="1" ht="45.75" customHeight="1">
      <c r="B73" s="96">
        <v>85101500</v>
      </c>
      <c r="C73" s="97" t="s">
        <v>408</v>
      </c>
      <c r="D73" s="100">
        <v>42185</v>
      </c>
      <c r="E73" s="96">
        <v>6</v>
      </c>
      <c r="F73" s="98" t="s">
        <v>312</v>
      </c>
      <c r="G73" s="98" t="s">
        <v>282</v>
      </c>
      <c r="H73" s="99">
        <f>20000000-8080000</f>
        <v>11920000</v>
      </c>
      <c r="I73" s="99">
        <f t="shared" si="0"/>
        <v>11920000</v>
      </c>
      <c r="J73" s="96" t="s">
        <v>188</v>
      </c>
      <c r="K73" s="96" t="s">
        <v>188</v>
      </c>
      <c r="L73" s="94" t="s">
        <v>556</v>
      </c>
      <c r="M73" s="113"/>
      <c r="N73" s="114"/>
    </row>
    <row r="74" spans="2:14" s="90" customFormat="1" ht="45.75" customHeight="1">
      <c r="B74" s="96">
        <v>49201500</v>
      </c>
      <c r="C74" s="97" t="s">
        <v>409</v>
      </c>
      <c r="D74" s="100">
        <v>42100</v>
      </c>
      <c r="E74" s="96">
        <v>4</v>
      </c>
      <c r="F74" s="98" t="s">
        <v>312</v>
      </c>
      <c r="G74" s="98" t="s">
        <v>282</v>
      </c>
      <c r="H74" s="99">
        <f>9500000-1919300</f>
        <v>7580700</v>
      </c>
      <c r="I74" s="99">
        <f t="shared" si="0"/>
        <v>7580700</v>
      </c>
      <c r="J74" s="96" t="s">
        <v>188</v>
      </c>
      <c r="K74" s="96" t="s">
        <v>188</v>
      </c>
      <c r="L74" s="94" t="s">
        <v>556</v>
      </c>
      <c r="M74" s="111"/>
      <c r="N74" s="114"/>
    </row>
    <row r="75" spans="2:14" s="90" customFormat="1" ht="45.75" customHeight="1">
      <c r="B75" s="96">
        <v>51201600</v>
      </c>
      <c r="C75" s="97" t="s">
        <v>410</v>
      </c>
      <c r="D75" s="100">
        <v>42093</v>
      </c>
      <c r="E75" s="96">
        <v>8</v>
      </c>
      <c r="F75" s="98" t="s">
        <v>312</v>
      </c>
      <c r="G75" s="98" t="s">
        <v>282</v>
      </c>
      <c r="H75" s="99">
        <f>19000000-2650000</f>
        <v>16350000</v>
      </c>
      <c r="I75" s="99">
        <f t="shared" si="0"/>
        <v>16350000</v>
      </c>
      <c r="J75" s="96" t="s">
        <v>188</v>
      </c>
      <c r="K75" s="96" t="s">
        <v>188</v>
      </c>
      <c r="L75" s="94" t="s">
        <v>556</v>
      </c>
      <c r="M75" s="113"/>
      <c r="N75" s="114"/>
    </row>
    <row r="76" spans="2:14" s="90" customFormat="1" ht="108.75" customHeight="1">
      <c r="B76" s="96">
        <v>51201600</v>
      </c>
      <c r="C76" s="97" t="s">
        <v>411</v>
      </c>
      <c r="D76" s="100">
        <v>42104</v>
      </c>
      <c r="E76" s="96">
        <v>9</v>
      </c>
      <c r="F76" s="98" t="s">
        <v>312</v>
      </c>
      <c r="G76" s="98" t="s">
        <v>282</v>
      </c>
      <c r="H76" s="99">
        <f>20000000-153872</f>
        <v>19846128</v>
      </c>
      <c r="I76" s="99">
        <f t="shared" si="0"/>
        <v>19846128</v>
      </c>
      <c r="J76" s="96" t="s">
        <v>188</v>
      </c>
      <c r="K76" s="96" t="s">
        <v>188</v>
      </c>
      <c r="L76" s="94" t="s">
        <v>556</v>
      </c>
      <c r="M76" s="113"/>
      <c r="N76" s="114"/>
    </row>
    <row r="77" spans="2:14" s="90" customFormat="1" ht="91.5" customHeight="1">
      <c r="B77" s="96">
        <v>72102100</v>
      </c>
      <c r="C77" s="97" t="s">
        <v>412</v>
      </c>
      <c r="D77" s="100">
        <v>42100</v>
      </c>
      <c r="E77" s="96">
        <v>8</v>
      </c>
      <c r="F77" s="98" t="s">
        <v>312</v>
      </c>
      <c r="G77" s="98" t="s">
        <v>282</v>
      </c>
      <c r="H77" s="99">
        <v>15000000</v>
      </c>
      <c r="I77" s="99">
        <f t="shared" si="0"/>
        <v>15000000</v>
      </c>
      <c r="J77" s="96" t="s">
        <v>188</v>
      </c>
      <c r="K77" s="96" t="s">
        <v>188</v>
      </c>
      <c r="L77" s="94" t="s">
        <v>556</v>
      </c>
      <c r="M77" s="113"/>
      <c r="N77" s="114"/>
    </row>
    <row r="78" spans="2:13" s="90" customFormat="1" ht="113.25" customHeight="1">
      <c r="B78" s="96">
        <v>55121600</v>
      </c>
      <c r="C78" s="97" t="s">
        <v>413</v>
      </c>
      <c r="D78" s="103" t="s">
        <v>173</v>
      </c>
      <c r="E78" s="96" t="s">
        <v>173</v>
      </c>
      <c r="F78" s="98" t="s">
        <v>173</v>
      </c>
      <c r="G78" s="98" t="s">
        <v>282</v>
      </c>
      <c r="H78" s="99">
        <f>5000000-1150000</f>
        <v>3850000</v>
      </c>
      <c r="I78" s="99">
        <f t="shared" si="0"/>
        <v>3850000</v>
      </c>
      <c r="J78" s="96" t="s">
        <v>188</v>
      </c>
      <c r="K78" s="96" t="s">
        <v>188</v>
      </c>
      <c r="L78" s="94" t="s">
        <v>593</v>
      </c>
      <c r="M78" s="111"/>
    </row>
    <row r="79" spans="2:13" s="90" customFormat="1" ht="99.75" customHeight="1">
      <c r="B79" s="96">
        <v>78181505</v>
      </c>
      <c r="C79" s="97" t="s">
        <v>414</v>
      </c>
      <c r="D79" s="100">
        <v>42124</v>
      </c>
      <c r="E79" s="96">
        <v>8</v>
      </c>
      <c r="F79" s="98" t="s">
        <v>312</v>
      </c>
      <c r="G79" s="98" t="s">
        <v>282</v>
      </c>
      <c r="H79" s="99">
        <v>9400000</v>
      </c>
      <c r="I79" s="99">
        <f t="shared" si="0"/>
        <v>9400000</v>
      </c>
      <c r="J79" s="96" t="s">
        <v>188</v>
      </c>
      <c r="K79" s="96" t="s">
        <v>188</v>
      </c>
      <c r="L79" s="94" t="s">
        <v>538</v>
      </c>
      <c r="M79" s="111"/>
    </row>
    <row r="80" spans="2:13" s="90" customFormat="1" ht="94.5" customHeight="1">
      <c r="B80" s="96">
        <v>76111500</v>
      </c>
      <c r="C80" s="97" t="s">
        <v>466</v>
      </c>
      <c r="D80" s="100">
        <v>42049</v>
      </c>
      <c r="E80" s="96">
        <v>1</v>
      </c>
      <c r="F80" s="98" t="s">
        <v>242</v>
      </c>
      <c r="G80" s="98" t="s">
        <v>282</v>
      </c>
      <c r="H80" s="99">
        <v>9236160</v>
      </c>
      <c r="I80" s="99">
        <f t="shared" si="0"/>
        <v>9236160</v>
      </c>
      <c r="J80" s="96" t="s">
        <v>188</v>
      </c>
      <c r="K80" s="96" t="s">
        <v>188</v>
      </c>
      <c r="L80" s="94" t="s">
        <v>436</v>
      </c>
      <c r="M80" s="111"/>
    </row>
    <row r="81" spans="2:13" s="90" customFormat="1" ht="94.5" customHeight="1">
      <c r="B81" s="96">
        <v>76111500</v>
      </c>
      <c r="C81" s="97" t="s">
        <v>467</v>
      </c>
      <c r="D81" s="100" t="s">
        <v>173</v>
      </c>
      <c r="E81" s="96">
        <v>1</v>
      </c>
      <c r="F81" s="98" t="s">
        <v>313</v>
      </c>
      <c r="G81" s="98" t="s">
        <v>282</v>
      </c>
      <c r="H81" s="99">
        <f>7000000+25000000+15000000-5000000-25000000+19000000-9777150-4500000-10500000-11000000+17688347-5000000</f>
        <v>12911197</v>
      </c>
      <c r="I81" s="99">
        <f aca="true" t="shared" si="1" ref="I81:I94">+H81</f>
        <v>12911197</v>
      </c>
      <c r="J81" s="96" t="s">
        <v>188</v>
      </c>
      <c r="K81" s="96" t="s">
        <v>188</v>
      </c>
      <c r="L81" s="94" t="s">
        <v>436</v>
      </c>
      <c r="M81" s="111"/>
    </row>
    <row r="82" spans="2:13" s="90" customFormat="1" ht="94.5" customHeight="1">
      <c r="B82" s="96">
        <v>80131502</v>
      </c>
      <c r="C82" s="97" t="s">
        <v>468</v>
      </c>
      <c r="D82" s="100">
        <v>42063</v>
      </c>
      <c r="E82" s="96">
        <v>2.5</v>
      </c>
      <c r="F82" s="98" t="s">
        <v>242</v>
      </c>
      <c r="G82" s="98" t="s">
        <v>282</v>
      </c>
      <c r="H82" s="99">
        <v>11244500</v>
      </c>
      <c r="I82" s="99">
        <f t="shared" si="1"/>
        <v>11244500</v>
      </c>
      <c r="J82" s="96" t="s">
        <v>188</v>
      </c>
      <c r="K82" s="96" t="s">
        <v>188</v>
      </c>
      <c r="L82" s="94" t="s">
        <v>436</v>
      </c>
      <c r="M82" s="111"/>
    </row>
    <row r="83" spans="2:13" s="90" customFormat="1" ht="45.75" customHeight="1">
      <c r="B83" s="98" t="s">
        <v>476</v>
      </c>
      <c r="C83" s="97" t="s">
        <v>470</v>
      </c>
      <c r="D83" s="100">
        <v>42063</v>
      </c>
      <c r="E83" s="96">
        <v>2</v>
      </c>
      <c r="F83" s="98" t="s">
        <v>312</v>
      </c>
      <c r="G83" s="98" t="s">
        <v>282</v>
      </c>
      <c r="H83" s="99">
        <f>3300000*11</f>
        <v>36300000</v>
      </c>
      <c r="I83" s="99">
        <f t="shared" si="1"/>
        <v>36300000</v>
      </c>
      <c r="J83" s="96" t="s">
        <v>188</v>
      </c>
      <c r="K83" s="96" t="s">
        <v>188</v>
      </c>
      <c r="L83" s="94" t="s">
        <v>436</v>
      </c>
      <c r="M83" s="111"/>
    </row>
    <row r="84" spans="2:13" s="90" customFormat="1" ht="45.75" customHeight="1">
      <c r="B84" s="98" t="s">
        <v>477</v>
      </c>
      <c r="C84" s="97" t="s">
        <v>471</v>
      </c>
      <c r="D84" s="100" t="s">
        <v>173</v>
      </c>
      <c r="E84" s="96">
        <v>12</v>
      </c>
      <c r="F84" s="98" t="s">
        <v>173</v>
      </c>
      <c r="G84" s="98" t="s">
        <v>282</v>
      </c>
      <c r="H84" s="99">
        <f>748150000+40000000</f>
        <v>788150000</v>
      </c>
      <c r="I84" s="99">
        <f t="shared" si="1"/>
        <v>788150000</v>
      </c>
      <c r="J84" s="96" t="s">
        <v>188</v>
      </c>
      <c r="K84" s="96" t="s">
        <v>188</v>
      </c>
      <c r="L84" s="94" t="s">
        <v>436</v>
      </c>
      <c r="M84" s="111"/>
    </row>
    <row r="85" spans="2:13" s="90" customFormat="1" ht="90" customHeight="1">
      <c r="B85" s="98" t="s">
        <v>476</v>
      </c>
      <c r="C85" s="97" t="s">
        <v>473</v>
      </c>
      <c r="D85" s="100" t="s">
        <v>173</v>
      </c>
      <c r="E85" s="96" t="s">
        <v>173</v>
      </c>
      <c r="F85" s="98" t="s">
        <v>173</v>
      </c>
      <c r="G85" s="98" t="s">
        <v>282</v>
      </c>
      <c r="H85" s="99">
        <f>20000000+8000000+20000000+25000000-14700000+4400000-4302937+14700000-15330126+41000000-19510000-2600000-15000000+1936537-40000000</f>
        <v>23593474</v>
      </c>
      <c r="I85" s="99">
        <f t="shared" si="1"/>
        <v>23593474</v>
      </c>
      <c r="J85" s="96" t="s">
        <v>188</v>
      </c>
      <c r="K85" s="96" t="s">
        <v>188</v>
      </c>
      <c r="L85" s="94" t="s">
        <v>436</v>
      </c>
      <c r="M85" s="111"/>
    </row>
    <row r="86" spans="2:14" s="90" customFormat="1" ht="103.5" customHeight="1">
      <c r="B86" s="98" t="s">
        <v>487</v>
      </c>
      <c r="C86" s="97" t="s">
        <v>488</v>
      </c>
      <c r="D86" s="100">
        <v>42072</v>
      </c>
      <c r="E86" s="96">
        <v>1</v>
      </c>
      <c r="F86" s="98" t="s">
        <v>242</v>
      </c>
      <c r="G86" s="98" t="s">
        <v>282</v>
      </c>
      <c r="H86" s="99">
        <v>10000000</v>
      </c>
      <c r="I86" s="99">
        <f t="shared" si="1"/>
        <v>10000000</v>
      </c>
      <c r="J86" s="96" t="s">
        <v>188</v>
      </c>
      <c r="K86" s="96" t="s">
        <v>188</v>
      </c>
      <c r="L86" s="94" t="s">
        <v>436</v>
      </c>
      <c r="M86" s="111"/>
      <c r="N86" s="111"/>
    </row>
    <row r="87" spans="2:13" s="90" customFormat="1" ht="146.25">
      <c r="B87" s="98">
        <v>78102206</v>
      </c>
      <c r="C87" s="97" t="s">
        <v>507</v>
      </c>
      <c r="D87" s="100">
        <v>42124</v>
      </c>
      <c r="E87" s="98">
        <v>1</v>
      </c>
      <c r="F87" s="98" t="s">
        <v>242</v>
      </c>
      <c r="G87" s="98" t="s">
        <v>282</v>
      </c>
      <c r="H87" s="99">
        <f>1106765+2007065</f>
        <v>3113830</v>
      </c>
      <c r="I87" s="99">
        <f t="shared" si="1"/>
        <v>3113830</v>
      </c>
      <c r="J87" s="96" t="s">
        <v>188</v>
      </c>
      <c r="K87" s="96" t="s">
        <v>188</v>
      </c>
      <c r="L87" s="94" t="s">
        <v>436</v>
      </c>
      <c r="M87" s="111"/>
    </row>
    <row r="88" spans="2:13" s="90" customFormat="1" ht="281.25">
      <c r="B88" s="98" t="s">
        <v>441</v>
      </c>
      <c r="C88" s="97" t="s">
        <v>510</v>
      </c>
      <c r="D88" s="100">
        <v>42146</v>
      </c>
      <c r="E88" s="98">
        <v>2</v>
      </c>
      <c r="F88" s="98" t="s">
        <v>511</v>
      </c>
      <c r="G88" s="98" t="s">
        <v>282</v>
      </c>
      <c r="H88" s="99">
        <f>300000000+21460364+151379137</f>
        <v>472839501</v>
      </c>
      <c r="I88" s="99">
        <f t="shared" si="1"/>
        <v>472839501</v>
      </c>
      <c r="J88" s="96" t="s">
        <v>188</v>
      </c>
      <c r="K88" s="96" t="s">
        <v>188</v>
      </c>
      <c r="L88" s="94" t="s">
        <v>436</v>
      </c>
      <c r="M88" s="111"/>
    </row>
    <row r="89" spans="2:14" s="90" customFormat="1" ht="117.75" customHeight="1">
      <c r="B89" s="97" t="s">
        <v>512</v>
      </c>
      <c r="C89" s="97" t="s">
        <v>380</v>
      </c>
      <c r="D89" s="100">
        <v>42123</v>
      </c>
      <c r="E89" s="98">
        <v>2</v>
      </c>
      <c r="F89" s="98" t="s">
        <v>485</v>
      </c>
      <c r="G89" s="98" t="s">
        <v>282</v>
      </c>
      <c r="H89" s="99">
        <f>28083910-8904337</f>
        <v>19179573</v>
      </c>
      <c r="I89" s="99">
        <f t="shared" si="1"/>
        <v>19179573</v>
      </c>
      <c r="J89" s="96" t="s">
        <v>188</v>
      </c>
      <c r="K89" s="96" t="s">
        <v>188</v>
      </c>
      <c r="L89" s="94" t="s">
        <v>436</v>
      </c>
      <c r="M89" s="111"/>
      <c r="N89" s="111"/>
    </row>
    <row r="90" spans="2:12" s="90" customFormat="1" ht="56.25">
      <c r="B90" s="104" t="s">
        <v>522</v>
      </c>
      <c r="C90" s="97" t="s">
        <v>520</v>
      </c>
      <c r="D90" s="100">
        <v>42171</v>
      </c>
      <c r="E90" s="98">
        <v>12</v>
      </c>
      <c r="F90" s="98" t="s">
        <v>523</v>
      </c>
      <c r="G90" s="98" t="s">
        <v>282</v>
      </c>
      <c r="H90" s="99">
        <v>6000000</v>
      </c>
      <c r="I90" s="99">
        <f t="shared" si="1"/>
        <v>6000000</v>
      </c>
      <c r="J90" s="96" t="s">
        <v>188</v>
      </c>
      <c r="K90" s="96" t="s">
        <v>188</v>
      </c>
      <c r="L90" s="94" t="s">
        <v>436</v>
      </c>
    </row>
    <row r="91" spans="2:12" s="114" customFormat="1" ht="56.25">
      <c r="B91" s="105">
        <v>26111600</v>
      </c>
      <c r="C91" s="97" t="s">
        <v>528</v>
      </c>
      <c r="D91" s="100">
        <v>42202</v>
      </c>
      <c r="E91" s="98">
        <v>12</v>
      </c>
      <c r="F91" s="98" t="s">
        <v>485</v>
      </c>
      <c r="G91" s="98" t="s">
        <v>282</v>
      </c>
      <c r="H91" s="99">
        <v>4500000</v>
      </c>
      <c r="I91" s="99">
        <f t="shared" si="1"/>
        <v>4500000</v>
      </c>
      <c r="J91" s="96" t="s">
        <v>188</v>
      </c>
      <c r="K91" s="96" t="s">
        <v>188</v>
      </c>
      <c r="L91" s="94" t="s">
        <v>436</v>
      </c>
    </row>
    <row r="92" spans="2:12" s="114" customFormat="1" ht="56.25">
      <c r="B92" s="105" t="s">
        <v>536</v>
      </c>
      <c r="C92" s="97" t="s">
        <v>530</v>
      </c>
      <c r="D92" s="100">
        <v>42215</v>
      </c>
      <c r="E92" s="98">
        <v>6</v>
      </c>
      <c r="F92" s="98" t="s">
        <v>173</v>
      </c>
      <c r="G92" s="98" t="s">
        <v>282</v>
      </c>
      <c r="H92" s="99">
        <v>1150000</v>
      </c>
      <c r="I92" s="99">
        <f t="shared" si="1"/>
        <v>1150000</v>
      </c>
      <c r="J92" s="96" t="s">
        <v>188</v>
      </c>
      <c r="K92" s="96" t="s">
        <v>188</v>
      </c>
      <c r="L92" s="94" t="s">
        <v>310</v>
      </c>
    </row>
    <row r="93" spans="2:12" s="114" customFormat="1" ht="130.5" customHeight="1">
      <c r="B93" s="96">
        <v>72102900</v>
      </c>
      <c r="C93" s="97" t="s">
        <v>534</v>
      </c>
      <c r="D93" s="100">
        <v>42200</v>
      </c>
      <c r="E93" s="98">
        <v>2</v>
      </c>
      <c r="F93" s="98" t="s">
        <v>242</v>
      </c>
      <c r="G93" s="98" t="s">
        <v>282</v>
      </c>
      <c r="H93" s="99">
        <v>20000000</v>
      </c>
      <c r="I93" s="99">
        <f t="shared" si="1"/>
        <v>20000000</v>
      </c>
      <c r="J93" s="96" t="s">
        <v>188</v>
      </c>
      <c r="K93" s="96" t="s">
        <v>188</v>
      </c>
      <c r="L93" s="94" t="s">
        <v>436</v>
      </c>
    </row>
    <row r="94" spans="2:12" s="114" customFormat="1" ht="56.25">
      <c r="B94" s="96">
        <v>80121702</v>
      </c>
      <c r="C94" s="97" t="s">
        <v>535</v>
      </c>
      <c r="D94" s="100" t="s">
        <v>173</v>
      </c>
      <c r="E94" s="98" t="s">
        <v>173</v>
      </c>
      <c r="F94" s="98" t="s">
        <v>173</v>
      </c>
      <c r="G94" s="98" t="s">
        <v>282</v>
      </c>
      <c r="H94" s="99">
        <v>133056000</v>
      </c>
      <c r="I94" s="99">
        <f t="shared" si="1"/>
        <v>133056000</v>
      </c>
      <c r="J94" s="96" t="s">
        <v>188</v>
      </c>
      <c r="K94" s="96" t="s">
        <v>188</v>
      </c>
      <c r="L94" s="94" t="s">
        <v>593</v>
      </c>
    </row>
    <row r="95" spans="2:12" s="114" customFormat="1" ht="56.25">
      <c r="B95" s="105" t="s">
        <v>549</v>
      </c>
      <c r="C95" s="97" t="s">
        <v>541</v>
      </c>
      <c r="D95" s="100">
        <v>42226</v>
      </c>
      <c r="E95" s="98">
        <v>1</v>
      </c>
      <c r="F95" s="98" t="s">
        <v>485</v>
      </c>
      <c r="G95" s="98" t="s">
        <v>282</v>
      </c>
      <c r="H95" s="99">
        <v>2000000</v>
      </c>
      <c r="I95" s="99">
        <f>+H95</f>
        <v>2000000</v>
      </c>
      <c r="J95" s="96" t="s">
        <v>188</v>
      </c>
      <c r="K95" s="96" t="s">
        <v>188</v>
      </c>
      <c r="L95" s="94" t="s">
        <v>436</v>
      </c>
    </row>
    <row r="96" spans="2:12" s="114" customFormat="1" ht="56.25">
      <c r="B96" s="105" t="s">
        <v>549</v>
      </c>
      <c r="C96" s="97" t="s">
        <v>542</v>
      </c>
      <c r="D96" s="100">
        <v>42247</v>
      </c>
      <c r="E96" s="98">
        <v>1</v>
      </c>
      <c r="F96" s="98" t="s">
        <v>485</v>
      </c>
      <c r="G96" s="98" t="s">
        <v>282</v>
      </c>
      <c r="H96" s="99">
        <f>4000000+1366667</f>
        <v>5366667</v>
      </c>
      <c r="I96" s="99">
        <f>+H96</f>
        <v>5366667</v>
      </c>
      <c r="J96" s="96" t="s">
        <v>188</v>
      </c>
      <c r="K96" s="96" t="s">
        <v>188</v>
      </c>
      <c r="L96" s="94" t="s">
        <v>436</v>
      </c>
    </row>
    <row r="97" spans="2:12" s="114" customFormat="1" ht="135">
      <c r="B97" s="105" t="s">
        <v>550</v>
      </c>
      <c r="C97" s="97" t="s">
        <v>543</v>
      </c>
      <c r="D97" s="100">
        <v>42220</v>
      </c>
      <c r="E97" s="98">
        <v>2</v>
      </c>
      <c r="F97" s="98" t="s">
        <v>546</v>
      </c>
      <c r="G97" s="98" t="s">
        <v>282</v>
      </c>
      <c r="H97" s="99">
        <v>20000000</v>
      </c>
      <c r="I97" s="99">
        <f>+H97</f>
        <v>20000000</v>
      </c>
      <c r="J97" s="96" t="s">
        <v>188</v>
      </c>
      <c r="K97" s="96" t="s">
        <v>188</v>
      </c>
      <c r="L97" s="94" t="s">
        <v>436</v>
      </c>
    </row>
    <row r="98" spans="2:12" s="114" customFormat="1" ht="157.5">
      <c r="B98" s="105" t="s">
        <v>547</v>
      </c>
      <c r="C98" s="97" t="s">
        <v>544</v>
      </c>
      <c r="D98" s="100">
        <v>42221</v>
      </c>
      <c r="E98" s="98">
        <v>1</v>
      </c>
      <c r="F98" s="98" t="s">
        <v>242</v>
      </c>
      <c r="G98" s="98" t="s">
        <v>282</v>
      </c>
      <c r="H98" s="99">
        <v>4500000</v>
      </c>
      <c r="I98" s="99">
        <f>+H98</f>
        <v>4500000</v>
      </c>
      <c r="J98" s="96" t="s">
        <v>188</v>
      </c>
      <c r="K98" s="96" t="s">
        <v>188</v>
      </c>
      <c r="L98" s="94" t="s">
        <v>436</v>
      </c>
    </row>
    <row r="99" spans="2:12" s="114" customFormat="1" ht="112.5">
      <c r="B99" s="98" t="s">
        <v>548</v>
      </c>
      <c r="C99" s="97" t="s">
        <v>545</v>
      </c>
      <c r="D99" s="100">
        <v>42311</v>
      </c>
      <c r="E99" s="98">
        <v>2</v>
      </c>
      <c r="F99" s="98" t="s">
        <v>242</v>
      </c>
      <c r="G99" s="98" t="s">
        <v>282</v>
      </c>
      <c r="H99" s="99">
        <v>2366400</v>
      </c>
      <c r="I99" s="99">
        <f>+H99</f>
        <v>2366400</v>
      </c>
      <c r="J99" s="96" t="s">
        <v>188</v>
      </c>
      <c r="K99" s="96" t="s">
        <v>188</v>
      </c>
      <c r="L99" s="94" t="s">
        <v>531</v>
      </c>
    </row>
    <row r="100" spans="2:12" s="114" customFormat="1" ht="168.75">
      <c r="B100" s="96">
        <v>46171600</v>
      </c>
      <c r="C100" s="97" t="s">
        <v>552</v>
      </c>
      <c r="D100" s="107">
        <v>42254</v>
      </c>
      <c r="E100" s="98">
        <v>3</v>
      </c>
      <c r="F100" s="98" t="s">
        <v>553</v>
      </c>
      <c r="G100" s="99" t="s">
        <v>282</v>
      </c>
      <c r="H100" s="99">
        <v>17477053</v>
      </c>
      <c r="I100" s="108">
        <f>+H100</f>
        <v>17477053</v>
      </c>
      <c r="J100" s="96" t="s">
        <v>188</v>
      </c>
      <c r="K100" s="96" t="s">
        <v>188</v>
      </c>
      <c r="L100" s="94" t="s">
        <v>531</v>
      </c>
    </row>
    <row r="101" spans="2:12" s="114" customFormat="1" ht="56.25">
      <c r="B101" s="105" t="s">
        <v>536</v>
      </c>
      <c r="C101" s="97" t="s">
        <v>530</v>
      </c>
      <c r="D101" s="100">
        <v>42244</v>
      </c>
      <c r="E101" s="98">
        <v>6</v>
      </c>
      <c r="F101" s="98" t="s">
        <v>173</v>
      </c>
      <c r="G101" s="98" t="s">
        <v>282</v>
      </c>
      <c r="H101" s="99">
        <v>1150000</v>
      </c>
      <c r="I101" s="99">
        <f>+H101</f>
        <v>1150000</v>
      </c>
      <c r="J101" s="96" t="s">
        <v>188</v>
      </c>
      <c r="K101" s="96" t="s">
        <v>188</v>
      </c>
      <c r="L101" s="94" t="s">
        <v>538</v>
      </c>
    </row>
    <row r="102" spans="2:12" s="90" customFormat="1" ht="87" customHeight="1">
      <c r="B102" s="70" t="s">
        <v>443</v>
      </c>
      <c r="C102" s="97" t="s">
        <v>564</v>
      </c>
      <c r="D102" s="109">
        <v>42292</v>
      </c>
      <c r="E102" s="96">
        <v>3</v>
      </c>
      <c r="F102" s="98" t="s">
        <v>422</v>
      </c>
      <c r="G102" s="98" t="s">
        <v>282</v>
      </c>
      <c r="H102" s="99">
        <v>257926046</v>
      </c>
      <c r="I102" s="99">
        <f>+H102</f>
        <v>257926046</v>
      </c>
      <c r="J102" s="96" t="s">
        <v>188</v>
      </c>
      <c r="K102" s="96" t="s">
        <v>188</v>
      </c>
      <c r="L102" s="94" t="s">
        <v>436</v>
      </c>
    </row>
    <row r="103" spans="2:12" s="90" customFormat="1" ht="94.5" customHeight="1">
      <c r="B103" s="96">
        <v>76111500</v>
      </c>
      <c r="C103" s="97" t="s">
        <v>565</v>
      </c>
      <c r="D103" s="100">
        <v>42285</v>
      </c>
      <c r="E103" s="96">
        <v>3</v>
      </c>
      <c r="F103" s="98" t="s">
        <v>553</v>
      </c>
      <c r="G103" s="98" t="s">
        <v>282</v>
      </c>
      <c r="H103" s="99">
        <v>5000000</v>
      </c>
      <c r="I103" s="99">
        <f>+H103</f>
        <v>5000000</v>
      </c>
      <c r="J103" s="96" t="s">
        <v>188</v>
      </c>
      <c r="K103" s="96" t="s">
        <v>188</v>
      </c>
      <c r="L103" s="94" t="s">
        <v>436</v>
      </c>
    </row>
    <row r="104" spans="2:12" s="114" customFormat="1" ht="56.25">
      <c r="B104" s="98">
        <v>81112006</v>
      </c>
      <c r="C104" s="97" t="s">
        <v>580</v>
      </c>
      <c r="D104" s="100">
        <v>42305</v>
      </c>
      <c r="E104" s="96">
        <v>1</v>
      </c>
      <c r="F104" s="98" t="s">
        <v>177</v>
      </c>
      <c r="G104" s="98" t="s">
        <v>282</v>
      </c>
      <c r="H104" s="99">
        <v>1500000</v>
      </c>
      <c r="I104" s="99">
        <f>+H104</f>
        <v>1500000</v>
      </c>
      <c r="J104" s="96" t="s">
        <v>188</v>
      </c>
      <c r="K104" s="96" t="s">
        <v>188</v>
      </c>
      <c r="L104" s="94" t="s">
        <v>436</v>
      </c>
    </row>
    <row r="105" spans="2:12" s="114" customFormat="1" ht="56.25">
      <c r="B105" s="98" t="s">
        <v>589</v>
      </c>
      <c r="C105" s="97" t="s">
        <v>585</v>
      </c>
      <c r="D105" s="100">
        <v>42342</v>
      </c>
      <c r="E105" s="96">
        <v>1</v>
      </c>
      <c r="F105" s="98" t="s">
        <v>590</v>
      </c>
      <c r="G105" s="98" t="s">
        <v>282</v>
      </c>
      <c r="H105" s="99">
        <v>7510000</v>
      </c>
      <c r="I105" s="99">
        <f>+H105</f>
        <v>7510000</v>
      </c>
      <c r="J105" s="96" t="s">
        <v>188</v>
      </c>
      <c r="K105" s="96" t="s">
        <v>188</v>
      </c>
      <c r="L105" s="94" t="s">
        <v>436</v>
      </c>
    </row>
    <row r="106" spans="2:12" s="114" customFormat="1" ht="56.25">
      <c r="B106" s="98">
        <v>46181504</v>
      </c>
      <c r="C106" s="97" t="s">
        <v>586</v>
      </c>
      <c r="D106" s="100">
        <v>42342</v>
      </c>
      <c r="E106" s="96">
        <v>1</v>
      </c>
      <c r="F106" s="98" t="s">
        <v>590</v>
      </c>
      <c r="G106" s="98" t="s">
        <v>282</v>
      </c>
      <c r="H106" s="99">
        <v>12000000</v>
      </c>
      <c r="I106" s="99">
        <f>+H106</f>
        <v>12000000</v>
      </c>
      <c r="J106" s="96" t="s">
        <v>188</v>
      </c>
      <c r="K106" s="96" t="s">
        <v>188</v>
      </c>
      <c r="L106" s="94" t="s">
        <v>436</v>
      </c>
    </row>
    <row r="107" spans="2:12" s="114" customFormat="1" ht="202.5">
      <c r="B107" s="105" t="s">
        <v>591</v>
      </c>
      <c r="C107" s="97" t="s">
        <v>587</v>
      </c>
      <c r="D107" s="100">
        <v>42342</v>
      </c>
      <c r="E107" s="98">
        <v>1</v>
      </c>
      <c r="F107" s="98" t="s">
        <v>242</v>
      </c>
      <c r="G107" s="98" t="s">
        <v>282</v>
      </c>
      <c r="H107" s="99">
        <v>15000000</v>
      </c>
      <c r="I107" s="99">
        <f>+H107</f>
        <v>15000000</v>
      </c>
      <c r="J107" s="96" t="s">
        <v>188</v>
      </c>
      <c r="K107" s="96" t="s">
        <v>188</v>
      </c>
      <c r="L107" s="94" t="s">
        <v>531</v>
      </c>
    </row>
    <row r="108" spans="2:12" s="114" customFormat="1" ht="123.75">
      <c r="B108" s="105" t="s">
        <v>592</v>
      </c>
      <c r="C108" s="97" t="s">
        <v>588</v>
      </c>
      <c r="D108" s="100">
        <v>42342</v>
      </c>
      <c r="E108" s="98">
        <v>1</v>
      </c>
      <c r="F108" s="98" t="s">
        <v>242</v>
      </c>
      <c r="G108" s="98" t="s">
        <v>282</v>
      </c>
      <c r="H108" s="99">
        <v>2600000</v>
      </c>
      <c r="I108" s="99">
        <f>+H108</f>
        <v>2600000</v>
      </c>
      <c r="J108" s="96" t="s">
        <v>188</v>
      </c>
      <c r="K108" s="96" t="s">
        <v>188</v>
      </c>
      <c r="L108" s="94" t="s">
        <v>531</v>
      </c>
    </row>
    <row r="109" spans="2:12" s="114" customFormat="1" ht="56.25">
      <c r="B109" s="105" t="s">
        <v>547</v>
      </c>
      <c r="C109" s="97" t="s">
        <v>596</v>
      </c>
      <c r="D109" s="100">
        <v>42356</v>
      </c>
      <c r="E109" s="98">
        <v>8</v>
      </c>
      <c r="F109" s="98" t="s">
        <v>177</v>
      </c>
      <c r="G109" s="98" t="s">
        <v>282</v>
      </c>
      <c r="H109" s="99">
        <v>55533333</v>
      </c>
      <c r="I109" s="99">
        <f>+H109</f>
        <v>55533333</v>
      </c>
      <c r="J109" s="96" t="s">
        <v>188</v>
      </c>
      <c r="K109" s="96" t="s">
        <v>188</v>
      </c>
      <c r="L109" s="94" t="s">
        <v>436</v>
      </c>
    </row>
    <row r="110" spans="2:12" s="114" customFormat="1" ht="89.25">
      <c r="B110" s="96">
        <v>72102100</v>
      </c>
      <c r="C110" s="93" t="s">
        <v>606</v>
      </c>
      <c r="D110" s="100">
        <v>42360</v>
      </c>
      <c r="E110" s="98" t="s">
        <v>173</v>
      </c>
      <c r="F110" s="98" t="s">
        <v>242</v>
      </c>
      <c r="G110" s="98" t="s">
        <v>282</v>
      </c>
      <c r="H110" s="99">
        <v>5780000</v>
      </c>
      <c r="I110" s="99">
        <f>+H110</f>
        <v>5780000</v>
      </c>
      <c r="J110" s="96" t="s">
        <v>188</v>
      </c>
      <c r="K110" s="96" t="s">
        <v>188</v>
      </c>
      <c r="L110" s="94" t="s">
        <v>556</v>
      </c>
    </row>
    <row r="111" spans="2:12" s="114" customFormat="1" ht="56.25">
      <c r="B111" s="96">
        <v>51201600</v>
      </c>
      <c r="C111" s="97" t="s">
        <v>607</v>
      </c>
      <c r="D111" s="100">
        <v>42360</v>
      </c>
      <c r="E111" s="98" t="s">
        <v>173</v>
      </c>
      <c r="F111" s="98" t="s">
        <v>242</v>
      </c>
      <c r="G111" s="98" t="s">
        <v>282</v>
      </c>
      <c r="H111" s="99">
        <v>9400000</v>
      </c>
      <c r="I111" s="99">
        <f>+H111</f>
        <v>9400000</v>
      </c>
      <c r="J111" s="96" t="s">
        <v>188</v>
      </c>
      <c r="K111" s="96" t="s">
        <v>188</v>
      </c>
      <c r="L111" s="94" t="s">
        <v>556</v>
      </c>
    </row>
    <row r="112" spans="2:12" s="82" customFormat="1" ht="50.25" customHeight="1">
      <c r="B112" s="89">
        <v>27112700</v>
      </c>
      <c r="C112" s="68" t="s">
        <v>331</v>
      </c>
      <c r="D112" s="95">
        <v>42050</v>
      </c>
      <c r="E112" s="73">
        <v>4</v>
      </c>
      <c r="F112" s="89" t="s">
        <v>286</v>
      </c>
      <c r="G112" s="69" t="s">
        <v>282</v>
      </c>
      <c r="H112" s="92">
        <f>1300000000-1400395-18599605</f>
        <v>1280000000</v>
      </c>
      <c r="I112" s="92">
        <f>H112</f>
        <v>1280000000</v>
      </c>
      <c r="J112" s="67" t="s">
        <v>188</v>
      </c>
      <c r="K112" s="67" t="s">
        <v>173</v>
      </c>
      <c r="L112" s="94" t="s">
        <v>310</v>
      </c>
    </row>
    <row r="113" spans="2:12" s="82" customFormat="1" ht="50.25" customHeight="1">
      <c r="B113" s="89">
        <v>46181500</v>
      </c>
      <c r="C113" s="68" t="s">
        <v>294</v>
      </c>
      <c r="D113" s="95">
        <v>42083</v>
      </c>
      <c r="E113" s="73">
        <v>4</v>
      </c>
      <c r="F113" s="89" t="s">
        <v>286</v>
      </c>
      <c r="G113" s="69" t="s">
        <v>282</v>
      </c>
      <c r="H113" s="92">
        <f>569000000-3028256-444</f>
        <v>565971300</v>
      </c>
      <c r="I113" s="92">
        <f aca="true" t="shared" si="2" ref="I113:I149">H113</f>
        <v>565971300</v>
      </c>
      <c r="J113" s="67" t="s">
        <v>188</v>
      </c>
      <c r="K113" s="67" t="s">
        <v>173</v>
      </c>
      <c r="L113" s="94" t="s">
        <v>310</v>
      </c>
    </row>
    <row r="114" spans="2:12" s="82" customFormat="1" ht="50.25" customHeight="1">
      <c r="B114" s="89">
        <v>46181600</v>
      </c>
      <c r="C114" s="68" t="s">
        <v>418</v>
      </c>
      <c r="D114" s="95">
        <v>42087</v>
      </c>
      <c r="E114" s="73">
        <v>4</v>
      </c>
      <c r="F114" s="89" t="s">
        <v>286</v>
      </c>
      <c r="G114" s="69" t="s">
        <v>282</v>
      </c>
      <c r="H114" s="92">
        <v>324900000</v>
      </c>
      <c r="I114" s="92">
        <f t="shared" si="2"/>
        <v>324900000</v>
      </c>
      <c r="J114" s="67" t="s">
        <v>188</v>
      </c>
      <c r="K114" s="67" t="s">
        <v>173</v>
      </c>
      <c r="L114" s="94" t="s">
        <v>310</v>
      </c>
    </row>
    <row r="115" spans="2:12" s="82" customFormat="1" ht="50.25" customHeight="1">
      <c r="B115" s="89">
        <v>46181600</v>
      </c>
      <c r="C115" s="68" t="s">
        <v>295</v>
      </c>
      <c r="D115" s="95">
        <v>42050</v>
      </c>
      <c r="E115" s="73">
        <v>3</v>
      </c>
      <c r="F115" s="89" t="s">
        <v>286</v>
      </c>
      <c r="G115" s="69" t="s">
        <v>282</v>
      </c>
      <c r="H115" s="92">
        <f>522000000-259600</f>
        <v>521740400</v>
      </c>
      <c r="I115" s="92">
        <f t="shared" si="2"/>
        <v>521740400</v>
      </c>
      <c r="J115" s="67" t="s">
        <v>188</v>
      </c>
      <c r="K115" s="67" t="s">
        <v>173</v>
      </c>
      <c r="L115" s="94" t="s">
        <v>310</v>
      </c>
    </row>
    <row r="116" spans="2:12" s="82" customFormat="1" ht="50.25" customHeight="1">
      <c r="B116" s="89">
        <v>49141500</v>
      </c>
      <c r="C116" s="68" t="s">
        <v>296</v>
      </c>
      <c r="D116" s="95">
        <v>42083</v>
      </c>
      <c r="E116" s="73">
        <v>2</v>
      </c>
      <c r="F116" s="89" t="s">
        <v>286</v>
      </c>
      <c r="G116" s="69" t="s">
        <v>282</v>
      </c>
      <c r="H116" s="92">
        <f>25000000-19400</f>
        <v>24980600</v>
      </c>
      <c r="I116" s="92">
        <f t="shared" si="2"/>
        <v>24980600</v>
      </c>
      <c r="J116" s="67" t="s">
        <v>188</v>
      </c>
      <c r="K116" s="67" t="s">
        <v>173</v>
      </c>
      <c r="L116" s="94" t="s">
        <v>310</v>
      </c>
    </row>
    <row r="117" spans="2:12" s="82" customFormat="1" ht="50.25" customHeight="1">
      <c r="B117" s="89">
        <v>49141500</v>
      </c>
      <c r="C117" s="68" t="s">
        <v>297</v>
      </c>
      <c r="D117" s="95">
        <v>42108</v>
      </c>
      <c r="E117" s="73">
        <v>4</v>
      </c>
      <c r="F117" s="89" t="s">
        <v>286</v>
      </c>
      <c r="G117" s="69" t="s">
        <v>282</v>
      </c>
      <c r="H117" s="92">
        <f>132000000-828126</f>
        <v>131171874</v>
      </c>
      <c r="I117" s="92">
        <f t="shared" si="2"/>
        <v>131171874</v>
      </c>
      <c r="J117" s="67" t="s">
        <v>188</v>
      </c>
      <c r="K117" s="67" t="s">
        <v>173</v>
      </c>
      <c r="L117" s="94" t="s">
        <v>310</v>
      </c>
    </row>
    <row r="118" spans="2:12" s="82" customFormat="1" ht="50.25" customHeight="1">
      <c r="B118" s="89">
        <v>46181700</v>
      </c>
      <c r="C118" s="68" t="s">
        <v>298</v>
      </c>
      <c r="D118" s="95">
        <v>42104</v>
      </c>
      <c r="E118" s="73">
        <v>3</v>
      </c>
      <c r="F118" s="89" t="s">
        <v>286</v>
      </c>
      <c r="G118" s="69" t="s">
        <v>282</v>
      </c>
      <c r="H118" s="92">
        <v>97500000</v>
      </c>
      <c r="I118" s="92">
        <f t="shared" si="2"/>
        <v>97500000</v>
      </c>
      <c r="J118" s="67" t="s">
        <v>188</v>
      </c>
      <c r="K118" s="67" t="s">
        <v>173</v>
      </c>
      <c r="L118" s="94" t="s">
        <v>310</v>
      </c>
    </row>
    <row r="119" spans="2:12" s="82" customFormat="1" ht="50.25" customHeight="1">
      <c r="B119" s="89" t="s">
        <v>462</v>
      </c>
      <c r="C119" s="68" t="s">
        <v>299</v>
      </c>
      <c r="D119" s="95">
        <v>42153</v>
      </c>
      <c r="E119" s="73">
        <v>3</v>
      </c>
      <c r="F119" s="89" t="s">
        <v>286</v>
      </c>
      <c r="G119" s="69" t="s">
        <v>282</v>
      </c>
      <c r="H119" s="92">
        <v>648000000</v>
      </c>
      <c r="I119" s="92">
        <f t="shared" si="2"/>
        <v>648000000</v>
      </c>
      <c r="J119" s="67" t="s">
        <v>188</v>
      </c>
      <c r="K119" s="67" t="s">
        <v>173</v>
      </c>
      <c r="L119" s="94" t="s">
        <v>310</v>
      </c>
    </row>
    <row r="120" spans="2:12" s="82" customFormat="1" ht="50.25" customHeight="1">
      <c r="B120" s="89">
        <v>46181500</v>
      </c>
      <c r="C120" s="68" t="s">
        <v>419</v>
      </c>
      <c r="D120" s="95">
        <v>42063</v>
      </c>
      <c r="E120" s="73">
        <v>2</v>
      </c>
      <c r="F120" s="89" t="s">
        <v>286</v>
      </c>
      <c r="G120" s="69" t="s">
        <v>282</v>
      </c>
      <c r="H120" s="92">
        <f>301000000-28360</f>
        <v>300971640</v>
      </c>
      <c r="I120" s="92">
        <f t="shared" si="2"/>
        <v>300971640</v>
      </c>
      <c r="J120" s="67" t="s">
        <v>188</v>
      </c>
      <c r="K120" s="67" t="s">
        <v>173</v>
      </c>
      <c r="L120" s="94" t="s">
        <v>310</v>
      </c>
    </row>
    <row r="121" spans="2:12" s="82" customFormat="1" ht="50.25" customHeight="1">
      <c r="B121" s="89">
        <v>46181518</v>
      </c>
      <c r="C121" s="68" t="s">
        <v>300</v>
      </c>
      <c r="D121" s="95">
        <v>42109</v>
      </c>
      <c r="E121" s="73">
        <v>2</v>
      </c>
      <c r="F121" s="89" t="s">
        <v>286</v>
      </c>
      <c r="G121" s="69" t="s">
        <v>282</v>
      </c>
      <c r="H121" s="92">
        <v>223000000</v>
      </c>
      <c r="I121" s="92">
        <f t="shared" si="2"/>
        <v>223000000</v>
      </c>
      <c r="J121" s="67" t="s">
        <v>188</v>
      </c>
      <c r="K121" s="67" t="s">
        <v>173</v>
      </c>
      <c r="L121" s="94" t="s">
        <v>310</v>
      </c>
    </row>
    <row r="122" spans="2:12" s="82" customFormat="1" ht="50.25" customHeight="1">
      <c r="B122" s="89">
        <v>52161500</v>
      </c>
      <c r="C122" s="68" t="s">
        <v>460</v>
      </c>
      <c r="D122" s="77">
        <v>42048</v>
      </c>
      <c r="E122" s="78">
        <v>1</v>
      </c>
      <c r="F122" s="81" t="s">
        <v>312</v>
      </c>
      <c r="G122" s="69" t="s">
        <v>282</v>
      </c>
      <c r="H122" s="79">
        <f>9000000-140200-1829156</f>
        <v>7030644</v>
      </c>
      <c r="I122" s="92">
        <f t="shared" si="2"/>
        <v>7030644</v>
      </c>
      <c r="J122" s="67" t="s">
        <v>188</v>
      </c>
      <c r="K122" s="67" t="s">
        <v>173</v>
      </c>
      <c r="L122" s="80" t="s">
        <v>310</v>
      </c>
    </row>
    <row r="123" spans="2:12" s="82" customFormat="1" ht="50.25" customHeight="1">
      <c r="B123" s="64">
        <v>86101711</v>
      </c>
      <c r="C123" s="68" t="s">
        <v>432</v>
      </c>
      <c r="D123" s="95">
        <v>42244</v>
      </c>
      <c r="E123" s="84">
        <v>3</v>
      </c>
      <c r="F123" s="89" t="s">
        <v>286</v>
      </c>
      <c r="G123" s="69" t="s">
        <v>282</v>
      </c>
      <c r="H123" s="92">
        <f>200000000-50000000-10000000</f>
        <v>140000000</v>
      </c>
      <c r="I123" s="92">
        <f t="shared" si="2"/>
        <v>140000000</v>
      </c>
      <c r="J123" s="67" t="s">
        <v>188</v>
      </c>
      <c r="K123" s="67" t="s">
        <v>173</v>
      </c>
      <c r="L123" s="80" t="s">
        <v>310</v>
      </c>
    </row>
    <row r="124" spans="2:12" s="82" customFormat="1" ht="50.25" customHeight="1">
      <c r="B124" s="64">
        <v>78111800</v>
      </c>
      <c r="C124" s="75" t="s">
        <v>426</v>
      </c>
      <c r="D124" s="74">
        <v>42124</v>
      </c>
      <c r="E124" s="84">
        <v>9</v>
      </c>
      <c r="F124" s="64" t="s">
        <v>229</v>
      </c>
      <c r="G124" s="69" t="s">
        <v>282</v>
      </c>
      <c r="H124" s="92">
        <f>100000000-30907823-14482177</f>
        <v>54610000</v>
      </c>
      <c r="I124" s="92">
        <f t="shared" si="2"/>
        <v>54610000</v>
      </c>
      <c r="J124" s="67" t="s">
        <v>188</v>
      </c>
      <c r="K124" s="67" t="s">
        <v>173</v>
      </c>
      <c r="L124" s="94" t="s">
        <v>311</v>
      </c>
    </row>
    <row r="125" spans="2:12" s="82" customFormat="1" ht="50.25" customHeight="1">
      <c r="B125" s="64" t="s">
        <v>318</v>
      </c>
      <c r="C125" s="75" t="s">
        <v>301</v>
      </c>
      <c r="D125" s="74">
        <v>42124</v>
      </c>
      <c r="E125" s="84">
        <v>9</v>
      </c>
      <c r="F125" s="64" t="s">
        <v>312</v>
      </c>
      <c r="G125" s="69" t="s">
        <v>282</v>
      </c>
      <c r="H125" s="92">
        <f>10000000-4600000</f>
        <v>5400000</v>
      </c>
      <c r="I125" s="92">
        <f t="shared" si="2"/>
        <v>5400000</v>
      </c>
      <c r="J125" s="67" t="s">
        <v>188</v>
      </c>
      <c r="K125" s="67" t="s">
        <v>173</v>
      </c>
      <c r="L125" s="94" t="s">
        <v>311</v>
      </c>
    </row>
    <row r="126" spans="2:12" s="82" customFormat="1" ht="50.25" customHeight="1">
      <c r="B126" s="64" t="s">
        <v>319</v>
      </c>
      <c r="C126" s="68" t="s">
        <v>302</v>
      </c>
      <c r="D126" s="74">
        <v>42124</v>
      </c>
      <c r="E126" s="84">
        <v>2</v>
      </c>
      <c r="F126" s="64" t="s">
        <v>312</v>
      </c>
      <c r="G126" s="69" t="s">
        <v>282</v>
      </c>
      <c r="H126" s="92">
        <f>5000000-188592-340</f>
        <v>4811068</v>
      </c>
      <c r="I126" s="92">
        <f t="shared" si="2"/>
        <v>4811068</v>
      </c>
      <c r="J126" s="67" t="s">
        <v>188</v>
      </c>
      <c r="K126" s="67" t="s">
        <v>173</v>
      </c>
      <c r="L126" s="94" t="s">
        <v>311</v>
      </c>
    </row>
    <row r="127" spans="2:12" s="82" customFormat="1" ht="50.25" customHeight="1">
      <c r="B127" s="89" t="s">
        <v>314</v>
      </c>
      <c r="C127" s="75" t="s">
        <v>243</v>
      </c>
      <c r="D127" s="74">
        <v>42194</v>
      </c>
      <c r="E127" s="84">
        <v>3</v>
      </c>
      <c r="F127" s="89" t="s">
        <v>186</v>
      </c>
      <c r="G127" s="69" t="s">
        <v>282</v>
      </c>
      <c r="H127" s="92">
        <f>427497000-7341013-5896787-12430200</f>
        <v>401829000</v>
      </c>
      <c r="I127" s="92">
        <f t="shared" si="2"/>
        <v>401829000</v>
      </c>
      <c r="J127" s="67" t="s">
        <v>188</v>
      </c>
      <c r="K127" s="67" t="s">
        <v>173</v>
      </c>
      <c r="L127" s="94" t="s">
        <v>436</v>
      </c>
    </row>
    <row r="128" spans="2:12" s="82" customFormat="1" ht="50.25" customHeight="1">
      <c r="B128" s="89" t="s">
        <v>315</v>
      </c>
      <c r="C128" s="75" t="s">
        <v>292</v>
      </c>
      <c r="D128" s="74">
        <v>42202</v>
      </c>
      <c r="E128" s="84">
        <v>7</v>
      </c>
      <c r="F128" s="89" t="s">
        <v>186</v>
      </c>
      <c r="G128" s="69" t="s">
        <v>282</v>
      </c>
      <c r="H128" s="92">
        <f>320000000+164000000-164000000</f>
        <v>320000000</v>
      </c>
      <c r="I128" s="92">
        <f t="shared" si="2"/>
        <v>320000000</v>
      </c>
      <c r="J128" s="67" t="s">
        <v>188</v>
      </c>
      <c r="K128" s="67" t="s">
        <v>173</v>
      </c>
      <c r="L128" s="94" t="s">
        <v>436</v>
      </c>
    </row>
    <row r="129" spans="2:12" s="82" customFormat="1" ht="50.25" customHeight="1">
      <c r="B129" s="89" t="s">
        <v>314</v>
      </c>
      <c r="C129" s="75" t="s">
        <v>483</v>
      </c>
      <c r="D129" s="74">
        <v>42132</v>
      </c>
      <c r="E129" s="84">
        <v>3</v>
      </c>
      <c r="F129" s="89" t="s">
        <v>186</v>
      </c>
      <c r="G129" s="69" t="s">
        <v>282</v>
      </c>
      <c r="H129" s="92">
        <f>680000000-22000000-44134-22376434</f>
        <v>635579432</v>
      </c>
      <c r="I129" s="92">
        <f t="shared" si="2"/>
        <v>635579432</v>
      </c>
      <c r="J129" s="67" t="s">
        <v>188</v>
      </c>
      <c r="K129" s="67" t="s">
        <v>173</v>
      </c>
      <c r="L129" s="94" t="s">
        <v>436</v>
      </c>
    </row>
    <row r="130" spans="2:12" s="72" customFormat="1" ht="50.25" customHeight="1">
      <c r="B130" s="89" t="s">
        <v>316</v>
      </c>
      <c r="C130" s="68" t="s">
        <v>303</v>
      </c>
      <c r="D130" s="74" t="s">
        <v>320</v>
      </c>
      <c r="E130" s="84">
        <v>12</v>
      </c>
      <c r="F130" s="89" t="s">
        <v>177</v>
      </c>
      <c r="G130" s="69" t="s">
        <v>282</v>
      </c>
      <c r="H130" s="92">
        <f>300000000+113483663+50000000-7731197+4200000+14482177+188592+3490800+26400+556800+7285000+600010+4417755+36000000+6000000+126000000</f>
        <v>659000000</v>
      </c>
      <c r="I130" s="92">
        <f t="shared" si="2"/>
        <v>659000000</v>
      </c>
      <c r="J130" s="67" t="s">
        <v>188</v>
      </c>
      <c r="K130" s="67" t="s">
        <v>173</v>
      </c>
      <c r="L130" s="94" t="s">
        <v>436</v>
      </c>
    </row>
    <row r="131" spans="2:12" s="72" customFormat="1" ht="50.25" customHeight="1">
      <c r="B131" s="89">
        <v>78181500</v>
      </c>
      <c r="C131" s="75" t="s">
        <v>288</v>
      </c>
      <c r="D131" s="74">
        <v>42111</v>
      </c>
      <c r="E131" s="84">
        <v>6</v>
      </c>
      <c r="F131" s="89" t="s">
        <v>186</v>
      </c>
      <c r="G131" s="69" t="s">
        <v>282</v>
      </c>
      <c r="H131" s="92">
        <f>1100000000-250000000-50000000+300000000-90000000-20000000</f>
        <v>990000000</v>
      </c>
      <c r="I131" s="92">
        <f t="shared" si="2"/>
        <v>990000000</v>
      </c>
      <c r="J131" s="67" t="s">
        <v>188</v>
      </c>
      <c r="K131" s="67" t="s">
        <v>173</v>
      </c>
      <c r="L131" s="94" t="s">
        <v>538</v>
      </c>
    </row>
    <row r="132" spans="2:12" s="72" customFormat="1" ht="50.25" customHeight="1">
      <c r="B132" s="89">
        <v>15101500</v>
      </c>
      <c r="C132" s="75" t="s">
        <v>247</v>
      </c>
      <c r="D132" s="74">
        <v>42079</v>
      </c>
      <c r="E132" s="84">
        <v>12</v>
      </c>
      <c r="F132" s="89" t="s">
        <v>325</v>
      </c>
      <c r="G132" s="69" t="s">
        <v>282</v>
      </c>
      <c r="H132" s="92">
        <v>1000000000</v>
      </c>
      <c r="I132" s="92">
        <f t="shared" si="2"/>
        <v>1000000000</v>
      </c>
      <c r="J132" s="67" t="s">
        <v>188</v>
      </c>
      <c r="K132" s="67" t="s">
        <v>173</v>
      </c>
      <c r="L132" s="94" t="s">
        <v>538</v>
      </c>
    </row>
    <row r="133" spans="2:12" s="72" customFormat="1" ht="50.25" customHeight="1">
      <c r="B133" s="89">
        <v>27112700</v>
      </c>
      <c r="C133" s="75" t="s">
        <v>304</v>
      </c>
      <c r="D133" s="74">
        <v>42111</v>
      </c>
      <c r="E133" s="84">
        <v>13</v>
      </c>
      <c r="F133" s="89" t="s">
        <v>229</v>
      </c>
      <c r="G133" s="69" t="s">
        <v>282</v>
      </c>
      <c r="H133" s="92">
        <v>130000000</v>
      </c>
      <c r="I133" s="92">
        <f t="shared" si="2"/>
        <v>130000000</v>
      </c>
      <c r="J133" s="67" t="s">
        <v>188</v>
      </c>
      <c r="K133" s="67" t="s">
        <v>173</v>
      </c>
      <c r="L133" s="94" t="s">
        <v>538</v>
      </c>
    </row>
    <row r="134" spans="2:12" s="72" customFormat="1" ht="50.25" customHeight="1">
      <c r="B134" s="89">
        <v>78181500</v>
      </c>
      <c r="C134" s="75" t="s">
        <v>245</v>
      </c>
      <c r="D134" s="74">
        <v>42146</v>
      </c>
      <c r="E134" s="84">
        <v>10</v>
      </c>
      <c r="F134" s="89" t="s">
        <v>177</v>
      </c>
      <c r="G134" s="69" t="s">
        <v>282</v>
      </c>
      <c r="H134" s="92">
        <v>96000000</v>
      </c>
      <c r="I134" s="92">
        <f t="shared" si="2"/>
        <v>96000000</v>
      </c>
      <c r="J134" s="67" t="s">
        <v>188</v>
      </c>
      <c r="K134" s="67" t="s">
        <v>173</v>
      </c>
      <c r="L134" s="94" t="s">
        <v>538</v>
      </c>
    </row>
    <row r="135" spans="2:12" s="72" customFormat="1" ht="50.25" customHeight="1">
      <c r="B135" s="89">
        <v>42172010</v>
      </c>
      <c r="C135" s="75" t="s">
        <v>289</v>
      </c>
      <c r="D135" s="74">
        <v>42118</v>
      </c>
      <c r="E135" s="84">
        <v>10</v>
      </c>
      <c r="F135" s="89" t="s">
        <v>229</v>
      </c>
      <c r="G135" s="69" t="s">
        <v>282</v>
      </c>
      <c r="H135" s="92">
        <v>90000000</v>
      </c>
      <c r="I135" s="92">
        <f t="shared" si="2"/>
        <v>90000000</v>
      </c>
      <c r="J135" s="67" t="s">
        <v>188</v>
      </c>
      <c r="K135" s="67" t="s">
        <v>173</v>
      </c>
      <c r="L135" s="94" t="s">
        <v>538</v>
      </c>
    </row>
    <row r="136" spans="2:12" s="72" customFormat="1" ht="50.25" customHeight="1">
      <c r="B136" s="89">
        <v>39121321</v>
      </c>
      <c r="C136" s="75" t="s">
        <v>305</v>
      </c>
      <c r="D136" s="74">
        <v>42216</v>
      </c>
      <c r="E136" s="84">
        <v>6</v>
      </c>
      <c r="F136" s="89" t="s">
        <v>229</v>
      </c>
      <c r="G136" s="69" t="s">
        <v>282</v>
      </c>
      <c r="H136" s="92">
        <v>80000000</v>
      </c>
      <c r="I136" s="92">
        <f t="shared" si="2"/>
        <v>80000000</v>
      </c>
      <c r="J136" s="67" t="s">
        <v>188</v>
      </c>
      <c r="K136" s="67" t="s">
        <v>173</v>
      </c>
      <c r="L136" s="94" t="s">
        <v>538</v>
      </c>
    </row>
    <row r="137" spans="2:12" s="72" customFormat="1" ht="50.25" customHeight="1">
      <c r="B137" s="65">
        <v>70122000</v>
      </c>
      <c r="C137" s="75" t="s">
        <v>425</v>
      </c>
      <c r="D137" s="74">
        <v>42050</v>
      </c>
      <c r="E137" s="84">
        <v>12</v>
      </c>
      <c r="F137" s="89" t="s">
        <v>177</v>
      </c>
      <c r="G137" s="69" t="s">
        <v>282</v>
      </c>
      <c r="H137" s="92">
        <f>42000000-7000000</f>
        <v>35000000</v>
      </c>
      <c r="I137" s="92">
        <f t="shared" si="2"/>
        <v>35000000</v>
      </c>
      <c r="J137" s="67" t="s">
        <v>188</v>
      </c>
      <c r="K137" s="67" t="s">
        <v>173</v>
      </c>
      <c r="L137" s="94" t="s">
        <v>538</v>
      </c>
    </row>
    <row r="138" spans="2:12" s="72" customFormat="1" ht="50.25" customHeight="1">
      <c r="B138" s="65">
        <v>70122000</v>
      </c>
      <c r="C138" s="75" t="s">
        <v>424</v>
      </c>
      <c r="D138" s="74">
        <v>42109</v>
      </c>
      <c r="E138" s="84">
        <v>10</v>
      </c>
      <c r="F138" s="89" t="s">
        <v>229</v>
      </c>
      <c r="G138" s="69" t="s">
        <v>282</v>
      </c>
      <c r="H138" s="92">
        <v>30000000</v>
      </c>
      <c r="I138" s="92">
        <f t="shared" si="2"/>
        <v>30000000</v>
      </c>
      <c r="J138" s="67" t="s">
        <v>188</v>
      </c>
      <c r="K138" s="67" t="s">
        <v>173</v>
      </c>
      <c r="L138" s="94" t="s">
        <v>538</v>
      </c>
    </row>
    <row r="139" spans="2:12" s="72" customFormat="1" ht="50.25" customHeight="1">
      <c r="B139" s="89">
        <v>72101509</v>
      </c>
      <c r="C139" s="75" t="s">
        <v>306</v>
      </c>
      <c r="D139" s="74">
        <v>42146</v>
      </c>
      <c r="E139" s="84">
        <v>8</v>
      </c>
      <c r="F139" s="89" t="s">
        <v>229</v>
      </c>
      <c r="G139" s="69" t="s">
        <v>282</v>
      </c>
      <c r="H139" s="92">
        <f>30000000-10000000+15000000</f>
        <v>35000000</v>
      </c>
      <c r="I139" s="92">
        <f t="shared" si="2"/>
        <v>35000000</v>
      </c>
      <c r="J139" s="67" t="s">
        <v>188</v>
      </c>
      <c r="K139" s="67" t="s">
        <v>173</v>
      </c>
      <c r="L139" s="94" t="s">
        <v>538</v>
      </c>
    </row>
    <row r="140" spans="2:12" s="72" customFormat="1" ht="50.25" customHeight="1">
      <c r="B140" s="89">
        <v>90121800</v>
      </c>
      <c r="C140" s="75" t="s">
        <v>26</v>
      </c>
      <c r="D140" s="74" t="s">
        <v>173</v>
      </c>
      <c r="E140" s="84">
        <v>12</v>
      </c>
      <c r="F140" s="74" t="s">
        <v>173</v>
      </c>
      <c r="G140" s="69" t="s">
        <v>282</v>
      </c>
      <c r="H140" s="92">
        <v>30000000</v>
      </c>
      <c r="I140" s="92">
        <f t="shared" si="2"/>
        <v>30000000</v>
      </c>
      <c r="J140" s="67" t="s">
        <v>188</v>
      </c>
      <c r="K140" s="67" t="s">
        <v>173</v>
      </c>
      <c r="L140" s="94" t="s">
        <v>538</v>
      </c>
    </row>
    <row r="141" spans="2:12" s="72" customFormat="1" ht="50.25" customHeight="1">
      <c r="B141" s="89">
        <v>72154501</v>
      </c>
      <c r="C141" s="75" t="s">
        <v>246</v>
      </c>
      <c r="D141" s="74">
        <v>42226</v>
      </c>
      <c r="E141" s="84">
        <v>8</v>
      </c>
      <c r="F141" s="89" t="s">
        <v>179</v>
      </c>
      <c r="G141" s="69" t="s">
        <v>282</v>
      </c>
      <c r="H141" s="92">
        <f>10000000-10000000+10000000+10000000</f>
        <v>20000000</v>
      </c>
      <c r="I141" s="92">
        <f t="shared" si="2"/>
        <v>20000000</v>
      </c>
      <c r="J141" s="67" t="s">
        <v>188</v>
      </c>
      <c r="K141" s="67" t="s">
        <v>173</v>
      </c>
      <c r="L141" s="94" t="s">
        <v>538</v>
      </c>
    </row>
    <row r="142" spans="2:12" s="82" customFormat="1" ht="50.25" customHeight="1">
      <c r="B142" s="89">
        <v>76111800</v>
      </c>
      <c r="C142" s="75" t="s">
        <v>248</v>
      </c>
      <c r="D142" s="74">
        <v>42114</v>
      </c>
      <c r="E142" s="84">
        <v>8</v>
      </c>
      <c r="F142" s="89" t="s">
        <v>179</v>
      </c>
      <c r="G142" s="69" t="s">
        <v>282</v>
      </c>
      <c r="H142" s="92">
        <v>10400000</v>
      </c>
      <c r="I142" s="92">
        <f t="shared" si="2"/>
        <v>10400000</v>
      </c>
      <c r="J142" s="67" t="s">
        <v>188</v>
      </c>
      <c r="K142" s="67" t="s">
        <v>173</v>
      </c>
      <c r="L142" s="94" t="s">
        <v>538</v>
      </c>
    </row>
    <row r="143" spans="2:12" s="82" customFormat="1" ht="50.25" customHeight="1">
      <c r="B143" s="89">
        <v>10121801</v>
      </c>
      <c r="C143" s="75" t="s">
        <v>285</v>
      </c>
      <c r="D143" s="74">
        <v>42114</v>
      </c>
      <c r="E143" s="84">
        <v>6</v>
      </c>
      <c r="F143" s="89" t="s">
        <v>179</v>
      </c>
      <c r="G143" s="69" t="s">
        <v>282</v>
      </c>
      <c r="H143" s="92">
        <f>20000000-10000000</f>
        <v>10000000</v>
      </c>
      <c r="I143" s="92">
        <f t="shared" si="2"/>
        <v>10000000</v>
      </c>
      <c r="J143" s="67" t="s">
        <v>188</v>
      </c>
      <c r="K143" s="67" t="s">
        <v>173</v>
      </c>
      <c r="L143" s="94" t="s">
        <v>538</v>
      </c>
    </row>
    <row r="144" spans="2:12" s="82" customFormat="1" ht="50.25" customHeight="1">
      <c r="B144" s="89">
        <v>95121800</v>
      </c>
      <c r="C144" s="75" t="s">
        <v>428</v>
      </c>
      <c r="D144" s="74">
        <v>42104</v>
      </c>
      <c r="E144" s="84">
        <v>7</v>
      </c>
      <c r="F144" s="89" t="s">
        <v>177</v>
      </c>
      <c r="G144" s="69" t="s">
        <v>282</v>
      </c>
      <c r="H144" s="92">
        <f>40000000+60754120</f>
        <v>100754120</v>
      </c>
      <c r="I144" s="92">
        <f t="shared" si="2"/>
        <v>100754120</v>
      </c>
      <c r="J144" s="67" t="s">
        <v>188</v>
      </c>
      <c r="K144" s="67" t="s">
        <v>173</v>
      </c>
      <c r="L144" s="94" t="s">
        <v>556</v>
      </c>
    </row>
    <row r="145" spans="2:12" s="82" customFormat="1" ht="50.25" customHeight="1">
      <c r="B145" s="89">
        <v>86101711</v>
      </c>
      <c r="C145" s="75" t="s">
        <v>237</v>
      </c>
      <c r="D145" s="74" t="s">
        <v>173</v>
      </c>
      <c r="E145" s="74" t="s">
        <v>173</v>
      </c>
      <c r="F145" s="74" t="s">
        <v>173</v>
      </c>
      <c r="G145" s="69" t="s">
        <v>282</v>
      </c>
      <c r="H145" s="92">
        <f>380000000+25000000-60754120-25000000+34000000-37764033-15962000-5950554-2365723</f>
        <v>291203570</v>
      </c>
      <c r="I145" s="92">
        <f t="shared" si="2"/>
        <v>291203570</v>
      </c>
      <c r="J145" s="67" t="s">
        <v>188</v>
      </c>
      <c r="K145" s="67" t="s">
        <v>173</v>
      </c>
      <c r="L145" s="94" t="s">
        <v>556</v>
      </c>
    </row>
    <row r="146" spans="2:12" s="82" customFormat="1" ht="50.25" customHeight="1">
      <c r="B146" s="89">
        <v>90111500</v>
      </c>
      <c r="C146" s="75" t="s">
        <v>307</v>
      </c>
      <c r="D146" s="74" t="s">
        <v>173</v>
      </c>
      <c r="E146" s="74" t="s">
        <v>173</v>
      </c>
      <c r="F146" s="74" t="s">
        <v>173</v>
      </c>
      <c r="G146" s="69" t="s">
        <v>282</v>
      </c>
      <c r="H146" s="92">
        <f>45000000+32729879-1138774</f>
        <v>76591105</v>
      </c>
      <c r="I146" s="92">
        <f t="shared" si="2"/>
        <v>76591105</v>
      </c>
      <c r="J146" s="67" t="s">
        <v>188</v>
      </c>
      <c r="K146" s="67" t="s">
        <v>173</v>
      </c>
      <c r="L146" s="94" t="s">
        <v>556</v>
      </c>
    </row>
    <row r="147" spans="2:12" s="82" customFormat="1" ht="50.25" customHeight="1">
      <c r="B147" s="89">
        <v>80111703</v>
      </c>
      <c r="C147" s="75" t="s">
        <v>308</v>
      </c>
      <c r="D147" s="74">
        <v>42185</v>
      </c>
      <c r="E147" s="84">
        <v>4</v>
      </c>
      <c r="F147" s="89" t="s">
        <v>327</v>
      </c>
      <c r="G147" s="69" t="s">
        <v>282</v>
      </c>
      <c r="H147" s="92">
        <f>40000000-16896667</f>
        <v>23103333</v>
      </c>
      <c r="I147" s="92">
        <f t="shared" si="2"/>
        <v>23103333</v>
      </c>
      <c r="J147" s="67" t="s">
        <v>188</v>
      </c>
      <c r="K147" s="67" t="s">
        <v>173</v>
      </c>
      <c r="L147" s="94" t="s">
        <v>556</v>
      </c>
    </row>
    <row r="148" spans="2:12" s="82" customFormat="1" ht="50.25" customHeight="1">
      <c r="B148" s="89">
        <v>80101511</v>
      </c>
      <c r="C148" s="75" t="s">
        <v>429</v>
      </c>
      <c r="D148" s="74">
        <v>42104</v>
      </c>
      <c r="E148" s="84">
        <v>5</v>
      </c>
      <c r="F148" s="89" t="s">
        <v>179</v>
      </c>
      <c r="G148" s="69" t="s">
        <v>282</v>
      </c>
      <c r="H148" s="92">
        <f>21460000-2169200-3490800</f>
        <v>15800000</v>
      </c>
      <c r="I148" s="92">
        <f t="shared" si="2"/>
        <v>15800000</v>
      </c>
      <c r="J148" s="67" t="s">
        <v>188</v>
      </c>
      <c r="K148" s="67" t="s">
        <v>173</v>
      </c>
      <c r="L148" s="94" t="s">
        <v>556</v>
      </c>
    </row>
    <row r="149" spans="2:12" s="82" customFormat="1" ht="50.25" customHeight="1">
      <c r="B149" s="89">
        <v>39121000</v>
      </c>
      <c r="C149" s="68" t="s">
        <v>490</v>
      </c>
      <c r="D149" s="74">
        <v>42202</v>
      </c>
      <c r="E149" s="84">
        <v>3</v>
      </c>
      <c r="F149" s="89" t="s">
        <v>179</v>
      </c>
      <c r="G149" s="69" t="s">
        <v>282</v>
      </c>
      <c r="H149" s="92">
        <f>99165000+10000000-10000000+5000000-37165000-24128000-20031665-8045335</f>
        <v>14795000</v>
      </c>
      <c r="I149" s="92">
        <f t="shared" si="2"/>
        <v>14795000</v>
      </c>
      <c r="J149" s="67" t="s">
        <v>188</v>
      </c>
      <c r="K149" s="67" t="s">
        <v>173</v>
      </c>
      <c r="L149" s="94" t="s">
        <v>531</v>
      </c>
    </row>
    <row r="150" spans="2:12" s="82" customFormat="1" ht="50.25" customHeight="1">
      <c r="B150" s="64" t="s">
        <v>316</v>
      </c>
      <c r="C150" s="68" t="s">
        <v>373</v>
      </c>
      <c r="D150" s="74" t="s">
        <v>320</v>
      </c>
      <c r="E150" s="84">
        <v>12</v>
      </c>
      <c r="F150" s="89" t="s">
        <v>177</v>
      </c>
      <c r="G150" s="69" t="s">
        <v>282</v>
      </c>
      <c r="H150" s="92">
        <f>545000000-8600000-66000000+44000000+5500000+140500000+5841000+38600000-512500</f>
        <v>704328500</v>
      </c>
      <c r="I150" s="92">
        <f>H150</f>
        <v>704328500</v>
      </c>
      <c r="J150" s="67" t="s">
        <v>188</v>
      </c>
      <c r="K150" s="67" t="s">
        <v>173</v>
      </c>
      <c r="L150" s="94" t="s">
        <v>531</v>
      </c>
    </row>
    <row r="151" spans="2:12" s="82" customFormat="1" ht="50.25" customHeight="1">
      <c r="B151" s="64" t="s">
        <v>316</v>
      </c>
      <c r="C151" s="68" t="s">
        <v>433</v>
      </c>
      <c r="D151" s="74">
        <v>42037</v>
      </c>
      <c r="E151" s="84">
        <v>11</v>
      </c>
      <c r="F151" s="89" t="s">
        <v>177</v>
      </c>
      <c r="G151" s="69" t="s">
        <v>282</v>
      </c>
      <c r="H151" s="92">
        <f>(6000000*11)-5500000</f>
        <v>60500000</v>
      </c>
      <c r="I151" s="92">
        <f>H151</f>
        <v>60500000</v>
      </c>
      <c r="J151" s="67" t="s">
        <v>188</v>
      </c>
      <c r="K151" s="67" t="s">
        <v>173</v>
      </c>
      <c r="L151" s="94" t="s">
        <v>531</v>
      </c>
    </row>
    <row r="152" spans="2:12" s="82" customFormat="1" ht="50.25" customHeight="1">
      <c r="B152" s="89" t="s">
        <v>323</v>
      </c>
      <c r="C152" s="68" t="s">
        <v>291</v>
      </c>
      <c r="D152" s="74">
        <v>42088</v>
      </c>
      <c r="E152" s="84">
        <v>12</v>
      </c>
      <c r="F152" s="89" t="s">
        <v>177</v>
      </c>
      <c r="G152" s="69" t="s">
        <v>282</v>
      </c>
      <c r="H152" s="92">
        <f>64600000-2263225</f>
        <v>62336775</v>
      </c>
      <c r="I152" s="92">
        <f>H152</f>
        <v>62336775</v>
      </c>
      <c r="J152" s="67" t="s">
        <v>188</v>
      </c>
      <c r="K152" s="67" t="s">
        <v>173</v>
      </c>
      <c r="L152" s="94" t="s">
        <v>531</v>
      </c>
    </row>
    <row r="153" spans="2:12" s="82" customFormat="1" ht="50.25" customHeight="1">
      <c r="B153" s="89">
        <v>81161706</v>
      </c>
      <c r="C153" s="68" t="s">
        <v>489</v>
      </c>
      <c r="D153" s="74">
        <v>42088</v>
      </c>
      <c r="E153" s="84">
        <v>12</v>
      </c>
      <c r="F153" s="89" t="s">
        <v>177</v>
      </c>
      <c r="G153" s="69" t="s">
        <v>282</v>
      </c>
      <c r="H153" s="92">
        <f>168000000+65000000-27135000-65000000</f>
        <v>140865000</v>
      </c>
      <c r="I153" s="92">
        <f>H153</f>
        <v>140865000</v>
      </c>
      <c r="J153" s="67" t="s">
        <v>188</v>
      </c>
      <c r="K153" s="67" t="s">
        <v>173</v>
      </c>
      <c r="L153" s="94" t="s">
        <v>531</v>
      </c>
    </row>
    <row r="154" spans="2:12" s="82" customFormat="1" ht="50.25" customHeight="1">
      <c r="B154" s="89">
        <v>43232311</v>
      </c>
      <c r="C154" s="68" t="s">
        <v>329</v>
      </c>
      <c r="D154" s="74">
        <v>42114</v>
      </c>
      <c r="E154" s="84">
        <v>12</v>
      </c>
      <c r="F154" s="89" t="s">
        <v>177</v>
      </c>
      <c r="G154" s="69" t="s">
        <v>282</v>
      </c>
      <c r="H154" s="92">
        <f>90000000-832111</f>
        <v>89167889</v>
      </c>
      <c r="I154" s="92">
        <f>H154</f>
        <v>89167889</v>
      </c>
      <c r="J154" s="67" t="s">
        <v>188</v>
      </c>
      <c r="K154" s="67" t="s">
        <v>173</v>
      </c>
      <c r="L154" s="94" t="s">
        <v>531</v>
      </c>
    </row>
    <row r="155" spans="2:12" s="82" customFormat="1" ht="50.25" customHeight="1">
      <c r="B155" s="89">
        <v>81112100</v>
      </c>
      <c r="C155" s="68" t="s">
        <v>330</v>
      </c>
      <c r="D155" s="74">
        <v>42144</v>
      </c>
      <c r="E155" s="84">
        <v>12</v>
      </c>
      <c r="F155" s="89" t="s">
        <v>313</v>
      </c>
      <c r="G155" s="69" t="s">
        <v>282</v>
      </c>
      <c r="H155" s="92">
        <f>158340000-26400</f>
        <v>158313600</v>
      </c>
      <c r="I155" s="92">
        <f>H155</f>
        <v>158313600</v>
      </c>
      <c r="J155" s="67" t="s">
        <v>188</v>
      </c>
      <c r="K155" s="67" t="s">
        <v>173</v>
      </c>
      <c r="L155" s="94" t="s">
        <v>531</v>
      </c>
    </row>
    <row r="156" spans="2:12" s="82" customFormat="1" ht="50.25" customHeight="1">
      <c r="B156" s="89" t="s">
        <v>324</v>
      </c>
      <c r="C156" s="75" t="s">
        <v>244</v>
      </c>
      <c r="D156" s="74">
        <v>42132</v>
      </c>
      <c r="E156" s="84">
        <v>7</v>
      </c>
      <c r="F156" s="89" t="s">
        <v>177</v>
      </c>
      <c r="G156" s="69" t="s">
        <v>282</v>
      </c>
      <c r="H156" s="92">
        <f>85000000-25828341-33000000</f>
        <v>26171659</v>
      </c>
      <c r="I156" s="92">
        <f>H156</f>
        <v>26171659</v>
      </c>
      <c r="J156" s="67" t="s">
        <v>188</v>
      </c>
      <c r="K156" s="67" t="s">
        <v>173</v>
      </c>
      <c r="L156" s="94" t="s">
        <v>531</v>
      </c>
    </row>
    <row r="157" spans="2:12" s="82" customFormat="1" ht="50.25" customHeight="1">
      <c r="B157" s="74" t="s">
        <v>435</v>
      </c>
      <c r="C157" s="75" t="s">
        <v>328</v>
      </c>
      <c r="D157" s="74">
        <v>42006</v>
      </c>
      <c r="E157" s="84">
        <v>6</v>
      </c>
      <c r="F157" s="84" t="s">
        <v>186</v>
      </c>
      <c r="G157" s="69" t="s">
        <v>282</v>
      </c>
      <c r="H157" s="92">
        <f>7926000000-773090470</f>
        <v>7152909530</v>
      </c>
      <c r="I157" s="92">
        <f>H157</f>
        <v>7152909530</v>
      </c>
      <c r="J157" s="67" t="s">
        <v>188</v>
      </c>
      <c r="K157" s="67" t="s">
        <v>173</v>
      </c>
      <c r="L157" s="94" t="s">
        <v>538</v>
      </c>
    </row>
    <row r="158" spans="2:12" s="82" customFormat="1" ht="50.25" customHeight="1">
      <c r="B158" s="74" t="s">
        <v>415</v>
      </c>
      <c r="C158" s="75" t="s">
        <v>427</v>
      </c>
      <c r="D158" s="74">
        <v>42051</v>
      </c>
      <c r="E158" s="84">
        <v>2</v>
      </c>
      <c r="F158" s="89" t="s">
        <v>313</v>
      </c>
      <c r="G158" s="69" t="s">
        <v>282</v>
      </c>
      <c r="H158" s="92">
        <f>50000000-6291200-556800</f>
        <v>43152000</v>
      </c>
      <c r="I158" s="92">
        <f>H158</f>
        <v>43152000</v>
      </c>
      <c r="J158" s="67" t="s">
        <v>188</v>
      </c>
      <c r="K158" s="67" t="s">
        <v>173</v>
      </c>
      <c r="L158" s="94" t="s">
        <v>436</v>
      </c>
    </row>
    <row r="159" spans="2:12" s="82" customFormat="1" ht="50.25" customHeight="1">
      <c r="B159" s="87">
        <v>76111500</v>
      </c>
      <c r="C159" s="75" t="s">
        <v>482</v>
      </c>
      <c r="D159" s="74">
        <v>42087</v>
      </c>
      <c r="E159" s="84">
        <v>5</v>
      </c>
      <c r="F159" s="84" t="s">
        <v>312</v>
      </c>
      <c r="G159" s="69" t="s">
        <v>282</v>
      </c>
      <c r="H159" s="92">
        <f>21248549-73549-7285000</f>
        <v>13890000</v>
      </c>
      <c r="I159" s="92">
        <f>H159</f>
        <v>13890000</v>
      </c>
      <c r="J159" s="67" t="s">
        <v>188</v>
      </c>
      <c r="K159" s="67" t="s">
        <v>173</v>
      </c>
      <c r="L159" s="94" t="s">
        <v>436</v>
      </c>
    </row>
    <row r="160" spans="2:12" s="82" customFormat="1" ht="50.25" customHeight="1">
      <c r="B160" s="74" t="s">
        <v>417</v>
      </c>
      <c r="C160" s="75" t="s">
        <v>509</v>
      </c>
      <c r="D160" s="74">
        <v>42200</v>
      </c>
      <c r="E160" s="84">
        <v>8</v>
      </c>
      <c r="F160" s="84" t="s">
        <v>186</v>
      </c>
      <c r="G160" s="69" t="s">
        <v>282</v>
      </c>
      <c r="H160" s="92">
        <f>1430000000-156667297-183026278-17743377</f>
        <v>1072563048</v>
      </c>
      <c r="I160" s="92">
        <f>H160</f>
        <v>1072563048</v>
      </c>
      <c r="J160" s="67" t="s">
        <v>188</v>
      </c>
      <c r="K160" s="67" t="s">
        <v>173</v>
      </c>
      <c r="L160" s="94" t="s">
        <v>436</v>
      </c>
    </row>
    <row r="161" spans="2:12" s="82" customFormat="1" ht="50.25" customHeight="1">
      <c r="B161" s="89">
        <v>80111600</v>
      </c>
      <c r="C161" s="75" t="s">
        <v>15</v>
      </c>
      <c r="D161" s="74" t="s">
        <v>320</v>
      </c>
      <c r="E161" s="84">
        <v>12</v>
      </c>
      <c r="F161" s="89" t="s">
        <v>177</v>
      </c>
      <c r="G161" s="69" t="s">
        <v>282</v>
      </c>
      <c r="H161" s="92">
        <f>474255000+1720200000+216649000+280000000+100000000+15961758-5841000-4200000-4417755+19510000+109175000-3500000+18330000</f>
        <v>2936122003</v>
      </c>
      <c r="I161" s="92">
        <f aca="true" t="shared" si="3" ref="I161:I209">H161</f>
        <v>2936122003</v>
      </c>
      <c r="J161" s="67" t="s">
        <v>188</v>
      </c>
      <c r="K161" s="67" t="s">
        <v>173</v>
      </c>
      <c r="L161" s="94" t="s">
        <v>461</v>
      </c>
    </row>
    <row r="162" spans="2:12" s="82" customFormat="1" ht="50.25" customHeight="1">
      <c r="B162" s="89" t="s">
        <v>475</v>
      </c>
      <c r="C162" s="75" t="s">
        <v>474</v>
      </c>
      <c r="D162" s="74">
        <v>42051</v>
      </c>
      <c r="E162" s="84">
        <v>1</v>
      </c>
      <c r="F162" s="89" t="s">
        <v>312</v>
      </c>
      <c r="G162" s="69" t="s">
        <v>282</v>
      </c>
      <c r="H162" s="92">
        <f>7341013-842003-600010</f>
        <v>5899000</v>
      </c>
      <c r="I162" s="92">
        <f t="shared" si="3"/>
        <v>5899000</v>
      </c>
      <c r="J162" s="67" t="s">
        <v>188</v>
      </c>
      <c r="K162" s="67" t="s">
        <v>173</v>
      </c>
      <c r="L162" s="94" t="s">
        <v>436</v>
      </c>
    </row>
    <row r="163" spans="2:12" s="82" customFormat="1" ht="50.25" customHeight="1">
      <c r="B163" s="89" t="s">
        <v>480</v>
      </c>
      <c r="C163" s="63" t="s">
        <v>572</v>
      </c>
      <c r="D163" s="74">
        <v>42286</v>
      </c>
      <c r="E163" s="84">
        <v>2</v>
      </c>
      <c r="F163" s="89" t="s">
        <v>286</v>
      </c>
      <c r="G163" s="69" t="s">
        <v>282</v>
      </c>
      <c r="H163" s="92">
        <f>22000000+61000000-11000000-13582247</f>
        <v>58417753</v>
      </c>
      <c r="I163" s="92">
        <f t="shared" si="3"/>
        <v>58417753</v>
      </c>
      <c r="J163" s="67" t="s">
        <v>188</v>
      </c>
      <c r="K163" s="67" t="s">
        <v>173</v>
      </c>
      <c r="L163" s="94" t="s">
        <v>436</v>
      </c>
    </row>
    <row r="164" spans="2:12" s="82" customFormat="1" ht="50.25" customHeight="1">
      <c r="B164" s="74" t="s">
        <v>416</v>
      </c>
      <c r="C164" s="75" t="s">
        <v>481</v>
      </c>
      <c r="D164" s="74">
        <v>42074</v>
      </c>
      <c r="E164" s="84">
        <v>5</v>
      </c>
      <c r="F164" s="89" t="s">
        <v>313</v>
      </c>
      <c r="G164" s="69" t="s">
        <v>282</v>
      </c>
      <c r="H164" s="92">
        <f>145267788-6863791-392963</f>
        <v>138011034</v>
      </c>
      <c r="I164" s="92">
        <f t="shared" si="3"/>
        <v>138011034</v>
      </c>
      <c r="J164" s="67" t="s">
        <v>188</v>
      </c>
      <c r="K164" s="67" t="s">
        <v>173</v>
      </c>
      <c r="L164" s="94" t="s">
        <v>436</v>
      </c>
    </row>
    <row r="165" spans="2:12" s="82" customFormat="1" ht="50.25" customHeight="1">
      <c r="B165" s="89">
        <v>78181500</v>
      </c>
      <c r="C165" s="75" t="s">
        <v>491</v>
      </c>
      <c r="D165" s="74">
        <v>42087</v>
      </c>
      <c r="E165" s="84">
        <v>4</v>
      </c>
      <c r="F165" s="89" t="s">
        <v>242</v>
      </c>
      <c r="G165" s="69" t="s">
        <v>282</v>
      </c>
      <c r="H165" s="92">
        <f>250000000+110000000</f>
        <v>360000000</v>
      </c>
      <c r="I165" s="92">
        <f t="shared" si="3"/>
        <v>360000000</v>
      </c>
      <c r="J165" s="67" t="s">
        <v>188</v>
      </c>
      <c r="K165" s="67" t="s">
        <v>173</v>
      </c>
      <c r="L165" s="94" t="s">
        <v>538</v>
      </c>
    </row>
    <row r="166" spans="2:12" s="82" customFormat="1" ht="50.25" customHeight="1">
      <c r="B166" s="89">
        <v>78181500</v>
      </c>
      <c r="C166" s="75" t="s">
        <v>492</v>
      </c>
      <c r="D166" s="74">
        <v>42087</v>
      </c>
      <c r="E166" s="84">
        <v>4</v>
      </c>
      <c r="F166" s="89" t="s">
        <v>242</v>
      </c>
      <c r="G166" s="69" t="s">
        <v>282</v>
      </c>
      <c r="H166" s="92">
        <v>50000000</v>
      </c>
      <c r="I166" s="92">
        <f t="shared" si="3"/>
        <v>50000000</v>
      </c>
      <c r="J166" s="67" t="s">
        <v>188</v>
      </c>
      <c r="K166" s="67" t="s">
        <v>173</v>
      </c>
      <c r="L166" s="94" t="s">
        <v>538</v>
      </c>
    </row>
    <row r="167" spans="2:12" s="82" customFormat="1" ht="50.25" customHeight="1">
      <c r="B167" s="89">
        <v>72101509</v>
      </c>
      <c r="C167" s="75" t="s">
        <v>493</v>
      </c>
      <c r="D167" s="74">
        <v>42087</v>
      </c>
      <c r="E167" s="84">
        <v>2</v>
      </c>
      <c r="F167" s="89" t="s">
        <v>242</v>
      </c>
      <c r="G167" s="69" t="s">
        <v>282</v>
      </c>
      <c r="H167" s="92">
        <f>10000000-36782</f>
        <v>9963218</v>
      </c>
      <c r="I167" s="92">
        <f t="shared" si="3"/>
        <v>9963218</v>
      </c>
      <c r="J167" s="67" t="s">
        <v>188</v>
      </c>
      <c r="K167" s="67" t="s">
        <v>173</v>
      </c>
      <c r="L167" s="94" t="s">
        <v>538</v>
      </c>
    </row>
    <row r="168" spans="2:12" s="82" customFormat="1" ht="50.25" customHeight="1">
      <c r="B168" s="89">
        <v>10121801</v>
      </c>
      <c r="C168" s="75" t="s">
        <v>494</v>
      </c>
      <c r="D168" s="74">
        <v>42087</v>
      </c>
      <c r="E168" s="84">
        <v>2</v>
      </c>
      <c r="F168" s="89" t="s">
        <v>242</v>
      </c>
      <c r="G168" s="69" t="s">
        <v>282</v>
      </c>
      <c r="H168" s="92">
        <f>10000000-8822</f>
        <v>9991178</v>
      </c>
      <c r="I168" s="92">
        <f t="shared" si="3"/>
        <v>9991178</v>
      </c>
      <c r="J168" s="67" t="s">
        <v>188</v>
      </c>
      <c r="K168" s="67" t="s">
        <v>173</v>
      </c>
      <c r="L168" s="94" t="s">
        <v>538</v>
      </c>
    </row>
    <row r="169" spans="2:12" s="82" customFormat="1" ht="50.25" customHeight="1">
      <c r="B169" s="89">
        <v>90101600</v>
      </c>
      <c r="C169" s="115" t="s">
        <v>502</v>
      </c>
      <c r="D169" s="74">
        <v>42111</v>
      </c>
      <c r="E169" s="84">
        <v>7</v>
      </c>
      <c r="F169" s="89" t="s">
        <v>242</v>
      </c>
      <c r="G169" s="69" t="s">
        <v>282</v>
      </c>
      <c r="H169" s="92">
        <v>100000000</v>
      </c>
      <c r="I169" s="92">
        <f t="shared" si="3"/>
        <v>100000000</v>
      </c>
      <c r="J169" s="67" t="s">
        <v>188</v>
      </c>
      <c r="K169" s="67" t="s">
        <v>173</v>
      </c>
      <c r="L169" s="94" t="s">
        <v>538</v>
      </c>
    </row>
    <row r="170" spans="2:12" s="82" customFormat="1" ht="50.25" customHeight="1">
      <c r="B170" s="89">
        <v>72101509</v>
      </c>
      <c r="C170" s="115" t="s">
        <v>503</v>
      </c>
      <c r="D170" s="74">
        <v>42111</v>
      </c>
      <c r="E170" s="84">
        <v>13</v>
      </c>
      <c r="F170" s="89" t="s">
        <v>177</v>
      </c>
      <c r="G170" s="69" t="s">
        <v>282</v>
      </c>
      <c r="H170" s="92">
        <v>120000000</v>
      </c>
      <c r="I170" s="92">
        <f t="shared" si="3"/>
        <v>120000000</v>
      </c>
      <c r="J170" s="67" t="s">
        <v>188</v>
      </c>
      <c r="K170" s="67" t="s">
        <v>173</v>
      </c>
      <c r="L170" s="94" t="s">
        <v>538</v>
      </c>
    </row>
    <row r="171" spans="2:12" s="82" customFormat="1" ht="50.25" customHeight="1">
      <c r="B171" s="89" t="s">
        <v>505</v>
      </c>
      <c r="C171" s="115" t="s">
        <v>504</v>
      </c>
      <c r="D171" s="74">
        <v>42153</v>
      </c>
      <c r="E171" s="84">
        <v>3</v>
      </c>
      <c r="F171" s="89" t="s">
        <v>313</v>
      </c>
      <c r="G171" s="69" t="s">
        <v>282</v>
      </c>
      <c r="H171" s="92">
        <f>50000000-1340000</f>
        <v>48660000</v>
      </c>
      <c r="I171" s="92">
        <f t="shared" si="3"/>
        <v>48660000</v>
      </c>
      <c r="J171" s="67" t="s">
        <v>188</v>
      </c>
      <c r="K171" s="67" t="s">
        <v>173</v>
      </c>
      <c r="L171" s="94" t="s">
        <v>538</v>
      </c>
    </row>
    <row r="172" spans="2:12" s="82" customFormat="1" ht="53.25" customHeight="1">
      <c r="B172" s="64">
        <v>86101711</v>
      </c>
      <c r="C172" s="115" t="s">
        <v>506</v>
      </c>
      <c r="D172" s="74">
        <v>42121</v>
      </c>
      <c r="E172" s="84">
        <v>1</v>
      </c>
      <c r="F172" s="89" t="s">
        <v>177</v>
      </c>
      <c r="G172" s="69" t="s">
        <v>282</v>
      </c>
      <c r="H172" s="92">
        <f>160000000+20000000</f>
        <v>180000000</v>
      </c>
      <c r="I172" s="92">
        <f t="shared" si="3"/>
        <v>180000000</v>
      </c>
      <c r="J172" s="67" t="s">
        <v>188</v>
      </c>
      <c r="K172" s="67" t="s">
        <v>173</v>
      </c>
      <c r="L172" s="94" t="s">
        <v>310</v>
      </c>
    </row>
    <row r="173" spans="2:12" s="82" customFormat="1" ht="62.25" customHeight="1">
      <c r="B173" s="64">
        <v>81101500</v>
      </c>
      <c r="C173" s="63" t="s">
        <v>508</v>
      </c>
      <c r="D173" s="74">
        <v>42300</v>
      </c>
      <c r="E173" s="84">
        <v>6</v>
      </c>
      <c r="F173" s="102" t="s">
        <v>227</v>
      </c>
      <c r="G173" s="69" t="s">
        <v>282</v>
      </c>
      <c r="H173" s="92">
        <v>156667297</v>
      </c>
      <c r="I173" s="92">
        <f t="shared" si="3"/>
        <v>156667297</v>
      </c>
      <c r="J173" s="67" t="s">
        <v>188</v>
      </c>
      <c r="K173" s="67" t="s">
        <v>173</v>
      </c>
      <c r="L173" s="94" t="s">
        <v>436</v>
      </c>
    </row>
    <row r="174" spans="2:12" s="82" customFormat="1" ht="62.25" customHeight="1">
      <c r="B174" s="64" t="s">
        <v>326</v>
      </c>
      <c r="C174" s="75" t="s">
        <v>514</v>
      </c>
      <c r="D174" s="74">
        <v>42185</v>
      </c>
      <c r="E174" s="84">
        <v>3</v>
      </c>
      <c r="F174" s="81" t="s">
        <v>186</v>
      </c>
      <c r="G174" s="69" t="s">
        <v>282</v>
      </c>
      <c r="H174" s="92">
        <f>300000000-27942473</f>
        <v>272057527</v>
      </c>
      <c r="I174" s="92">
        <f t="shared" si="3"/>
        <v>272057527</v>
      </c>
      <c r="J174" s="67" t="s">
        <v>188</v>
      </c>
      <c r="K174" s="67" t="s">
        <v>173</v>
      </c>
      <c r="L174" s="94" t="s">
        <v>311</v>
      </c>
    </row>
    <row r="175" spans="2:12" s="82" customFormat="1" ht="62.25" customHeight="1">
      <c r="B175" s="64" t="s">
        <v>321</v>
      </c>
      <c r="C175" s="75" t="s">
        <v>515</v>
      </c>
      <c r="D175" s="74">
        <v>42156</v>
      </c>
      <c r="E175" s="84">
        <v>2</v>
      </c>
      <c r="F175" s="102" t="s">
        <v>242</v>
      </c>
      <c r="G175" s="69" t="s">
        <v>282</v>
      </c>
      <c r="H175" s="92">
        <v>46000000</v>
      </c>
      <c r="I175" s="92">
        <f t="shared" si="3"/>
        <v>46000000</v>
      </c>
      <c r="J175" s="67" t="s">
        <v>188</v>
      </c>
      <c r="K175" s="67" t="s">
        <v>173</v>
      </c>
      <c r="L175" s="94" t="s">
        <v>531</v>
      </c>
    </row>
    <row r="176" spans="2:12" s="82" customFormat="1" ht="62.25" customHeight="1">
      <c r="B176" s="89">
        <v>42301500</v>
      </c>
      <c r="C176" s="75" t="s">
        <v>516</v>
      </c>
      <c r="D176" s="74">
        <v>42146</v>
      </c>
      <c r="E176" s="84">
        <v>1</v>
      </c>
      <c r="F176" s="89" t="s">
        <v>179</v>
      </c>
      <c r="G176" s="69" t="s">
        <v>282</v>
      </c>
      <c r="H176" s="92">
        <f>28500000-1634400</f>
        <v>26865600</v>
      </c>
      <c r="I176" s="92">
        <f t="shared" si="3"/>
        <v>26865600</v>
      </c>
      <c r="J176" s="67" t="s">
        <v>188</v>
      </c>
      <c r="K176" s="67" t="s">
        <v>173</v>
      </c>
      <c r="L176" s="94" t="s">
        <v>556</v>
      </c>
    </row>
    <row r="177" spans="2:12" s="82" customFormat="1" ht="62.25" customHeight="1">
      <c r="B177" s="89" t="s">
        <v>526</v>
      </c>
      <c r="C177" s="75" t="s">
        <v>517</v>
      </c>
      <c r="D177" s="74">
        <v>42194</v>
      </c>
      <c r="E177" s="84">
        <v>1</v>
      </c>
      <c r="F177" s="89" t="s">
        <v>179</v>
      </c>
      <c r="G177" s="69" t="s">
        <v>282</v>
      </c>
      <c r="H177" s="92">
        <f>21500000-67003-19474917</f>
        <v>1958080</v>
      </c>
      <c r="I177" s="92">
        <f t="shared" si="3"/>
        <v>1958080</v>
      </c>
      <c r="J177" s="67" t="s">
        <v>188</v>
      </c>
      <c r="K177" s="67" t="s">
        <v>173</v>
      </c>
      <c r="L177" s="94" t="s">
        <v>556</v>
      </c>
    </row>
    <row r="178" spans="2:12" s="82" customFormat="1" ht="62.25" customHeight="1">
      <c r="B178" s="89" t="s">
        <v>519</v>
      </c>
      <c r="C178" s="75" t="s">
        <v>518</v>
      </c>
      <c r="D178" s="102" t="s">
        <v>173</v>
      </c>
      <c r="E178" s="102" t="s">
        <v>173</v>
      </c>
      <c r="F178" s="102" t="s">
        <v>173</v>
      </c>
      <c r="G178" s="69" t="s">
        <v>282</v>
      </c>
      <c r="H178" s="92">
        <f>400000000-36992912</f>
        <v>363007088</v>
      </c>
      <c r="I178" s="92">
        <f t="shared" si="3"/>
        <v>363007088</v>
      </c>
      <c r="J178" s="67" t="s">
        <v>188</v>
      </c>
      <c r="K178" s="67" t="s">
        <v>173</v>
      </c>
      <c r="L178" s="94" t="s">
        <v>531</v>
      </c>
    </row>
    <row r="179" spans="2:12" s="82" customFormat="1" ht="62.25" customHeight="1">
      <c r="B179" s="89">
        <v>39121321</v>
      </c>
      <c r="C179" s="75" t="s">
        <v>532</v>
      </c>
      <c r="D179" s="74">
        <v>42194</v>
      </c>
      <c r="E179" s="102">
        <v>5</v>
      </c>
      <c r="F179" s="89" t="s">
        <v>179</v>
      </c>
      <c r="G179" s="69" t="s">
        <v>282</v>
      </c>
      <c r="H179" s="92">
        <f>25000000-173839-1524081</f>
        <v>23302080</v>
      </c>
      <c r="I179" s="92">
        <f t="shared" si="3"/>
        <v>23302080</v>
      </c>
      <c r="J179" s="67" t="s">
        <v>188</v>
      </c>
      <c r="K179" s="67" t="s">
        <v>173</v>
      </c>
      <c r="L179" s="94" t="s">
        <v>556</v>
      </c>
    </row>
    <row r="180" spans="2:12" s="82" customFormat="1" ht="62.25" customHeight="1">
      <c r="B180" s="74" t="s">
        <v>415</v>
      </c>
      <c r="C180" s="75" t="s">
        <v>525</v>
      </c>
      <c r="D180" s="74">
        <v>42153</v>
      </c>
      <c r="E180" s="84">
        <v>1</v>
      </c>
      <c r="F180" s="102" t="s">
        <v>242</v>
      </c>
      <c r="G180" s="69" t="s">
        <v>282</v>
      </c>
      <c r="H180" s="92">
        <v>7731197</v>
      </c>
      <c r="I180" s="92">
        <f t="shared" si="3"/>
        <v>7731197</v>
      </c>
      <c r="J180" s="67" t="s">
        <v>188</v>
      </c>
      <c r="K180" s="67" t="s">
        <v>173</v>
      </c>
      <c r="L180" s="94" t="s">
        <v>436</v>
      </c>
    </row>
    <row r="181" spans="2:12" s="82" customFormat="1" ht="62.25" customHeight="1">
      <c r="B181" s="87">
        <v>78111800</v>
      </c>
      <c r="C181" s="75" t="s">
        <v>527</v>
      </c>
      <c r="D181" s="74">
        <v>42195</v>
      </c>
      <c r="E181" s="84">
        <v>6</v>
      </c>
      <c r="F181" s="89" t="s">
        <v>179</v>
      </c>
      <c r="G181" s="69" t="s">
        <v>282</v>
      </c>
      <c r="H181" s="92">
        <f>25000000-970000-8030000</f>
        <v>16000000</v>
      </c>
      <c r="I181" s="92">
        <f t="shared" si="3"/>
        <v>16000000</v>
      </c>
      <c r="J181" s="67" t="s">
        <v>188</v>
      </c>
      <c r="K181" s="67" t="s">
        <v>173</v>
      </c>
      <c r="L181" s="94" t="s">
        <v>556</v>
      </c>
    </row>
    <row r="182" spans="2:12" s="82" customFormat="1" ht="62.25" customHeight="1">
      <c r="B182" s="87" t="s">
        <v>321</v>
      </c>
      <c r="C182" s="75" t="s">
        <v>529</v>
      </c>
      <c r="D182" s="74">
        <v>42200</v>
      </c>
      <c r="E182" s="84">
        <v>2</v>
      </c>
      <c r="F182" s="89" t="s">
        <v>286</v>
      </c>
      <c r="G182" s="69" t="s">
        <v>282</v>
      </c>
      <c r="H182" s="92">
        <f>150000000-1</f>
        <v>149999999</v>
      </c>
      <c r="I182" s="92">
        <f t="shared" si="3"/>
        <v>149999999</v>
      </c>
      <c r="J182" s="67" t="s">
        <v>188</v>
      </c>
      <c r="K182" s="67" t="s">
        <v>173</v>
      </c>
      <c r="L182" s="94" t="s">
        <v>531</v>
      </c>
    </row>
    <row r="183" spans="2:12" s="82" customFormat="1" ht="62.25" customHeight="1">
      <c r="B183" s="87" t="s">
        <v>321</v>
      </c>
      <c r="C183" s="75" t="s">
        <v>557</v>
      </c>
      <c r="D183" s="74">
        <v>42244</v>
      </c>
      <c r="E183" s="84">
        <v>3</v>
      </c>
      <c r="F183" s="89" t="s">
        <v>286</v>
      </c>
      <c r="G183" s="69" t="s">
        <v>282</v>
      </c>
      <c r="H183" s="92">
        <f>103666600+50000000-82635</f>
        <v>153583965</v>
      </c>
      <c r="I183" s="92">
        <f t="shared" si="3"/>
        <v>153583965</v>
      </c>
      <c r="J183" s="67" t="s">
        <v>188</v>
      </c>
      <c r="K183" s="67" t="s">
        <v>173</v>
      </c>
      <c r="L183" s="94" t="s">
        <v>531</v>
      </c>
    </row>
    <row r="184" spans="2:12" s="82" customFormat="1" ht="62.25" customHeight="1">
      <c r="B184" s="89">
        <v>50192702</v>
      </c>
      <c r="C184" s="75" t="s">
        <v>537</v>
      </c>
      <c r="D184" s="74">
        <v>42226</v>
      </c>
      <c r="E184" s="84">
        <v>8</v>
      </c>
      <c r="F184" s="89" t="s">
        <v>242</v>
      </c>
      <c r="G184" s="69" t="s">
        <v>282</v>
      </c>
      <c r="H184" s="92">
        <v>5000000</v>
      </c>
      <c r="I184" s="92">
        <f t="shared" si="3"/>
        <v>5000000</v>
      </c>
      <c r="J184" s="67" t="s">
        <v>188</v>
      </c>
      <c r="K184" s="67" t="s">
        <v>173</v>
      </c>
      <c r="L184" s="94" t="s">
        <v>538</v>
      </c>
    </row>
    <row r="185" spans="2:12" s="82" customFormat="1" ht="62.25" customHeight="1">
      <c r="B185" s="89">
        <v>43232311</v>
      </c>
      <c r="C185" s="75" t="s">
        <v>539</v>
      </c>
      <c r="D185" s="74">
        <v>42244</v>
      </c>
      <c r="E185" s="84">
        <v>9</v>
      </c>
      <c r="F185" s="102" t="s">
        <v>242</v>
      </c>
      <c r="G185" s="69" t="s">
        <v>282</v>
      </c>
      <c r="H185" s="92">
        <f>44583945-596397</f>
        <v>43987548</v>
      </c>
      <c r="I185" s="92">
        <f t="shared" si="3"/>
        <v>43987548</v>
      </c>
      <c r="J185" s="67" t="s">
        <v>188</v>
      </c>
      <c r="K185" s="67" t="s">
        <v>173</v>
      </c>
      <c r="L185" s="94" t="s">
        <v>531</v>
      </c>
    </row>
    <row r="186" spans="2:12" s="82" customFormat="1" ht="62.25" customHeight="1">
      <c r="B186" s="89">
        <v>56101510</v>
      </c>
      <c r="C186" s="75" t="s">
        <v>540</v>
      </c>
      <c r="D186" s="74">
        <v>42286</v>
      </c>
      <c r="E186" s="84">
        <v>2</v>
      </c>
      <c r="F186" s="89" t="s">
        <v>179</v>
      </c>
      <c r="G186" s="69" t="s">
        <v>282</v>
      </c>
      <c r="H186" s="92">
        <f>20000000-5328122</f>
        <v>14671878</v>
      </c>
      <c r="I186" s="92">
        <f t="shared" si="3"/>
        <v>14671878</v>
      </c>
      <c r="J186" s="67" t="s">
        <v>188</v>
      </c>
      <c r="K186" s="67" t="s">
        <v>173</v>
      </c>
      <c r="L186" s="94" t="s">
        <v>436</v>
      </c>
    </row>
    <row r="187" spans="2:12" s="82" customFormat="1" ht="62.25" customHeight="1">
      <c r="B187" s="89" t="s">
        <v>322</v>
      </c>
      <c r="C187" s="75" t="s">
        <v>551</v>
      </c>
      <c r="D187" s="74">
        <v>42244</v>
      </c>
      <c r="E187" s="84">
        <v>3</v>
      </c>
      <c r="F187" s="89" t="s">
        <v>186</v>
      </c>
      <c r="G187" s="69" t="s">
        <v>282</v>
      </c>
      <c r="H187" s="106">
        <f>650000000-47000000</f>
        <v>603000000</v>
      </c>
      <c r="I187" s="92">
        <f t="shared" si="3"/>
        <v>603000000</v>
      </c>
      <c r="J187" s="67" t="s">
        <v>188</v>
      </c>
      <c r="K187" s="67" t="s">
        <v>173</v>
      </c>
      <c r="L187" s="94" t="s">
        <v>531</v>
      </c>
    </row>
    <row r="188" spans="2:12" s="82" customFormat="1" ht="62.25" customHeight="1">
      <c r="B188" s="74" t="s">
        <v>416</v>
      </c>
      <c r="C188" s="75" t="s">
        <v>554</v>
      </c>
      <c r="D188" s="74">
        <v>42246</v>
      </c>
      <c r="E188" s="84">
        <v>1</v>
      </c>
      <c r="F188" s="102" t="s">
        <v>242</v>
      </c>
      <c r="G188" s="69" t="s">
        <v>282</v>
      </c>
      <c r="H188" s="106">
        <f>16388041-61465</f>
        <v>16326576</v>
      </c>
      <c r="I188" s="92">
        <f t="shared" si="3"/>
        <v>16326576</v>
      </c>
      <c r="J188" s="67" t="s">
        <v>188</v>
      </c>
      <c r="K188" s="67" t="s">
        <v>173</v>
      </c>
      <c r="L188" s="94" t="s">
        <v>436</v>
      </c>
    </row>
    <row r="189" spans="2:12" s="82" customFormat="1" ht="62.25" customHeight="1">
      <c r="B189" s="87">
        <v>76111500</v>
      </c>
      <c r="C189" s="75" t="s">
        <v>555</v>
      </c>
      <c r="D189" s="74">
        <v>42246</v>
      </c>
      <c r="E189" s="84">
        <v>1</v>
      </c>
      <c r="F189" s="102" t="s">
        <v>242</v>
      </c>
      <c r="G189" s="69" t="s">
        <v>282</v>
      </c>
      <c r="H189" s="106">
        <v>5208750</v>
      </c>
      <c r="I189" s="92">
        <f t="shared" si="3"/>
        <v>5208750</v>
      </c>
      <c r="J189" s="67" t="s">
        <v>188</v>
      </c>
      <c r="K189" s="67" t="s">
        <v>173</v>
      </c>
      <c r="L189" s="94" t="s">
        <v>436</v>
      </c>
    </row>
    <row r="190" spans="2:12" s="82" customFormat="1" ht="62.25" customHeight="1">
      <c r="B190" s="87">
        <v>42191600</v>
      </c>
      <c r="C190" s="75" t="s">
        <v>559</v>
      </c>
      <c r="D190" s="74">
        <v>42286</v>
      </c>
      <c r="E190" s="84">
        <v>2</v>
      </c>
      <c r="F190" s="89" t="s">
        <v>179</v>
      </c>
      <c r="G190" s="69" t="s">
        <v>282</v>
      </c>
      <c r="H190" s="92">
        <f>25000000-12000000-2545000</f>
        <v>10455000</v>
      </c>
      <c r="I190" s="92">
        <f t="shared" si="3"/>
        <v>10455000</v>
      </c>
      <c r="J190" s="67" t="s">
        <v>188</v>
      </c>
      <c r="K190" s="67" t="s">
        <v>173</v>
      </c>
      <c r="L190" s="94" t="s">
        <v>436</v>
      </c>
    </row>
    <row r="191" spans="2:12" s="82" customFormat="1" ht="62.25" customHeight="1">
      <c r="B191" s="87">
        <v>55121700</v>
      </c>
      <c r="C191" s="75" t="s">
        <v>560</v>
      </c>
      <c r="D191" s="74">
        <v>42286</v>
      </c>
      <c r="E191" s="84">
        <v>2</v>
      </c>
      <c r="F191" s="89" t="s">
        <v>179</v>
      </c>
      <c r="G191" s="69" t="s">
        <v>282</v>
      </c>
      <c r="H191" s="92">
        <f>20000000-9821000</f>
        <v>10179000</v>
      </c>
      <c r="I191" s="92">
        <f t="shared" si="3"/>
        <v>10179000</v>
      </c>
      <c r="J191" s="67" t="s">
        <v>188</v>
      </c>
      <c r="K191" s="67" t="s">
        <v>173</v>
      </c>
      <c r="L191" s="94" t="s">
        <v>436</v>
      </c>
    </row>
    <row r="192" spans="2:12" s="82" customFormat="1" ht="62.25" customHeight="1">
      <c r="B192" s="87">
        <v>51121700</v>
      </c>
      <c r="C192" s="75" t="s">
        <v>562</v>
      </c>
      <c r="D192" s="74">
        <v>42292</v>
      </c>
      <c r="E192" s="84">
        <v>2</v>
      </c>
      <c r="F192" s="89" t="s">
        <v>179</v>
      </c>
      <c r="G192" s="69" t="s">
        <v>282</v>
      </c>
      <c r="H192" s="92">
        <f>6850000+3000000-941200</f>
        <v>8908800</v>
      </c>
      <c r="I192" s="92">
        <f t="shared" si="3"/>
        <v>8908800</v>
      </c>
      <c r="J192" s="67" t="s">
        <v>188</v>
      </c>
      <c r="K192" s="67" t="s">
        <v>173</v>
      </c>
      <c r="L192" s="94" t="s">
        <v>436</v>
      </c>
    </row>
    <row r="193" spans="2:12" s="82" customFormat="1" ht="62.25" customHeight="1">
      <c r="B193" s="87">
        <v>55101500</v>
      </c>
      <c r="C193" s="75" t="s">
        <v>563</v>
      </c>
      <c r="D193" s="74">
        <v>42290</v>
      </c>
      <c r="E193" s="84">
        <v>1</v>
      </c>
      <c r="F193" s="102" t="s">
        <v>242</v>
      </c>
      <c r="G193" s="69" t="s">
        <v>282</v>
      </c>
      <c r="H193" s="92">
        <v>970000</v>
      </c>
      <c r="I193" s="92">
        <f t="shared" si="3"/>
        <v>970000</v>
      </c>
      <c r="J193" s="67" t="s">
        <v>188</v>
      </c>
      <c r="K193" s="67" t="s">
        <v>173</v>
      </c>
      <c r="L193" s="94" t="s">
        <v>556</v>
      </c>
    </row>
    <row r="194" spans="2:12" s="82" customFormat="1" ht="62.25" customHeight="1">
      <c r="B194" s="87">
        <v>50192702</v>
      </c>
      <c r="C194" s="75" t="s">
        <v>567</v>
      </c>
      <c r="D194" s="74">
        <v>42351</v>
      </c>
      <c r="E194" s="84" t="s">
        <v>173</v>
      </c>
      <c r="F194" s="102" t="s">
        <v>242</v>
      </c>
      <c r="G194" s="69" t="s">
        <v>282</v>
      </c>
      <c r="H194" s="92">
        <v>5000000</v>
      </c>
      <c r="I194" s="92">
        <f t="shared" si="3"/>
        <v>5000000</v>
      </c>
      <c r="J194" s="67" t="s">
        <v>188</v>
      </c>
      <c r="K194" s="67" t="s">
        <v>173</v>
      </c>
      <c r="L194" s="94" t="s">
        <v>538</v>
      </c>
    </row>
    <row r="195" spans="2:12" s="82" customFormat="1" ht="62.25" customHeight="1">
      <c r="B195" s="87" t="s">
        <v>574</v>
      </c>
      <c r="C195" s="75" t="s">
        <v>568</v>
      </c>
      <c r="D195" s="74">
        <v>42297</v>
      </c>
      <c r="E195" s="84">
        <v>1</v>
      </c>
      <c r="F195" s="89" t="s">
        <v>179</v>
      </c>
      <c r="G195" s="69" t="s">
        <v>282</v>
      </c>
      <c r="H195" s="92">
        <v>14000000</v>
      </c>
      <c r="I195" s="92">
        <f t="shared" si="3"/>
        <v>14000000</v>
      </c>
      <c r="J195" s="67" t="s">
        <v>188</v>
      </c>
      <c r="K195" s="67" t="s">
        <v>173</v>
      </c>
      <c r="L195" s="94" t="s">
        <v>531</v>
      </c>
    </row>
    <row r="196" spans="2:12" s="82" customFormat="1" ht="62.25" customHeight="1">
      <c r="B196" s="87">
        <v>46181500</v>
      </c>
      <c r="C196" s="68" t="s">
        <v>569</v>
      </c>
      <c r="D196" s="74">
        <v>42293</v>
      </c>
      <c r="E196" s="84" t="s">
        <v>173</v>
      </c>
      <c r="F196" s="102" t="s">
        <v>242</v>
      </c>
      <c r="G196" s="69" t="s">
        <v>282</v>
      </c>
      <c r="H196" s="92">
        <v>240000000</v>
      </c>
      <c r="I196" s="92">
        <f t="shared" si="3"/>
        <v>240000000</v>
      </c>
      <c r="J196" s="67" t="s">
        <v>188</v>
      </c>
      <c r="K196" s="67" t="s">
        <v>173</v>
      </c>
      <c r="L196" s="94" t="s">
        <v>310</v>
      </c>
    </row>
    <row r="197" spans="2:12" s="82" customFormat="1" ht="62.25" customHeight="1">
      <c r="B197" s="87">
        <v>46181600</v>
      </c>
      <c r="C197" s="75" t="s">
        <v>570</v>
      </c>
      <c r="D197" s="74">
        <v>42293</v>
      </c>
      <c r="E197" s="84" t="s">
        <v>173</v>
      </c>
      <c r="F197" s="102" t="s">
        <v>242</v>
      </c>
      <c r="G197" s="69" t="s">
        <v>282</v>
      </c>
      <c r="H197" s="92">
        <v>162450000</v>
      </c>
      <c r="I197" s="92">
        <f t="shared" si="3"/>
        <v>162450000</v>
      </c>
      <c r="J197" s="67" t="s">
        <v>188</v>
      </c>
      <c r="K197" s="67" t="s">
        <v>173</v>
      </c>
      <c r="L197" s="94" t="s">
        <v>310</v>
      </c>
    </row>
    <row r="198" spans="2:12" s="82" customFormat="1" ht="62.25" customHeight="1">
      <c r="B198" s="87" t="s">
        <v>576</v>
      </c>
      <c r="C198" s="75" t="s">
        <v>571</v>
      </c>
      <c r="D198" s="74">
        <v>42303</v>
      </c>
      <c r="E198" s="84">
        <v>1</v>
      </c>
      <c r="F198" s="102" t="s">
        <v>179</v>
      </c>
      <c r="G198" s="69" t="s">
        <v>282</v>
      </c>
      <c r="H198" s="92">
        <f>19474917+1877217-2172134</f>
        <v>19180000</v>
      </c>
      <c r="I198" s="92">
        <f t="shared" si="3"/>
        <v>19180000</v>
      </c>
      <c r="J198" s="67" t="s">
        <v>188</v>
      </c>
      <c r="K198" s="67" t="s">
        <v>173</v>
      </c>
      <c r="L198" s="94" t="s">
        <v>556</v>
      </c>
    </row>
    <row r="199" spans="2:12" s="82" customFormat="1" ht="62.25" customHeight="1">
      <c r="B199" s="87" t="s">
        <v>575</v>
      </c>
      <c r="C199" s="75" t="s">
        <v>573</v>
      </c>
      <c r="D199" s="74">
        <v>42300</v>
      </c>
      <c r="E199" s="84">
        <v>1</v>
      </c>
      <c r="F199" s="102" t="s">
        <v>325</v>
      </c>
      <c r="G199" s="69" t="s">
        <v>282</v>
      </c>
      <c r="H199" s="92">
        <f>22000000-13608562</f>
        <v>8391438</v>
      </c>
      <c r="I199" s="92">
        <f t="shared" si="3"/>
        <v>8391438</v>
      </c>
      <c r="J199" s="67" t="s">
        <v>188</v>
      </c>
      <c r="K199" s="67" t="s">
        <v>173</v>
      </c>
      <c r="L199" s="94" t="s">
        <v>436</v>
      </c>
    </row>
    <row r="200" spans="2:12" s="82" customFormat="1" ht="62.25" customHeight="1">
      <c r="B200" s="87">
        <v>50192702</v>
      </c>
      <c r="C200" s="75" t="s">
        <v>577</v>
      </c>
      <c r="D200" s="74">
        <v>42339</v>
      </c>
      <c r="E200" s="84">
        <v>3</v>
      </c>
      <c r="F200" s="102" t="s">
        <v>179</v>
      </c>
      <c r="G200" s="69" t="s">
        <v>282</v>
      </c>
      <c r="H200" s="92">
        <f>28550780</f>
        <v>28550780</v>
      </c>
      <c r="I200" s="92">
        <f t="shared" si="3"/>
        <v>28550780</v>
      </c>
      <c r="J200" s="67" t="s">
        <v>188</v>
      </c>
      <c r="K200" s="67" t="s">
        <v>173</v>
      </c>
      <c r="L200" s="94" t="s">
        <v>538</v>
      </c>
    </row>
    <row r="201" spans="2:12" s="82" customFormat="1" ht="62.25" customHeight="1">
      <c r="B201" s="89" t="s">
        <v>315</v>
      </c>
      <c r="C201" s="75" t="s">
        <v>578</v>
      </c>
      <c r="D201" s="74">
        <v>42349</v>
      </c>
      <c r="E201" s="84">
        <v>6</v>
      </c>
      <c r="F201" s="102" t="s">
        <v>242</v>
      </c>
      <c r="G201" s="69" t="s">
        <v>282</v>
      </c>
      <c r="H201" s="92">
        <v>117258500</v>
      </c>
      <c r="I201" s="92">
        <f t="shared" si="3"/>
        <v>117258500</v>
      </c>
      <c r="J201" s="67" t="s">
        <v>188</v>
      </c>
      <c r="K201" s="67" t="s">
        <v>173</v>
      </c>
      <c r="L201" s="94" t="s">
        <v>436</v>
      </c>
    </row>
    <row r="202" spans="2:12" s="82" customFormat="1" ht="62.25" customHeight="1">
      <c r="B202" s="89" t="s">
        <v>315</v>
      </c>
      <c r="C202" s="75" t="s">
        <v>579</v>
      </c>
      <c r="D202" s="74">
        <v>42349</v>
      </c>
      <c r="E202" s="84">
        <v>6</v>
      </c>
      <c r="F202" s="102" t="s">
        <v>242</v>
      </c>
      <c r="G202" s="69" t="s">
        <v>282</v>
      </c>
      <c r="H202" s="92">
        <v>46741500</v>
      </c>
      <c r="I202" s="92">
        <f t="shared" si="3"/>
        <v>46741500</v>
      </c>
      <c r="J202" s="67" t="s">
        <v>188</v>
      </c>
      <c r="K202" s="67" t="s">
        <v>173</v>
      </c>
      <c r="L202" s="94" t="s">
        <v>436</v>
      </c>
    </row>
    <row r="203" spans="2:12" s="82" customFormat="1" ht="62.25" customHeight="1">
      <c r="B203" s="87">
        <v>55121700</v>
      </c>
      <c r="C203" s="75" t="s">
        <v>583</v>
      </c>
      <c r="D203" s="74">
        <v>42340</v>
      </c>
      <c r="E203" s="84">
        <v>1</v>
      </c>
      <c r="F203" s="102" t="s">
        <v>242</v>
      </c>
      <c r="G203" s="69" t="s">
        <v>282</v>
      </c>
      <c r="H203" s="92">
        <v>5000000</v>
      </c>
      <c r="I203" s="92">
        <f t="shared" si="3"/>
        <v>5000000</v>
      </c>
      <c r="J203" s="67" t="s">
        <v>188</v>
      </c>
      <c r="K203" s="67" t="s">
        <v>173</v>
      </c>
      <c r="L203" s="94" t="s">
        <v>436</v>
      </c>
    </row>
    <row r="204" spans="2:12" s="82" customFormat="1" ht="62.25" customHeight="1">
      <c r="B204" s="89">
        <v>15101500</v>
      </c>
      <c r="C204" s="75" t="s">
        <v>582</v>
      </c>
      <c r="D204" s="74">
        <v>42334</v>
      </c>
      <c r="E204" s="84">
        <v>1</v>
      </c>
      <c r="F204" s="102" t="s">
        <v>242</v>
      </c>
      <c r="G204" s="69" t="s">
        <v>282</v>
      </c>
      <c r="H204" s="92">
        <v>2000000</v>
      </c>
      <c r="I204" s="92">
        <f t="shared" si="3"/>
        <v>2000000</v>
      </c>
      <c r="J204" s="67" t="s">
        <v>188</v>
      </c>
      <c r="K204" s="67" t="s">
        <v>173</v>
      </c>
      <c r="L204" s="94" t="s">
        <v>538</v>
      </c>
    </row>
    <row r="205" spans="2:12" s="82" customFormat="1" ht="62.25" customHeight="1">
      <c r="B205" s="65">
        <v>70122000</v>
      </c>
      <c r="C205" s="75" t="s">
        <v>584</v>
      </c>
      <c r="D205" s="74">
        <v>42341</v>
      </c>
      <c r="E205" s="84">
        <v>1</v>
      </c>
      <c r="F205" s="102" t="s">
        <v>242</v>
      </c>
      <c r="G205" s="69" t="s">
        <v>282</v>
      </c>
      <c r="H205" s="92">
        <v>3500000</v>
      </c>
      <c r="I205" s="92">
        <f t="shared" si="3"/>
        <v>3500000</v>
      </c>
      <c r="J205" s="67" t="s">
        <v>188</v>
      </c>
      <c r="K205" s="67" t="s">
        <v>173</v>
      </c>
      <c r="L205" s="94" t="s">
        <v>538</v>
      </c>
    </row>
    <row r="206" spans="2:12" s="82" customFormat="1" ht="62.25" customHeight="1">
      <c r="B206" s="89">
        <v>81112100</v>
      </c>
      <c r="C206" s="75" t="s">
        <v>581</v>
      </c>
      <c r="D206" s="74">
        <v>42335</v>
      </c>
      <c r="E206" s="84">
        <v>1</v>
      </c>
      <c r="F206" s="102" t="s">
        <v>242</v>
      </c>
      <c r="G206" s="69" t="s">
        <v>282</v>
      </c>
      <c r="H206" s="92">
        <v>24128000</v>
      </c>
      <c r="I206" s="92">
        <f t="shared" si="3"/>
        <v>24128000</v>
      </c>
      <c r="J206" s="67" t="s">
        <v>188</v>
      </c>
      <c r="K206" s="67" t="s">
        <v>173</v>
      </c>
      <c r="L206" s="94" t="s">
        <v>531</v>
      </c>
    </row>
    <row r="207" spans="2:12" s="82" customFormat="1" ht="62.25" customHeight="1">
      <c r="B207" s="74" t="s">
        <v>435</v>
      </c>
      <c r="C207" s="75" t="s">
        <v>594</v>
      </c>
      <c r="D207" s="74">
        <v>42354</v>
      </c>
      <c r="E207" s="84" t="s">
        <v>173</v>
      </c>
      <c r="F207" s="89" t="s">
        <v>242</v>
      </c>
      <c r="G207" s="69" t="s">
        <v>282</v>
      </c>
      <c r="H207" s="92">
        <v>160120563</v>
      </c>
      <c r="I207" s="92">
        <f t="shared" si="3"/>
        <v>160120563</v>
      </c>
      <c r="J207" s="67" t="s">
        <v>188</v>
      </c>
      <c r="K207" s="67" t="s">
        <v>173</v>
      </c>
      <c r="L207" s="94" t="s">
        <v>538</v>
      </c>
    </row>
    <row r="208" spans="2:12" s="82" customFormat="1" ht="62.25" customHeight="1">
      <c r="B208" s="74" t="s">
        <v>435</v>
      </c>
      <c r="C208" s="75" t="s">
        <v>603</v>
      </c>
      <c r="D208" s="74">
        <v>42354</v>
      </c>
      <c r="E208" s="84" t="s">
        <v>173</v>
      </c>
      <c r="F208" s="89" t="s">
        <v>242</v>
      </c>
      <c r="G208" s="69" t="s">
        <v>282</v>
      </c>
      <c r="H208" s="92">
        <v>161925132</v>
      </c>
      <c r="I208" s="92">
        <f t="shared" si="3"/>
        <v>161925132</v>
      </c>
      <c r="J208" s="67" t="s">
        <v>188</v>
      </c>
      <c r="K208" s="67" t="s">
        <v>173</v>
      </c>
      <c r="L208" s="94" t="s">
        <v>538</v>
      </c>
    </row>
    <row r="209" spans="2:12" s="82" customFormat="1" ht="62.25" customHeight="1">
      <c r="B209" s="74" t="s">
        <v>435</v>
      </c>
      <c r="C209" s="75" t="s">
        <v>604</v>
      </c>
      <c r="D209" s="74">
        <v>42354</v>
      </c>
      <c r="E209" s="84" t="s">
        <v>173</v>
      </c>
      <c r="F209" s="89" t="s">
        <v>242</v>
      </c>
      <c r="G209" s="69" t="s">
        <v>282</v>
      </c>
      <c r="H209" s="92">
        <v>451044775</v>
      </c>
      <c r="I209" s="92">
        <f t="shared" si="3"/>
        <v>451044775</v>
      </c>
      <c r="J209" s="67" t="s">
        <v>188</v>
      </c>
      <c r="K209" s="67" t="s">
        <v>173</v>
      </c>
      <c r="L209" s="94" t="s">
        <v>538</v>
      </c>
    </row>
    <row r="210" spans="2:12" s="82" customFormat="1" ht="62.25" customHeight="1">
      <c r="B210" s="87">
        <v>48101516</v>
      </c>
      <c r="C210" s="75" t="s">
        <v>595</v>
      </c>
      <c r="D210" s="74">
        <v>42354</v>
      </c>
      <c r="E210" s="84">
        <v>2</v>
      </c>
      <c r="F210" s="89" t="s">
        <v>179</v>
      </c>
      <c r="G210" s="69" t="s">
        <v>282</v>
      </c>
      <c r="H210" s="92">
        <f>28162000-440</f>
        <v>28161560</v>
      </c>
      <c r="I210" s="92">
        <f aca="true" t="shared" si="4" ref="I210:I217">H210</f>
        <v>28161560</v>
      </c>
      <c r="J210" s="67" t="s">
        <v>188</v>
      </c>
      <c r="K210" s="67" t="s">
        <v>173</v>
      </c>
      <c r="L210" s="94" t="s">
        <v>436</v>
      </c>
    </row>
    <row r="211" spans="2:12" s="82" customFormat="1" ht="62.25" customHeight="1">
      <c r="B211" s="87">
        <v>80111600</v>
      </c>
      <c r="C211" s="68" t="s">
        <v>597</v>
      </c>
      <c r="D211" s="74">
        <v>42359</v>
      </c>
      <c r="E211" s="84">
        <v>2</v>
      </c>
      <c r="F211" s="89" t="s">
        <v>177</v>
      </c>
      <c r="G211" s="69" t="s">
        <v>282</v>
      </c>
      <c r="H211" s="92">
        <v>12600000</v>
      </c>
      <c r="I211" s="92">
        <f t="shared" si="4"/>
        <v>12600000</v>
      </c>
      <c r="J211" s="67" t="s">
        <v>188</v>
      </c>
      <c r="K211" s="67" t="s">
        <v>173</v>
      </c>
      <c r="L211" s="94" t="s">
        <v>538</v>
      </c>
    </row>
    <row r="212" spans="2:12" s="82" customFormat="1" ht="62.25" customHeight="1">
      <c r="B212" s="87">
        <v>49141500</v>
      </c>
      <c r="C212" s="68" t="s">
        <v>598</v>
      </c>
      <c r="D212" s="74">
        <v>42359</v>
      </c>
      <c r="E212" s="84" t="s">
        <v>173</v>
      </c>
      <c r="F212" s="89" t="s">
        <v>242</v>
      </c>
      <c r="G212" s="69" t="s">
        <v>282</v>
      </c>
      <c r="H212" s="92">
        <v>12490300</v>
      </c>
      <c r="I212" s="92">
        <f t="shared" si="4"/>
        <v>12490300</v>
      </c>
      <c r="J212" s="67" t="s">
        <v>188</v>
      </c>
      <c r="K212" s="67" t="s">
        <v>173</v>
      </c>
      <c r="L212" s="94" t="s">
        <v>310</v>
      </c>
    </row>
    <row r="213" spans="2:12" s="82" customFormat="1" ht="62.25" customHeight="1">
      <c r="B213" s="89">
        <v>46181500</v>
      </c>
      <c r="C213" s="68" t="s">
        <v>600</v>
      </c>
      <c r="D213" s="74">
        <v>42359</v>
      </c>
      <c r="E213" s="84" t="s">
        <v>173</v>
      </c>
      <c r="F213" s="89" t="s">
        <v>242</v>
      </c>
      <c r="G213" s="69" t="s">
        <v>282</v>
      </c>
      <c r="H213" s="92">
        <v>107144590</v>
      </c>
      <c r="I213" s="92">
        <f t="shared" si="4"/>
        <v>107144590</v>
      </c>
      <c r="J213" s="67" t="s">
        <v>188</v>
      </c>
      <c r="K213" s="67" t="s">
        <v>173</v>
      </c>
      <c r="L213" s="94" t="s">
        <v>310</v>
      </c>
    </row>
    <row r="214" spans="2:12" s="82" customFormat="1" ht="62.25" customHeight="1">
      <c r="B214" s="89">
        <v>46181600</v>
      </c>
      <c r="C214" s="68" t="s">
        <v>599</v>
      </c>
      <c r="D214" s="74">
        <v>42359</v>
      </c>
      <c r="E214" s="84" t="s">
        <v>173</v>
      </c>
      <c r="F214" s="89" t="s">
        <v>242</v>
      </c>
      <c r="G214" s="69" t="s">
        <v>282</v>
      </c>
      <c r="H214" s="92">
        <v>22000000</v>
      </c>
      <c r="I214" s="92">
        <f t="shared" si="4"/>
        <v>22000000</v>
      </c>
      <c r="J214" s="67" t="s">
        <v>188</v>
      </c>
      <c r="K214" s="67" t="s">
        <v>173</v>
      </c>
      <c r="L214" s="94" t="s">
        <v>310</v>
      </c>
    </row>
    <row r="215" spans="2:12" s="82" customFormat="1" ht="62.25" customHeight="1">
      <c r="B215" s="89">
        <v>46181518</v>
      </c>
      <c r="C215" s="68" t="s">
        <v>601</v>
      </c>
      <c r="D215" s="74">
        <v>42359</v>
      </c>
      <c r="E215" s="84" t="s">
        <v>173</v>
      </c>
      <c r="F215" s="89" t="s">
        <v>242</v>
      </c>
      <c r="G215" s="69" t="s">
        <v>282</v>
      </c>
      <c r="H215" s="92">
        <v>111500000</v>
      </c>
      <c r="I215" s="92">
        <f t="shared" si="4"/>
        <v>111500000</v>
      </c>
      <c r="J215" s="67" t="s">
        <v>188</v>
      </c>
      <c r="K215" s="67" t="s">
        <v>173</v>
      </c>
      <c r="L215" s="94" t="s">
        <v>310</v>
      </c>
    </row>
    <row r="216" spans="2:12" s="82" customFormat="1" ht="62.25" customHeight="1">
      <c r="B216" s="89">
        <v>78181500</v>
      </c>
      <c r="C216" s="68" t="s">
        <v>605</v>
      </c>
      <c r="D216" s="74">
        <v>42359</v>
      </c>
      <c r="E216" s="84" t="s">
        <v>173</v>
      </c>
      <c r="F216" s="89" t="s">
        <v>242</v>
      </c>
      <c r="G216" s="69" t="s">
        <v>282</v>
      </c>
      <c r="H216" s="92">
        <v>90000000</v>
      </c>
      <c r="I216" s="92">
        <f t="shared" si="4"/>
        <v>90000000</v>
      </c>
      <c r="J216" s="67" t="s">
        <v>188</v>
      </c>
      <c r="K216" s="67" t="s">
        <v>173</v>
      </c>
      <c r="L216" s="94" t="s">
        <v>538</v>
      </c>
    </row>
    <row r="217" spans="2:12" s="82" customFormat="1" ht="62.25" customHeight="1">
      <c r="B217" s="89">
        <v>46181500</v>
      </c>
      <c r="C217" s="75" t="s">
        <v>602</v>
      </c>
      <c r="D217" s="74">
        <v>42359</v>
      </c>
      <c r="E217" s="84">
        <v>1</v>
      </c>
      <c r="F217" s="89" t="s">
        <v>177</v>
      </c>
      <c r="G217" s="69" t="s">
        <v>282</v>
      </c>
      <c r="H217" s="92">
        <v>47800000</v>
      </c>
      <c r="I217" s="92">
        <f t="shared" si="4"/>
        <v>47800000</v>
      </c>
      <c r="J217" s="67" t="s">
        <v>188</v>
      </c>
      <c r="K217" s="67" t="s">
        <v>173</v>
      </c>
      <c r="L217" s="94" t="s">
        <v>310</v>
      </c>
    </row>
    <row r="218" spans="2:12" s="72" customFormat="1" ht="50.25" customHeight="1">
      <c r="B218" s="89">
        <v>24111812</v>
      </c>
      <c r="C218" s="63" t="s">
        <v>309</v>
      </c>
      <c r="D218" s="74">
        <v>42107</v>
      </c>
      <c r="E218" s="84">
        <v>3</v>
      </c>
      <c r="F218" s="89" t="s">
        <v>179</v>
      </c>
      <c r="G218" s="69" t="s">
        <v>282</v>
      </c>
      <c r="H218" s="92">
        <f>10000000-1712960</f>
        <v>8287040</v>
      </c>
      <c r="I218" s="92">
        <f>H218</f>
        <v>8287040</v>
      </c>
      <c r="J218" s="67" t="s">
        <v>188</v>
      </c>
      <c r="K218" s="67" t="s">
        <v>173</v>
      </c>
      <c r="L218" s="94" t="s">
        <v>436</v>
      </c>
    </row>
    <row r="219" spans="2:12" s="72" customFormat="1" ht="50.25" customHeight="1">
      <c r="B219" s="64" t="s">
        <v>316</v>
      </c>
      <c r="C219" s="75" t="s">
        <v>238</v>
      </c>
      <c r="D219" s="74" t="s">
        <v>320</v>
      </c>
      <c r="E219" s="84">
        <v>12</v>
      </c>
      <c r="F219" s="89" t="s">
        <v>177</v>
      </c>
      <c r="G219" s="69" t="s">
        <v>282</v>
      </c>
      <c r="H219" s="92">
        <f>189393000+180000000+411751000+1055272000+585161000+511127000+225600000+80000000-5000000+1712960+11256000+1547724</f>
        <v>3247820684</v>
      </c>
      <c r="I219" s="92">
        <f>H219</f>
        <v>3247820684</v>
      </c>
      <c r="J219" s="67" t="s">
        <v>188</v>
      </c>
      <c r="K219" s="67" t="s">
        <v>173</v>
      </c>
      <c r="L219" s="94" t="s">
        <v>461</v>
      </c>
    </row>
    <row r="220" spans="2:12" s="72" customFormat="1" ht="50.25" customHeight="1">
      <c r="B220" s="89">
        <v>84111600</v>
      </c>
      <c r="C220" s="68" t="s">
        <v>533</v>
      </c>
      <c r="D220" s="74">
        <v>42231</v>
      </c>
      <c r="E220" s="84">
        <v>5</v>
      </c>
      <c r="F220" s="89" t="s">
        <v>179</v>
      </c>
      <c r="G220" s="69" t="s">
        <v>282</v>
      </c>
      <c r="H220" s="92">
        <f>10000000+11000000-11256000</f>
        <v>9744000</v>
      </c>
      <c r="I220" s="92">
        <f>H220</f>
        <v>9744000</v>
      </c>
      <c r="J220" s="67" t="s">
        <v>188</v>
      </c>
      <c r="K220" s="67" t="s">
        <v>173</v>
      </c>
      <c r="L220" s="94" t="s">
        <v>531</v>
      </c>
    </row>
    <row r="221" spans="2:12" s="72" customFormat="1" ht="50.25" customHeight="1">
      <c r="B221" s="89">
        <v>55121700</v>
      </c>
      <c r="C221" s="68" t="s">
        <v>561</v>
      </c>
      <c r="D221" s="74">
        <v>42277</v>
      </c>
      <c r="E221" s="84">
        <v>2</v>
      </c>
      <c r="F221" s="89" t="s">
        <v>179</v>
      </c>
      <c r="G221" s="69" t="s">
        <v>282</v>
      </c>
      <c r="H221" s="92">
        <f>5000000-1547724</f>
        <v>3452276</v>
      </c>
      <c r="I221" s="92">
        <f>H221</f>
        <v>3452276</v>
      </c>
      <c r="J221" s="67" t="s">
        <v>188</v>
      </c>
      <c r="K221" s="67" t="s">
        <v>173</v>
      </c>
      <c r="L221" s="94" t="s">
        <v>436</v>
      </c>
    </row>
    <row r="222" spans="2:12" s="82" customFormat="1" ht="15">
      <c r="B222" s="30"/>
      <c r="C222" s="91"/>
      <c r="D222" s="32"/>
      <c r="E222" s="22"/>
      <c r="F222" s="30"/>
      <c r="G222" s="30"/>
      <c r="H222" s="31"/>
      <c r="I222" s="31"/>
      <c r="J222" s="33"/>
      <c r="K222" s="33"/>
      <c r="L222" s="34"/>
    </row>
    <row r="223" spans="1:12" s="23" customFormat="1" ht="15">
      <c r="A223" s="82"/>
      <c r="B223" s="41" t="s">
        <v>284</v>
      </c>
      <c r="C223" s="58"/>
      <c r="D223" s="36"/>
      <c r="E223" s="37"/>
      <c r="F223" s="30"/>
      <c r="G223" s="30"/>
      <c r="H223" s="31"/>
      <c r="I223" s="31"/>
      <c r="J223" s="33"/>
      <c r="K223" s="33"/>
      <c r="L223" s="34"/>
    </row>
    <row r="224" spans="1:12" s="23" customFormat="1" ht="22.5">
      <c r="A224" s="82"/>
      <c r="B224" s="29" t="s">
        <v>249</v>
      </c>
      <c r="C224" s="60" t="s">
        <v>283</v>
      </c>
      <c r="D224" s="29" t="s">
        <v>257</v>
      </c>
      <c r="F224" s="30"/>
      <c r="G224" s="30"/>
      <c r="H224" s="31"/>
      <c r="I224" s="31"/>
      <c r="J224" s="33"/>
      <c r="K224" s="33"/>
      <c r="L224" s="34"/>
    </row>
    <row r="225" spans="1:12" s="23" customFormat="1" ht="78.75">
      <c r="A225" s="82"/>
      <c r="B225" s="85" t="s">
        <v>332</v>
      </c>
      <c r="C225" s="71">
        <v>46191605</v>
      </c>
      <c r="D225" s="66" t="s">
        <v>310</v>
      </c>
      <c r="F225" s="30"/>
      <c r="G225" s="30"/>
      <c r="H225" s="101"/>
      <c r="I225" s="31"/>
      <c r="J225" s="33"/>
      <c r="K225" s="33"/>
      <c r="L225" s="34"/>
    </row>
    <row r="226" spans="1:12" s="23" customFormat="1" ht="90">
      <c r="A226" s="82"/>
      <c r="B226" s="55" t="s">
        <v>333</v>
      </c>
      <c r="C226" s="71">
        <v>95121700</v>
      </c>
      <c r="D226" s="94" t="s">
        <v>538</v>
      </c>
      <c r="F226" s="30"/>
      <c r="G226" s="30"/>
      <c r="H226" s="31"/>
      <c r="I226" s="31"/>
      <c r="J226" s="33"/>
      <c r="K226" s="33"/>
      <c r="L226" s="34"/>
    </row>
    <row r="227" spans="1:12" s="23" customFormat="1" ht="90">
      <c r="A227" s="82"/>
      <c r="B227" s="55" t="s">
        <v>334</v>
      </c>
      <c r="C227" s="71" t="s">
        <v>459</v>
      </c>
      <c r="D227" s="94" t="s">
        <v>538</v>
      </c>
      <c r="F227" s="30"/>
      <c r="G227" s="30"/>
      <c r="H227" s="31"/>
      <c r="I227" s="31"/>
      <c r="J227" s="33"/>
      <c r="K227" s="33"/>
      <c r="L227" s="34"/>
    </row>
    <row r="228" spans="1:12" s="23" customFormat="1" ht="101.25">
      <c r="A228" s="82"/>
      <c r="B228" s="55" t="s">
        <v>335</v>
      </c>
      <c r="C228" s="71">
        <v>27112700</v>
      </c>
      <c r="D228" s="94" t="s">
        <v>538</v>
      </c>
      <c r="F228" s="30"/>
      <c r="G228" s="30"/>
      <c r="H228" s="31"/>
      <c r="I228" s="31"/>
      <c r="J228" s="33"/>
      <c r="K228" s="33"/>
      <c r="L228" s="34"/>
    </row>
    <row r="229" spans="1:12" s="23" customFormat="1" ht="90">
      <c r="A229" s="82"/>
      <c r="B229" s="55" t="s">
        <v>336</v>
      </c>
      <c r="C229" s="71">
        <v>56101500</v>
      </c>
      <c r="D229" s="94" t="s">
        <v>538</v>
      </c>
      <c r="F229" s="30"/>
      <c r="G229" s="30"/>
      <c r="H229" s="31"/>
      <c r="I229" s="31"/>
      <c r="J229" s="33"/>
      <c r="K229" s="33"/>
      <c r="L229" s="34"/>
    </row>
    <row r="230" spans="1:12" s="23" customFormat="1" ht="90">
      <c r="A230" s="82"/>
      <c r="B230" s="55" t="s">
        <v>337</v>
      </c>
      <c r="C230" s="71">
        <v>93151500</v>
      </c>
      <c r="D230" s="94" t="s">
        <v>538</v>
      </c>
      <c r="F230" s="30"/>
      <c r="G230" s="30"/>
      <c r="H230" s="31"/>
      <c r="I230" s="31"/>
      <c r="J230" s="33"/>
      <c r="K230" s="33"/>
      <c r="L230" s="34"/>
    </row>
    <row r="231" spans="1:12" s="23" customFormat="1" ht="90">
      <c r="A231" s="82"/>
      <c r="B231" s="55" t="s">
        <v>338</v>
      </c>
      <c r="C231" s="71">
        <v>86111600</v>
      </c>
      <c r="D231" s="94" t="s">
        <v>538</v>
      </c>
      <c r="F231" s="30"/>
      <c r="G231" s="30"/>
      <c r="H231" s="31"/>
      <c r="I231" s="31"/>
      <c r="J231" s="33"/>
      <c r="K231" s="33"/>
      <c r="L231" s="34"/>
    </row>
    <row r="232" spans="1:12" s="23" customFormat="1" ht="112.5">
      <c r="A232" s="82"/>
      <c r="B232" s="55" t="s">
        <v>339</v>
      </c>
      <c r="C232" s="71">
        <v>86101700</v>
      </c>
      <c r="D232" s="94" t="s">
        <v>538</v>
      </c>
      <c r="F232" s="30"/>
      <c r="G232" s="30"/>
      <c r="H232" s="31"/>
      <c r="I232" s="31"/>
      <c r="J232" s="33"/>
      <c r="K232" s="33"/>
      <c r="L232" s="34"/>
    </row>
    <row r="233" spans="1:12" s="23" customFormat="1" ht="90">
      <c r="A233" s="82"/>
      <c r="B233" s="55" t="s">
        <v>340</v>
      </c>
      <c r="C233" s="71">
        <v>43232400</v>
      </c>
      <c r="D233" s="94" t="s">
        <v>538</v>
      </c>
      <c r="F233" s="30"/>
      <c r="G233" s="30"/>
      <c r="H233" s="31"/>
      <c r="I233" s="31"/>
      <c r="J233" s="33"/>
      <c r="K233" s="33"/>
      <c r="L233" s="34"/>
    </row>
    <row r="234" spans="1:12" s="23" customFormat="1" ht="90">
      <c r="A234" s="82"/>
      <c r="B234" s="55" t="s">
        <v>341</v>
      </c>
      <c r="C234" s="71" t="s">
        <v>463</v>
      </c>
      <c r="D234" s="94" t="s">
        <v>538</v>
      </c>
      <c r="F234" s="30"/>
      <c r="G234" s="30"/>
      <c r="H234" s="31"/>
      <c r="I234" s="31"/>
      <c r="J234" s="33"/>
      <c r="K234" s="33"/>
      <c r="L234" s="34"/>
    </row>
    <row r="235" spans="1:12" s="23" customFormat="1" ht="202.5">
      <c r="A235" s="82"/>
      <c r="B235" s="55" t="s">
        <v>342</v>
      </c>
      <c r="C235" s="71" t="s">
        <v>445</v>
      </c>
      <c r="D235" s="66" t="s">
        <v>311</v>
      </c>
      <c r="F235" s="30"/>
      <c r="G235" s="30"/>
      <c r="H235" s="31"/>
      <c r="I235" s="31"/>
      <c r="J235" s="33"/>
      <c r="K235" s="33"/>
      <c r="L235" s="34"/>
    </row>
    <row r="236" spans="1:12" s="23" customFormat="1" ht="123.75">
      <c r="A236" s="82"/>
      <c r="B236" s="55" t="s">
        <v>343</v>
      </c>
      <c r="C236" s="71" t="s">
        <v>446</v>
      </c>
      <c r="D236" s="66" t="s">
        <v>311</v>
      </c>
      <c r="F236" s="30"/>
      <c r="G236" s="30"/>
      <c r="H236" s="31"/>
      <c r="I236" s="31"/>
      <c r="J236" s="33"/>
      <c r="K236" s="33"/>
      <c r="L236" s="34"/>
    </row>
    <row r="237" spans="1:12" s="23" customFormat="1" ht="157.5">
      <c r="A237" s="82"/>
      <c r="B237" s="55" t="s">
        <v>344</v>
      </c>
      <c r="C237" s="71" t="s">
        <v>447</v>
      </c>
      <c r="D237" s="66" t="s">
        <v>311</v>
      </c>
      <c r="F237" s="30"/>
      <c r="G237" s="30"/>
      <c r="H237" s="31"/>
      <c r="I237" s="31"/>
      <c r="J237" s="33"/>
      <c r="K237" s="33"/>
      <c r="L237" s="34"/>
    </row>
    <row r="238" spans="1:12" s="23" customFormat="1" ht="101.25">
      <c r="A238" s="82"/>
      <c r="B238" s="55" t="s">
        <v>345</v>
      </c>
      <c r="C238" s="86">
        <v>56121902</v>
      </c>
      <c r="D238" s="66" t="s">
        <v>311</v>
      </c>
      <c r="F238" s="30"/>
      <c r="G238" s="30"/>
      <c r="H238" s="31"/>
      <c r="I238" s="31"/>
      <c r="J238" s="33"/>
      <c r="K238" s="33"/>
      <c r="L238" s="34"/>
    </row>
    <row r="239" spans="1:12" s="23" customFormat="1" ht="123.75">
      <c r="A239" s="82"/>
      <c r="B239" s="55" t="s">
        <v>346</v>
      </c>
      <c r="C239" s="64" t="s">
        <v>446</v>
      </c>
      <c r="D239" s="66" t="s">
        <v>311</v>
      </c>
      <c r="F239" s="30"/>
      <c r="G239" s="30"/>
      <c r="H239" s="31"/>
      <c r="I239" s="31"/>
      <c r="J239" s="33"/>
      <c r="K239" s="33"/>
      <c r="L239" s="34"/>
    </row>
    <row r="240" spans="1:12" s="23" customFormat="1" ht="101.25">
      <c r="A240" s="82"/>
      <c r="B240" s="55" t="s">
        <v>347</v>
      </c>
      <c r="C240" s="86">
        <v>86111600</v>
      </c>
      <c r="D240" s="66" t="s">
        <v>311</v>
      </c>
      <c r="F240" s="30"/>
      <c r="G240" s="30"/>
      <c r="H240" s="31"/>
      <c r="I240" s="31"/>
      <c r="J240" s="33"/>
      <c r="K240" s="33"/>
      <c r="L240" s="34"/>
    </row>
    <row r="241" spans="1:12" s="23" customFormat="1" ht="157.5">
      <c r="A241" s="82"/>
      <c r="B241" s="55" t="s">
        <v>348</v>
      </c>
      <c r="C241" s="86">
        <v>72101500</v>
      </c>
      <c r="D241" s="66" t="s">
        <v>311</v>
      </c>
      <c r="F241" s="30"/>
      <c r="G241" s="30"/>
      <c r="H241" s="31"/>
      <c r="I241" s="31"/>
      <c r="J241" s="33"/>
      <c r="K241" s="33"/>
      <c r="L241" s="34"/>
    </row>
    <row r="242" spans="1:12" s="23" customFormat="1" ht="168.75">
      <c r="A242" s="82"/>
      <c r="B242" s="55" t="s">
        <v>349</v>
      </c>
      <c r="C242" s="71">
        <v>60141100</v>
      </c>
      <c r="D242" s="66" t="s">
        <v>311</v>
      </c>
      <c r="F242" s="30"/>
      <c r="G242" s="30"/>
      <c r="H242" s="31"/>
      <c r="I242" s="31"/>
      <c r="J242" s="33"/>
      <c r="K242" s="33"/>
      <c r="L242" s="34"/>
    </row>
    <row r="243" spans="1:12" s="23" customFormat="1" ht="101.25">
      <c r="A243" s="82"/>
      <c r="B243" s="55" t="s">
        <v>350</v>
      </c>
      <c r="C243" s="71" t="s">
        <v>448</v>
      </c>
      <c r="D243" s="66" t="s">
        <v>311</v>
      </c>
      <c r="F243" s="30"/>
      <c r="G243" s="30"/>
      <c r="H243" s="31"/>
      <c r="I243" s="31"/>
      <c r="J243" s="33"/>
      <c r="K243" s="33"/>
      <c r="L243" s="34"/>
    </row>
    <row r="244" spans="1:12" s="23" customFormat="1" ht="101.25">
      <c r="A244" s="82"/>
      <c r="B244" s="55" t="s">
        <v>351</v>
      </c>
      <c r="C244" s="71">
        <v>82121500</v>
      </c>
      <c r="D244" s="66" t="s">
        <v>311</v>
      </c>
      <c r="F244" s="30"/>
      <c r="G244" s="30"/>
      <c r="H244" s="31"/>
      <c r="I244" s="31"/>
      <c r="J244" s="33"/>
      <c r="K244" s="33"/>
      <c r="L244" s="34"/>
    </row>
    <row r="245" spans="1:12" s="23" customFormat="1" ht="101.25">
      <c r="A245" s="82"/>
      <c r="B245" s="55" t="s">
        <v>352</v>
      </c>
      <c r="C245" s="71" t="s">
        <v>449</v>
      </c>
      <c r="D245" s="66" t="s">
        <v>311</v>
      </c>
      <c r="F245" s="30"/>
      <c r="G245" s="30"/>
      <c r="H245" s="31"/>
      <c r="I245" s="31"/>
      <c r="J245" s="33"/>
      <c r="K245" s="33"/>
      <c r="L245" s="34"/>
    </row>
    <row r="246" spans="1:12" s="23" customFormat="1" ht="101.25">
      <c r="A246" s="82"/>
      <c r="B246" s="55" t="s">
        <v>353</v>
      </c>
      <c r="C246" s="71">
        <v>25101900</v>
      </c>
      <c r="D246" s="66" t="s">
        <v>311</v>
      </c>
      <c r="F246" s="30"/>
      <c r="G246" s="30"/>
      <c r="H246" s="31"/>
      <c r="I246" s="31"/>
      <c r="J246" s="33"/>
      <c r="K246" s="33"/>
      <c r="L246" s="34"/>
    </row>
    <row r="247" spans="1:12" s="23" customFormat="1" ht="101.25">
      <c r="A247" s="82"/>
      <c r="B247" s="55" t="s">
        <v>354</v>
      </c>
      <c r="C247" s="71" t="s">
        <v>317</v>
      </c>
      <c r="D247" s="66" t="s">
        <v>311</v>
      </c>
      <c r="F247" s="30"/>
      <c r="G247" s="30"/>
      <c r="H247" s="31"/>
      <c r="I247" s="31"/>
      <c r="J247" s="33"/>
      <c r="K247" s="33"/>
      <c r="L247" s="34"/>
    </row>
    <row r="248" spans="1:12" s="23" customFormat="1" ht="101.25">
      <c r="A248" s="82"/>
      <c r="B248" s="55" t="s">
        <v>355</v>
      </c>
      <c r="C248" s="71">
        <v>86111600</v>
      </c>
      <c r="D248" s="66" t="s">
        <v>311</v>
      </c>
      <c r="F248" s="32"/>
      <c r="G248" s="30"/>
      <c r="H248" s="31"/>
      <c r="I248" s="31"/>
      <c r="J248" s="33"/>
      <c r="K248" s="33"/>
      <c r="L248" s="34"/>
    </row>
    <row r="249" spans="1:12" s="23" customFormat="1" ht="168.75">
      <c r="A249" s="82"/>
      <c r="B249" s="55" t="s">
        <v>356</v>
      </c>
      <c r="C249" s="65" t="s">
        <v>450</v>
      </c>
      <c r="D249" s="66" t="s">
        <v>311</v>
      </c>
      <c r="F249" s="32"/>
      <c r="G249" s="30"/>
      <c r="H249" s="31"/>
      <c r="I249" s="31"/>
      <c r="J249" s="33"/>
      <c r="K249" s="33"/>
      <c r="L249" s="34"/>
    </row>
    <row r="250" spans="1:12" s="23" customFormat="1" ht="101.25">
      <c r="A250" s="82"/>
      <c r="B250" s="55" t="s">
        <v>357</v>
      </c>
      <c r="C250" s="64" t="s">
        <v>451</v>
      </c>
      <c r="D250" s="66" t="s">
        <v>311</v>
      </c>
      <c r="F250" s="32"/>
      <c r="G250" s="30"/>
      <c r="H250" s="31"/>
      <c r="I250" s="31"/>
      <c r="J250" s="33"/>
      <c r="K250" s="33"/>
      <c r="L250" s="34"/>
    </row>
    <row r="251" spans="1:12" s="23" customFormat="1" ht="135">
      <c r="A251" s="82"/>
      <c r="B251" s="55" t="s">
        <v>358</v>
      </c>
      <c r="C251" s="64">
        <v>25101900</v>
      </c>
      <c r="D251" s="66" t="s">
        <v>311</v>
      </c>
      <c r="F251" s="32"/>
      <c r="G251" s="30"/>
      <c r="H251" s="31"/>
      <c r="I251" s="31"/>
      <c r="J251" s="33"/>
      <c r="K251" s="33"/>
      <c r="L251" s="34"/>
    </row>
    <row r="252" spans="1:12" s="23" customFormat="1" ht="123.75">
      <c r="A252" s="82"/>
      <c r="B252" s="55" t="s">
        <v>359</v>
      </c>
      <c r="C252" s="71">
        <v>80101500</v>
      </c>
      <c r="D252" s="66" t="s">
        <v>311</v>
      </c>
      <c r="F252" s="32"/>
      <c r="G252" s="30"/>
      <c r="H252" s="31"/>
      <c r="I252" s="31"/>
      <c r="J252" s="33"/>
      <c r="K252" s="33"/>
      <c r="L252" s="34"/>
    </row>
    <row r="253" spans="1:12" s="23" customFormat="1" ht="101.25">
      <c r="A253" s="82"/>
      <c r="B253" s="55" t="s">
        <v>360</v>
      </c>
      <c r="C253" s="71">
        <v>81101500</v>
      </c>
      <c r="D253" s="83" t="s">
        <v>434</v>
      </c>
      <c r="F253" s="32"/>
      <c r="G253" s="30"/>
      <c r="H253" s="31"/>
      <c r="I253" s="31"/>
      <c r="J253" s="33"/>
      <c r="K253" s="33"/>
      <c r="L253" s="34"/>
    </row>
    <row r="254" spans="1:12" s="23" customFormat="1" ht="112.5">
      <c r="A254" s="82"/>
      <c r="B254" s="55" t="s">
        <v>361</v>
      </c>
      <c r="C254" s="71">
        <v>81101500</v>
      </c>
      <c r="D254" s="83" t="s">
        <v>434</v>
      </c>
      <c r="F254" s="32"/>
      <c r="G254" s="30"/>
      <c r="H254" s="31"/>
      <c r="I254" s="31"/>
      <c r="J254" s="33"/>
      <c r="K254" s="33"/>
      <c r="L254" s="34"/>
    </row>
    <row r="255" spans="1:12" s="23" customFormat="1" ht="101.25">
      <c r="A255" s="82"/>
      <c r="B255" s="55" t="s">
        <v>362</v>
      </c>
      <c r="C255" s="71">
        <v>81101500</v>
      </c>
      <c r="D255" s="83" t="s">
        <v>434</v>
      </c>
      <c r="F255" s="32"/>
      <c r="G255" s="30"/>
      <c r="H255" s="31"/>
      <c r="I255" s="31"/>
      <c r="J255" s="33"/>
      <c r="K255" s="33"/>
      <c r="L255" s="34"/>
    </row>
    <row r="256" spans="1:12" s="23" customFormat="1" ht="101.25">
      <c r="A256" s="82"/>
      <c r="B256" s="55" t="s">
        <v>363</v>
      </c>
      <c r="C256" s="71">
        <v>81101500</v>
      </c>
      <c r="D256" s="83" t="s">
        <v>434</v>
      </c>
      <c r="F256" s="32"/>
      <c r="G256" s="30"/>
      <c r="H256" s="31"/>
      <c r="I256" s="31"/>
      <c r="J256" s="33"/>
      <c r="K256" s="33"/>
      <c r="L256" s="34"/>
    </row>
    <row r="257" spans="1:12" s="23" customFormat="1" ht="101.25">
      <c r="A257" s="82"/>
      <c r="B257" s="55" t="s">
        <v>364</v>
      </c>
      <c r="C257" s="71" t="s">
        <v>454</v>
      </c>
      <c r="D257" s="83" t="s">
        <v>434</v>
      </c>
      <c r="F257" s="32"/>
      <c r="G257" s="30"/>
      <c r="H257" s="31"/>
      <c r="I257" s="31"/>
      <c r="J257" s="33"/>
      <c r="K257" s="33"/>
      <c r="L257" s="34"/>
    </row>
    <row r="258" spans="1:12" s="23" customFormat="1" ht="79.5" customHeight="1">
      <c r="A258" s="82"/>
      <c r="B258" s="55" t="s">
        <v>365</v>
      </c>
      <c r="C258" s="71" t="s">
        <v>464</v>
      </c>
      <c r="D258" s="94" t="s">
        <v>531</v>
      </c>
      <c r="F258" s="30"/>
      <c r="G258" s="30"/>
      <c r="H258" s="31"/>
      <c r="I258" s="31"/>
      <c r="J258" s="33"/>
      <c r="K258" s="33"/>
      <c r="L258" s="34"/>
    </row>
    <row r="259" spans="1:12" s="23" customFormat="1" ht="90">
      <c r="A259" s="82"/>
      <c r="B259" s="55" t="s">
        <v>366</v>
      </c>
      <c r="C259" s="71" t="s">
        <v>455</v>
      </c>
      <c r="D259" s="94" t="s">
        <v>531</v>
      </c>
      <c r="F259" s="30"/>
      <c r="G259" s="30"/>
      <c r="H259" s="31"/>
      <c r="I259" s="31"/>
      <c r="J259" s="33"/>
      <c r="K259" s="33"/>
      <c r="L259" s="34"/>
    </row>
    <row r="260" spans="1:12" s="23" customFormat="1" ht="101.25">
      <c r="A260" s="82"/>
      <c r="B260" s="55" t="s">
        <v>367</v>
      </c>
      <c r="C260" s="71" t="s">
        <v>456</v>
      </c>
      <c r="D260" s="94" t="s">
        <v>531</v>
      </c>
      <c r="F260" s="30"/>
      <c r="G260" s="30"/>
      <c r="H260" s="31"/>
      <c r="I260" s="31"/>
      <c r="J260" s="33"/>
      <c r="K260" s="33"/>
      <c r="L260" s="34"/>
    </row>
    <row r="261" spans="1:12" s="23" customFormat="1" ht="101.25">
      <c r="A261" s="82"/>
      <c r="B261" s="55" t="s">
        <v>368</v>
      </c>
      <c r="C261" s="71" t="s">
        <v>457</v>
      </c>
      <c r="D261" s="94" t="s">
        <v>531</v>
      </c>
      <c r="F261" s="30"/>
      <c r="G261" s="30"/>
      <c r="H261" s="31"/>
      <c r="I261" s="31"/>
      <c r="J261" s="33"/>
      <c r="K261" s="33"/>
      <c r="L261" s="34"/>
    </row>
    <row r="262" spans="1:12" s="23" customFormat="1" ht="112.5">
      <c r="A262" s="82"/>
      <c r="B262" s="55" t="s">
        <v>369</v>
      </c>
      <c r="C262" s="71" t="s">
        <v>465</v>
      </c>
      <c r="D262" s="94" t="s">
        <v>531</v>
      </c>
      <c r="F262" s="30"/>
      <c r="G262" s="30"/>
      <c r="H262" s="31"/>
      <c r="I262" s="31"/>
      <c r="J262" s="33"/>
      <c r="K262" s="33"/>
      <c r="L262" s="34"/>
    </row>
    <row r="263" spans="1:12" s="23" customFormat="1" ht="90">
      <c r="A263" s="82"/>
      <c r="B263" s="55" t="s">
        <v>370</v>
      </c>
      <c r="C263" s="71" t="s">
        <v>458</v>
      </c>
      <c r="D263" s="94" t="s">
        <v>531</v>
      </c>
      <c r="F263" s="30"/>
      <c r="G263" s="30"/>
      <c r="H263" s="31"/>
      <c r="I263" s="31"/>
      <c r="J263" s="33"/>
      <c r="K263" s="33"/>
      <c r="L263" s="34"/>
    </row>
    <row r="264" spans="1:12" s="23" customFormat="1" ht="123.75">
      <c r="A264" s="82"/>
      <c r="B264" s="55" t="s">
        <v>371</v>
      </c>
      <c r="C264" s="71" t="s">
        <v>452</v>
      </c>
      <c r="D264" s="66" t="s">
        <v>293</v>
      </c>
      <c r="F264" s="30"/>
      <c r="G264" s="30"/>
      <c r="H264" s="31"/>
      <c r="I264" s="31"/>
      <c r="J264" s="33"/>
      <c r="K264" s="33"/>
      <c r="L264" s="34"/>
    </row>
    <row r="265" spans="1:12" s="23" customFormat="1" ht="112.5">
      <c r="A265" s="82"/>
      <c r="B265" s="55" t="s">
        <v>372</v>
      </c>
      <c r="C265" s="71" t="s">
        <v>453</v>
      </c>
      <c r="D265" s="66" t="s">
        <v>293</v>
      </c>
      <c r="F265" s="30"/>
      <c r="G265" s="30"/>
      <c r="H265" s="31"/>
      <c r="I265" s="31"/>
      <c r="J265" s="33"/>
      <c r="K265" s="33"/>
      <c r="L265" s="34"/>
    </row>
  </sheetData>
  <sheetProtection/>
  <conditionalFormatting sqref="C124 C174:C175">
    <cfRule type="cellIs" priority="63" dxfId="0" operator="equal">
      <formula>"si($D$4=""REDUCCIÓN DEL RIESGO"")"</formula>
    </cfRule>
  </conditionalFormatting>
  <conditionalFormatting sqref="C176:C178 C180:C183">
    <cfRule type="cellIs" priority="8" dxfId="0" operator="equal">
      <formula>"si($D$4=""REDUCCIÓN DEL RIESGO"")"</formula>
    </cfRule>
  </conditionalFormatting>
  <conditionalFormatting sqref="C186">
    <cfRule type="cellIs" priority="5" dxfId="0" operator="equal">
      <formula>"si($D$4=""REDUCCIÓN DEL RIESGO"")"</formula>
    </cfRule>
  </conditionalFormatting>
  <conditionalFormatting sqref="C188">
    <cfRule type="cellIs" priority="4" dxfId="0" operator="equal">
      <formula>"si($D$4=""REDUCCIÓN DEL RIESGO"")"</formula>
    </cfRule>
  </conditionalFormatting>
  <conditionalFormatting sqref="C189">
    <cfRule type="cellIs" priority="3" dxfId="0" operator="equal">
      <formula>"si($D$4=""REDUCCIÓN DEL RIESGO"")"</formula>
    </cfRule>
  </conditionalFormatting>
  <conditionalFormatting sqref="C190">
    <cfRule type="cellIs" priority="2" dxfId="0" operator="equal">
      <formula>"si($D$4=""REDUCCIÓN DEL RIESGO"")"</formula>
    </cfRule>
  </conditionalFormatting>
  <dataValidations count="2">
    <dataValidation allowBlank="1" showInputMessage="1" showErrorMessage="1" promptTitle="Objeto" prompt="Escriba aquí de forma exacta el objeto de la forma como quedará en la solicitud de viabilidad y en el proceso de selección" sqref="C166 C58:C61 C52:C56 C24:C25 C78:C81 C45:C46 C65:C66 C102:C104 C83:C86"/>
    <dataValidation allowBlank="1" showInputMessage="1" showErrorMessage="1" promptTitle="Valor Total" prompt="Corresponde a la necesidad planteada inicialmente y que puede ser susceptible de modificación debido a los recursos asignados y a la revisión realizada a cada objeto" sqref="H173:H183 H192:H206"/>
  </dataValidations>
  <hyperlinks>
    <hyperlink ref="C9" r:id="rId1" display="www.bomberosbogota.gov.co/‎"/>
  </hyperlinks>
  <printOptions horizontalCentered="1"/>
  <pageMargins left="0" right="0" top="0.9055118110236221" bottom="0.3937007874015748" header="0" footer="0"/>
  <pageSetup fitToHeight="0" fitToWidth="1" horizontalDpi="600" verticalDpi="600" orientation="landscape" scale="65" r:id="rId3"/>
  <headerFooter>
    <oddHeader>&amp;C&amp;"Arial,Negrita"&amp;8&amp;G
&amp;"Tahoma,Negrita"&amp;10PLAN ANUAL DE ADQUSICIONES DE INVERSIÓN  -  VIGENCIA 2015</oddHeader>
    <oddFooter>&amp;L&amp;"Arial,Normal"&amp;8Página &amp;P de &amp;N&amp;C&amp;"Arial,Normal"&amp;8Calle 20 N° 68A - 06 PBX 3822500 www.bomberosbogota.gov.coLínea de emergencia 123&amp;R&amp;"Tahoma,Normal"&amp;7FOR-PGE-2-01 V4
01/01/2014&amp;F</oddFooter>
  </headerFooter>
  <legacyDrawingHF r:id="rId2"/>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4">
      <selection activeCell="F2" sqref="F2:F15"/>
    </sheetView>
  </sheetViews>
  <sheetFormatPr defaultColWidth="11.421875" defaultRowHeight="15"/>
  <cols>
    <col min="1" max="1" width="11.57421875" style="19" bestFit="1" customWidth="1"/>
    <col min="2" max="2" width="16.57421875" style="18" customWidth="1"/>
    <col min="3" max="4" width="38.57421875" style="18" customWidth="1"/>
    <col min="5" max="5" width="10.140625" style="18" customWidth="1"/>
    <col min="6" max="6" width="11.28125" style="18" customWidth="1"/>
    <col min="7" max="7" width="13.7109375" style="18" customWidth="1"/>
    <col min="8" max="16384" width="11.421875" style="18" customWidth="1"/>
  </cols>
  <sheetData>
    <row r="1" spans="1:7" ht="38.25" customHeight="1">
      <c r="A1" s="12" t="s">
        <v>149</v>
      </c>
      <c r="B1" s="12" t="s">
        <v>154</v>
      </c>
      <c r="C1" s="12" t="s">
        <v>155</v>
      </c>
      <c r="D1" s="13" t="s">
        <v>3</v>
      </c>
      <c r="E1" s="12" t="s">
        <v>156</v>
      </c>
      <c r="F1" s="14" t="s">
        <v>157</v>
      </c>
      <c r="G1" s="13" t="s">
        <v>153</v>
      </c>
    </row>
    <row r="2" spans="1:7" ht="36.75" customHeight="1">
      <c r="A2" s="16">
        <v>412</v>
      </c>
      <c r="B2" s="4" t="s">
        <v>158</v>
      </c>
      <c r="C2" s="4" t="s">
        <v>159</v>
      </c>
      <c r="D2" s="15" t="s">
        <v>5</v>
      </c>
      <c r="E2" s="16">
        <v>1</v>
      </c>
      <c r="F2" s="16"/>
      <c r="G2" s="4"/>
    </row>
    <row r="3" spans="1:7" ht="36.75" customHeight="1">
      <c r="A3" s="16">
        <v>412</v>
      </c>
      <c r="B3" s="4" t="s">
        <v>158</v>
      </c>
      <c r="C3" s="4" t="s">
        <v>160</v>
      </c>
      <c r="D3" s="15" t="s">
        <v>6</v>
      </c>
      <c r="E3" s="16">
        <v>1</v>
      </c>
      <c r="F3" s="16"/>
      <c r="G3" s="4"/>
    </row>
    <row r="4" spans="1:7" ht="36.75" customHeight="1">
      <c r="A4" s="16">
        <v>412</v>
      </c>
      <c r="B4" s="4" t="s">
        <v>161</v>
      </c>
      <c r="C4" s="4" t="s">
        <v>162</v>
      </c>
      <c r="D4" s="15" t="s">
        <v>7</v>
      </c>
      <c r="E4" s="16">
        <v>1</v>
      </c>
      <c r="F4" s="16"/>
      <c r="G4" s="4"/>
    </row>
    <row r="5" spans="1:7" ht="36.75" customHeight="1">
      <c r="A5" s="16">
        <v>412</v>
      </c>
      <c r="B5" s="4" t="s">
        <v>161</v>
      </c>
      <c r="C5" s="4" t="s">
        <v>162</v>
      </c>
      <c r="D5" s="15" t="s">
        <v>8</v>
      </c>
      <c r="E5" s="16">
        <v>1</v>
      </c>
      <c r="F5" s="16"/>
      <c r="G5" s="4"/>
    </row>
    <row r="6" spans="1:7" ht="36.75" customHeight="1">
      <c r="A6" s="16">
        <v>412</v>
      </c>
      <c r="B6" s="4" t="s">
        <v>161</v>
      </c>
      <c r="C6" s="4" t="s">
        <v>162</v>
      </c>
      <c r="D6" s="15" t="s">
        <v>25</v>
      </c>
      <c r="E6" s="16">
        <v>1</v>
      </c>
      <c r="F6" s="16"/>
      <c r="G6" s="4"/>
    </row>
    <row r="7" spans="1:7" ht="36.75" customHeight="1">
      <c r="A7" s="16">
        <v>412</v>
      </c>
      <c r="B7" s="4" t="s">
        <v>161</v>
      </c>
      <c r="C7" s="4" t="s">
        <v>162</v>
      </c>
      <c r="D7" s="15" t="s">
        <v>163</v>
      </c>
      <c r="E7" s="16">
        <v>1</v>
      </c>
      <c r="F7" s="16"/>
      <c r="G7" s="4"/>
    </row>
    <row r="8" spans="1:7" ht="36.75" customHeight="1">
      <c r="A8" s="16">
        <v>412</v>
      </c>
      <c r="B8" s="4" t="s">
        <v>161</v>
      </c>
      <c r="C8" s="4" t="s">
        <v>164</v>
      </c>
      <c r="D8" s="15" t="s">
        <v>10</v>
      </c>
      <c r="E8" s="16">
        <v>1</v>
      </c>
      <c r="F8" s="16"/>
      <c r="G8" s="4"/>
    </row>
    <row r="9" spans="1:7" ht="36.75" customHeight="1">
      <c r="A9" s="16">
        <v>412</v>
      </c>
      <c r="B9" s="4" t="s">
        <v>161</v>
      </c>
      <c r="C9" s="4" t="s">
        <v>170</v>
      </c>
      <c r="D9" s="15" t="s">
        <v>11</v>
      </c>
      <c r="E9" s="16">
        <v>1</v>
      </c>
      <c r="F9" s="16"/>
      <c r="G9" s="4"/>
    </row>
    <row r="10" spans="1:7" ht="36.75" customHeight="1">
      <c r="A10" s="16">
        <v>412</v>
      </c>
      <c r="B10" s="4" t="s">
        <v>165</v>
      </c>
      <c r="C10" s="4" t="s">
        <v>166</v>
      </c>
      <c r="D10" s="15" t="s">
        <v>12</v>
      </c>
      <c r="E10" s="16">
        <v>1</v>
      </c>
      <c r="F10" s="16"/>
      <c r="G10" s="4"/>
    </row>
    <row r="11" spans="1:7" ht="36.75" customHeight="1">
      <c r="A11" s="16">
        <v>412</v>
      </c>
      <c r="B11" s="4" t="s">
        <v>167</v>
      </c>
      <c r="C11" s="4" t="s">
        <v>171</v>
      </c>
      <c r="D11" s="15" t="s">
        <v>13</v>
      </c>
      <c r="E11" s="16">
        <v>1</v>
      </c>
      <c r="F11" s="16"/>
      <c r="G11" s="4"/>
    </row>
    <row r="12" spans="1:7" ht="36.75" customHeight="1">
      <c r="A12" s="16">
        <v>412</v>
      </c>
      <c r="B12" s="4" t="s">
        <v>167</v>
      </c>
      <c r="C12" s="4" t="s">
        <v>168</v>
      </c>
      <c r="D12" s="15" t="s">
        <v>14</v>
      </c>
      <c r="E12" s="16">
        <v>1</v>
      </c>
      <c r="F12" s="16"/>
      <c r="G12" s="4"/>
    </row>
    <row r="13" spans="1:7" ht="36.75" customHeight="1">
      <c r="A13" s="16">
        <v>412</v>
      </c>
      <c r="B13" s="4" t="s">
        <v>167</v>
      </c>
      <c r="C13" s="4" t="s">
        <v>168</v>
      </c>
      <c r="D13" s="15" t="s">
        <v>169</v>
      </c>
      <c r="E13" s="16">
        <v>1</v>
      </c>
      <c r="F13" s="16"/>
      <c r="G13" s="4"/>
    </row>
    <row r="14" spans="1:7" ht="36.75" customHeight="1">
      <c r="A14" s="16">
        <v>908</v>
      </c>
      <c r="B14" s="4" t="s">
        <v>167</v>
      </c>
      <c r="C14" s="4" t="s">
        <v>168</v>
      </c>
      <c r="D14" s="17" t="s">
        <v>119</v>
      </c>
      <c r="E14" s="16">
        <v>1</v>
      </c>
      <c r="F14" s="21"/>
      <c r="G14" s="4"/>
    </row>
    <row r="15" spans="1:7" ht="36.75" customHeight="1">
      <c r="A15" s="16">
        <v>908</v>
      </c>
      <c r="B15" s="4" t="s">
        <v>167</v>
      </c>
      <c r="C15" s="4" t="s">
        <v>168</v>
      </c>
      <c r="D15" s="17" t="s">
        <v>132</v>
      </c>
      <c r="E15" s="16">
        <v>1</v>
      </c>
      <c r="F15" s="16"/>
      <c r="G15" s="4"/>
    </row>
    <row r="16" ht="15">
      <c r="G16" s="20">
        <f>SUM(G2:G15)</f>
        <v>0</v>
      </c>
    </row>
  </sheetData>
  <sheetProtection/>
  <autoFilter ref="A1:G16"/>
  <printOptions horizontalCentered="1" verticalCentered="1"/>
  <pageMargins left="0" right="0" top="0" bottom="0" header="0" footer="0"/>
  <pageSetup horizontalDpi="600" verticalDpi="600" orientation="landscape" scale="95" r:id="rId1"/>
  <headerFooter>
    <oddHeader>&amp;C&amp;"Tahoma,Negrita"&amp;9ANTEPROYECTO DE PRESUPUESTO DE INVERSIÓN POAI 2013</oddHeader>
    <oddFooter>&amp;L&amp;"Tahoma,Normal"&amp;8Preparado por: Adriana Moreno Roncancio&amp;R&amp;"Tahoma,Normal"&amp;8 14-Nov-2012</oddFooter>
  </headerFooter>
</worksheet>
</file>

<file path=xl/worksheets/sheet3.xml><?xml version="1.0" encoding="utf-8"?>
<worksheet xmlns="http://schemas.openxmlformats.org/spreadsheetml/2006/main" xmlns:r="http://schemas.openxmlformats.org/officeDocument/2006/relationships">
  <dimension ref="A3:I30"/>
  <sheetViews>
    <sheetView zoomScalePageLayoutView="0" workbookViewId="0" topLeftCell="A1">
      <selection activeCell="B16" sqref="B16"/>
    </sheetView>
  </sheetViews>
  <sheetFormatPr defaultColWidth="11.421875" defaultRowHeight="15"/>
  <cols>
    <col min="1" max="1" width="26.7109375" style="0" bestFit="1" customWidth="1"/>
    <col min="2" max="2" width="36.28125" style="0" customWidth="1"/>
    <col min="3" max="3" width="18.7109375" style="0" customWidth="1"/>
    <col min="4" max="4" width="28.7109375" style="0" customWidth="1"/>
    <col min="6" max="6" width="23.28125" style="0" bestFit="1" customWidth="1"/>
    <col min="7" max="7" width="45.421875" style="0" bestFit="1" customWidth="1"/>
    <col min="8" max="8" width="32.421875" style="0" customWidth="1"/>
    <col min="9" max="9" width="40.7109375" style="0" customWidth="1"/>
  </cols>
  <sheetData>
    <row r="3" spans="1:9" ht="15">
      <c r="A3" s="24" t="s">
        <v>1</v>
      </c>
      <c r="B3" s="25" t="s">
        <v>152</v>
      </c>
      <c r="C3" s="25" t="s">
        <v>192</v>
      </c>
      <c r="D3" s="25" t="s">
        <v>226</v>
      </c>
      <c r="E3" s="25" t="s">
        <v>187</v>
      </c>
      <c r="F3" s="25" t="s">
        <v>2</v>
      </c>
      <c r="G3" s="25" t="s">
        <v>185</v>
      </c>
      <c r="H3" s="25" t="s">
        <v>240</v>
      </c>
      <c r="I3" s="25" t="s">
        <v>241</v>
      </c>
    </row>
    <row r="4" spans="1:9" ht="15">
      <c r="A4" s="26" t="s">
        <v>190</v>
      </c>
      <c r="B4" s="26" t="s">
        <v>198</v>
      </c>
      <c r="C4" s="26" t="s">
        <v>183</v>
      </c>
      <c r="D4" s="26" t="s">
        <v>186</v>
      </c>
      <c r="E4" s="26" t="s">
        <v>225</v>
      </c>
      <c r="F4" s="26" t="s">
        <v>17</v>
      </c>
      <c r="G4" s="26" t="s">
        <v>230</v>
      </c>
      <c r="H4" s="26" t="s">
        <v>232</v>
      </c>
      <c r="I4" s="26" t="s">
        <v>130</v>
      </c>
    </row>
    <row r="5" spans="1:9" ht="15">
      <c r="A5" s="26" t="s">
        <v>191</v>
      </c>
      <c r="B5" s="26" t="s">
        <v>199</v>
      </c>
      <c r="C5" s="26" t="s">
        <v>181</v>
      </c>
      <c r="D5" s="26" t="s">
        <v>227</v>
      </c>
      <c r="E5" s="26" t="s">
        <v>188</v>
      </c>
      <c r="F5" s="26" t="s">
        <v>18</v>
      </c>
      <c r="G5" s="26" t="s">
        <v>231</v>
      </c>
      <c r="H5" s="26" t="s">
        <v>233</v>
      </c>
      <c r="I5" s="27" t="s">
        <v>239</v>
      </c>
    </row>
    <row r="6" spans="1:9" ht="15">
      <c r="A6" s="26" t="s">
        <v>175</v>
      </c>
      <c r="B6" s="26" t="s">
        <v>200</v>
      </c>
      <c r="C6" s="26" t="s">
        <v>193</v>
      </c>
      <c r="D6" s="26" t="s">
        <v>229</v>
      </c>
      <c r="E6" s="26" t="s">
        <v>189</v>
      </c>
      <c r="F6" s="26" t="s">
        <v>19</v>
      </c>
      <c r="H6" s="26" t="s">
        <v>128</v>
      </c>
      <c r="I6" s="27" t="s">
        <v>239</v>
      </c>
    </row>
    <row r="7" spans="1:9" ht="15">
      <c r="A7" s="26" t="s">
        <v>184</v>
      </c>
      <c r="B7" s="26" t="s">
        <v>201</v>
      </c>
      <c r="C7" s="26" t="s">
        <v>194</v>
      </c>
      <c r="D7" s="26" t="s">
        <v>228</v>
      </c>
      <c r="H7" s="26" t="s">
        <v>131</v>
      </c>
      <c r="I7" s="28" t="s">
        <v>239</v>
      </c>
    </row>
    <row r="8" spans="1:9" ht="15">
      <c r="A8" s="26" t="s">
        <v>4</v>
      </c>
      <c r="B8" s="26" t="s">
        <v>202</v>
      </c>
      <c r="C8" s="26" t="s">
        <v>195</v>
      </c>
      <c r="D8" s="26" t="s">
        <v>177</v>
      </c>
      <c r="H8" s="26" t="s">
        <v>234</v>
      </c>
      <c r="I8" s="28" t="s">
        <v>239</v>
      </c>
    </row>
    <row r="9" spans="1:9" ht="15">
      <c r="A9" s="26" t="s">
        <v>180</v>
      </c>
      <c r="B9" s="26" t="s">
        <v>203</v>
      </c>
      <c r="C9" s="26" t="s">
        <v>196</v>
      </c>
      <c r="D9" s="26" t="s">
        <v>179</v>
      </c>
      <c r="H9" s="26" t="s">
        <v>236</v>
      </c>
      <c r="I9" s="28" t="s">
        <v>239</v>
      </c>
    </row>
    <row r="10" spans="1:9" ht="15">
      <c r="A10" s="26" t="s">
        <v>172</v>
      </c>
      <c r="B10" s="26" t="s">
        <v>204</v>
      </c>
      <c r="C10" s="26" t="s">
        <v>197</v>
      </c>
      <c r="D10" s="26" t="s">
        <v>173</v>
      </c>
      <c r="H10" s="26" t="s">
        <v>130</v>
      </c>
      <c r="I10" s="28" t="s">
        <v>239</v>
      </c>
    </row>
    <row r="11" spans="1:4" ht="15">
      <c r="A11" s="26" t="s">
        <v>178</v>
      </c>
      <c r="B11" s="26" t="s">
        <v>205</v>
      </c>
      <c r="C11" s="26" t="s">
        <v>176</v>
      </c>
      <c r="D11" s="26" t="s">
        <v>242</v>
      </c>
    </row>
    <row r="12" spans="1:3" ht="15">
      <c r="A12" s="26" t="s">
        <v>182</v>
      </c>
      <c r="B12" s="26" t="s">
        <v>206</v>
      </c>
      <c r="C12" s="26" t="s">
        <v>174</v>
      </c>
    </row>
    <row r="13" spans="1:3" ht="15">
      <c r="A13" s="26" t="s">
        <v>235</v>
      </c>
      <c r="B13" s="26" t="s">
        <v>207</v>
      </c>
      <c r="C13" s="26" t="s">
        <v>173</v>
      </c>
    </row>
    <row r="14" ht="15">
      <c r="B14" s="26" t="s">
        <v>208</v>
      </c>
    </row>
    <row r="15" ht="15">
      <c r="B15" s="26" t="s">
        <v>209</v>
      </c>
    </row>
    <row r="16" ht="15">
      <c r="B16" s="26" t="s">
        <v>210</v>
      </c>
    </row>
    <row r="17" ht="15">
      <c r="B17" s="26" t="s">
        <v>211</v>
      </c>
    </row>
    <row r="18" ht="15">
      <c r="B18" s="26" t="s">
        <v>212</v>
      </c>
    </row>
    <row r="19" ht="15">
      <c r="B19" s="26" t="s">
        <v>213</v>
      </c>
    </row>
    <row r="20" ht="15">
      <c r="B20" s="26" t="s">
        <v>214</v>
      </c>
    </row>
    <row r="21" ht="15">
      <c r="B21" s="26" t="s">
        <v>215</v>
      </c>
    </row>
    <row r="22" ht="15">
      <c r="B22" s="26" t="s">
        <v>216</v>
      </c>
    </row>
    <row r="23" ht="15">
      <c r="B23" s="26" t="s">
        <v>217</v>
      </c>
    </row>
    <row r="24" ht="15">
      <c r="B24" s="26" t="s">
        <v>218</v>
      </c>
    </row>
    <row r="25" ht="15">
      <c r="B25" s="26" t="s">
        <v>219</v>
      </c>
    </row>
    <row r="26" ht="15">
      <c r="B26" s="26" t="s">
        <v>220</v>
      </c>
    </row>
    <row r="27" ht="15">
      <c r="B27" s="26" t="s">
        <v>221</v>
      </c>
    </row>
    <row r="28" ht="15">
      <c r="B28" s="26" t="s">
        <v>222</v>
      </c>
    </row>
    <row r="29" ht="15">
      <c r="B29" s="26" t="s">
        <v>223</v>
      </c>
    </row>
    <row r="30" ht="15">
      <c r="B30" s="26" t="s">
        <v>224</v>
      </c>
    </row>
  </sheetData>
  <sheetProtection sheet="1" objects="1" scenarios="1"/>
  <dataValidations count="1">
    <dataValidation allowBlank="1" showInputMessage="1" showErrorMessage="1" promptTitle="Proyecto de Inversión" prompt="Celda que no puede ser modificada por trazabilidad de la información" sqref="G4:G5"/>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07"/>
  <sheetViews>
    <sheetView zoomScalePageLayoutView="0" workbookViewId="0" topLeftCell="A1">
      <selection activeCell="H13" sqref="H13"/>
    </sheetView>
  </sheetViews>
  <sheetFormatPr defaultColWidth="11.421875" defaultRowHeight="15"/>
  <cols>
    <col min="1" max="5" width="12.140625" style="3" customWidth="1"/>
    <col min="6" max="7" width="22.8515625" style="3" customWidth="1"/>
    <col min="8" max="8" width="55.57421875" style="3" customWidth="1"/>
    <col min="9" max="9" width="13.7109375" style="5" bestFit="1" customWidth="1"/>
    <col min="10" max="16384" width="11.421875" style="3" customWidth="1"/>
  </cols>
  <sheetData>
    <row r="1" spans="1:9" ht="21">
      <c r="A1" s="6" t="s">
        <v>137</v>
      </c>
      <c r="B1" s="6" t="s">
        <v>138</v>
      </c>
      <c r="C1" s="6" t="s">
        <v>139</v>
      </c>
      <c r="D1" s="6" t="s">
        <v>148</v>
      </c>
      <c r="E1" s="6" t="s">
        <v>149</v>
      </c>
      <c r="F1" s="6" t="s">
        <v>0</v>
      </c>
      <c r="G1" s="6" t="s">
        <v>3</v>
      </c>
      <c r="H1" s="6" t="s">
        <v>150</v>
      </c>
      <c r="I1" s="7" t="s">
        <v>151</v>
      </c>
    </row>
    <row r="2" spans="1:9" ht="10.5">
      <c r="A2" s="117" t="s">
        <v>140</v>
      </c>
      <c r="B2" s="117" t="s">
        <v>141</v>
      </c>
      <c r="C2" s="117" t="s">
        <v>142</v>
      </c>
      <c r="D2" s="117" t="s">
        <v>143</v>
      </c>
      <c r="E2" s="117" t="s">
        <v>121</v>
      </c>
      <c r="F2" s="116" t="s">
        <v>136</v>
      </c>
      <c r="G2" s="116" t="s">
        <v>5</v>
      </c>
      <c r="H2" s="8" t="s">
        <v>93</v>
      </c>
      <c r="I2" s="9"/>
    </row>
    <row r="3" spans="1:9" ht="10.5">
      <c r="A3" s="117"/>
      <c r="B3" s="117"/>
      <c r="C3" s="117"/>
      <c r="D3" s="117"/>
      <c r="E3" s="117"/>
      <c r="F3" s="116"/>
      <c r="G3" s="116"/>
      <c r="H3" s="8" t="s">
        <v>91</v>
      </c>
      <c r="I3" s="9"/>
    </row>
    <row r="4" spans="1:9" ht="10.5">
      <c r="A4" s="117"/>
      <c r="B4" s="117"/>
      <c r="C4" s="117"/>
      <c r="D4" s="117"/>
      <c r="E4" s="117"/>
      <c r="F4" s="116"/>
      <c r="G4" s="116"/>
      <c r="H4" s="8" t="s">
        <v>94</v>
      </c>
      <c r="I4" s="9"/>
    </row>
    <row r="5" spans="1:9" ht="10.5">
      <c r="A5" s="117"/>
      <c r="B5" s="117"/>
      <c r="C5" s="117"/>
      <c r="D5" s="117"/>
      <c r="E5" s="117"/>
      <c r="F5" s="116"/>
      <c r="G5" s="116"/>
      <c r="H5" s="8" t="s">
        <v>92</v>
      </c>
      <c r="I5" s="9"/>
    </row>
    <row r="6" spans="1:9" ht="21">
      <c r="A6" s="117"/>
      <c r="B6" s="117"/>
      <c r="C6" s="117"/>
      <c r="D6" s="117"/>
      <c r="E6" s="117"/>
      <c r="F6" s="116" t="s">
        <v>135</v>
      </c>
      <c r="G6" s="116" t="s">
        <v>5</v>
      </c>
      <c r="H6" s="8" t="s">
        <v>107</v>
      </c>
      <c r="I6" s="9"/>
    </row>
    <row r="7" spans="1:9" ht="21">
      <c r="A7" s="117"/>
      <c r="B7" s="117"/>
      <c r="C7" s="117"/>
      <c r="D7" s="117"/>
      <c r="E7" s="117"/>
      <c r="F7" s="116"/>
      <c r="G7" s="116"/>
      <c r="H7" s="8" t="s">
        <v>108</v>
      </c>
      <c r="I7" s="9"/>
    </row>
    <row r="8" spans="1:9" ht="21">
      <c r="A8" s="117"/>
      <c r="B8" s="117"/>
      <c r="C8" s="117"/>
      <c r="D8" s="117"/>
      <c r="E8" s="117"/>
      <c r="F8" s="116"/>
      <c r="G8" s="116"/>
      <c r="H8" s="8" t="s">
        <v>106</v>
      </c>
      <c r="I8" s="9"/>
    </row>
    <row r="9" spans="1:9" ht="21">
      <c r="A9" s="117"/>
      <c r="B9" s="117"/>
      <c r="C9" s="117"/>
      <c r="D9" s="117"/>
      <c r="E9" s="117"/>
      <c r="F9" s="116"/>
      <c r="G9" s="116"/>
      <c r="H9" s="8" t="s">
        <v>95</v>
      </c>
      <c r="I9" s="9"/>
    </row>
    <row r="10" spans="1:9" ht="21">
      <c r="A10" s="117"/>
      <c r="B10" s="117"/>
      <c r="C10" s="117"/>
      <c r="D10" s="117"/>
      <c r="E10" s="117"/>
      <c r="F10" s="116"/>
      <c r="G10" s="116"/>
      <c r="H10" s="8" t="s">
        <v>97</v>
      </c>
      <c r="I10" s="9"/>
    </row>
    <row r="11" spans="1:9" ht="10.5">
      <c r="A11" s="117"/>
      <c r="B11" s="117"/>
      <c r="C11" s="117"/>
      <c r="D11" s="117"/>
      <c r="E11" s="117"/>
      <c r="F11" s="116"/>
      <c r="G11" s="116"/>
      <c r="H11" s="8" t="s">
        <v>96</v>
      </c>
      <c r="I11" s="9"/>
    </row>
    <row r="12" spans="1:9" ht="10.5">
      <c r="A12" s="117"/>
      <c r="B12" s="117"/>
      <c r="C12" s="117"/>
      <c r="D12" s="117"/>
      <c r="E12" s="117"/>
      <c r="F12" s="116"/>
      <c r="G12" s="116"/>
      <c r="H12" s="8" t="s">
        <v>98</v>
      </c>
      <c r="I12" s="9"/>
    </row>
    <row r="13" spans="1:9" ht="10.5">
      <c r="A13" s="117"/>
      <c r="B13" s="117"/>
      <c r="C13" s="117"/>
      <c r="D13" s="117"/>
      <c r="E13" s="117"/>
      <c r="F13" s="116" t="s">
        <v>127</v>
      </c>
      <c r="G13" s="116" t="s">
        <v>6</v>
      </c>
      <c r="H13" s="8" t="s">
        <v>68</v>
      </c>
      <c r="I13" s="9"/>
    </row>
    <row r="14" spans="1:9" ht="21">
      <c r="A14" s="117"/>
      <c r="B14" s="117"/>
      <c r="C14" s="117"/>
      <c r="D14" s="117"/>
      <c r="E14" s="117"/>
      <c r="F14" s="116"/>
      <c r="G14" s="116"/>
      <c r="H14" s="8" t="s">
        <v>103</v>
      </c>
      <c r="I14" s="9"/>
    </row>
    <row r="15" spans="1:9" ht="21">
      <c r="A15" s="117"/>
      <c r="B15" s="117"/>
      <c r="C15" s="117"/>
      <c r="D15" s="117"/>
      <c r="E15" s="117"/>
      <c r="F15" s="116"/>
      <c r="G15" s="116"/>
      <c r="H15" s="8" t="s">
        <v>99</v>
      </c>
      <c r="I15" s="9"/>
    </row>
    <row r="16" spans="1:9" ht="42">
      <c r="A16" s="117"/>
      <c r="B16" s="117"/>
      <c r="C16" s="117"/>
      <c r="D16" s="117"/>
      <c r="E16" s="117"/>
      <c r="F16" s="116"/>
      <c r="G16" s="116"/>
      <c r="H16" s="8" t="s">
        <v>105</v>
      </c>
      <c r="I16" s="9"/>
    </row>
    <row r="17" spans="1:9" ht="10.5">
      <c r="A17" s="117"/>
      <c r="B17" s="117"/>
      <c r="C17" s="117"/>
      <c r="D17" s="117"/>
      <c r="E17" s="117"/>
      <c r="F17" s="116"/>
      <c r="G17" s="116"/>
      <c r="H17" s="8" t="s">
        <v>100</v>
      </c>
      <c r="I17" s="9"/>
    </row>
    <row r="18" spans="1:9" ht="10.5">
      <c r="A18" s="117"/>
      <c r="B18" s="117"/>
      <c r="C18" s="117"/>
      <c r="D18" s="117"/>
      <c r="E18" s="117"/>
      <c r="F18" s="116"/>
      <c r="G18" s="116"/>
      <c r="H18" s="8" t="s">
        <v>102</v>
      </c>
      <c r="I18" s="9"/>
    </row>
    <row r="19" spans="1:9" ht="21">
      <c r="A19" s="117"/>
      <c r="B19" s="117"/>
      <c r="C19" s="117"/>
      <c r="D19" s="117"/>
      <c r="E19" s="117"/>
      <c r="F19" s="116"/>
      <c r="G19" s="116"/>
      <c r="H19" s="8" t="s">
        <v>104</v>
      </c>
      <c r="I19" s="9"/>
    </row>
    <row r="20" spans="1:9" ht="10.5">
      <c r="A20" s="117"/>
      <c r="B20" s="117"/>
      <c r="C20" s="117"/>
      <c r="D20" s="117"/>
      <c r="E20" s="117"/>
      <c r="F20" s="116"/>
      <c r="G20" s="116"/>
      <c r="H20" s="8" t="s">
        <v>101</v>
      </c>
      <c r="I20" s="9"/>
    </row>
    <row r="21" spans="1:9" ht="10.5">
      <c r="A21" s="117"/>
      <c r="B21" s="117"/>
      <c r="C21" s="117"/>
      <c r="D21" s="117"/>
      <c r="E21" s="117"/>
      <c r="F21" s="116"/>
      <c r="G21" s="116"/>
      <c r="H21" s="8" t="s">
        <v>109</v>
      </c>
      <c r="I21" s="9"/>
    </row>
    <row r="22" spans="1:9" ht="10.5">
      <c r="A22" s="117"/>
      <c r="B22" s="117"/>
      <c r="C22" s="117"/>
      <c r="D22" s="117"/>
      <c r="E22" s="117"/>
      <c r="F22" s="116"/>
      <c r="G22" s="116"/>
      <c r="H22" s="8" t="s">
        <v>29</v>
      </c>
      <c r="I22" s="9"/>
    </row>
    <row r="23" spans="1:9" ht="10.5">
      <c r="A23" s="117"/>
      <c r="B23" s="117"/>
      <c r="C23" s="117"/>
      <c r="D23" s="117"/>
      <c r="E23" s="117"/>
      <c r="F23" s="116"/>
      <c r="G23" s="116"/>
      <c r="H23" s="8" t="s">
        <v>33</v>
      </c>
      <c r="I23" s="9"/>
    </row>
    <row r="24" spans="1:9" ht="10.5">
      <c r="A24" s="117"/>
      <c r="B24" s="117"/>
      <c r="C24" s="117"/>
      <c r="D24" s="117"/>
      <c r="E24" s="117"/>
      <c r="F24" s="116"/>
      <c r="G24" s="116"/>
      <c r="H24" s="8" t="s">
        <v>87</v>
      </c>
      <c r="I24" s="9"/>
    </row>
    <row r="25" spans="1:9" ht="10.5">
      <c r="A25" s="117"/>
      <c r="B25" s="117"/>
      <c r="C25" s="117"/>
      <c r="D25" s="117"/>
      <c r="E25" s="117"/>
      <c r="F25" s="116"/>
      <c r="G25" s="116"/>
      <c r="H25" s="8" t="s">
        <v>110</v>
      </c>
      <c r="I25" s="9"/>
    </row>
    <row r="26" spans="1:9" ht="10.5">
      <c r="A26" s="117"/>
      <c r="B26" s="117"/>
      <c r="C26" s="117"/>
      <c r="D26" s="117"/>
      <c r="E26" s="117"/>
      <c r="F26" s="116"/>
      <c r="G26" s="116"/>
      <c r="H26" s="8" t="s">
        <v>86</v>
      </c>
      <c r="I26" s="9"/>
    </row>
    <row r="27" spans="1:9" ht="10.5">
      <c r="A27" s="117"/>
      <c r="B27" s="117"/>
      <c r="C27" s="117"/>
      <c r="D27" s="117"/>
      <c r="E27" s="117"/>
      <c r="F27" s="116"/>
      <c r="G27" s="116"/>
      <c r="H27" s="8" t="s">
        <v>85</v>
      </c>
      <c r="I27" s="9"/>
    </row>
    <row r="28" spans="1:9" ht="31.5">
      <c r="A28" s="117"/>
      <c r="B28" s="117"/>
      <c r="C28" s="117"/>
      <c r="D28" s="117"/>
      <c r="E28" s="117"/>
      <c r="F28" s="116"/>
      <c r="G28" s="116"/>
      <c r="H28" s="8" t="s">
        <v>88</v>
      </c>
      <c r="I28" s="9"/>
    </row>
    <row r="29" spans="1:9" ht="10.5">
      <c r="A29" s="117"/>
      <c r="B29" s="117"/>
      <c r="C29" s="117"/>
      <c r="D29" s="117"/>
      <c r="E29" s="117"/>
      <c r="F29" s="116"/>
      <c r="G29" s="116"/>
      <c r="H29" s="8" t="s">
        <v>111</v>
      </c>
      <c r="I29" s="9"/>
    </row>
    <row r="30" spans="1:9" ht="10.5">
      <c r="A30" s="117"/>
      <c r="B30" s="117"/>
      <c r="C30" s="117"/>
      <c r="D30" s="117"/>
      <c r="E30" s="117"/>
      <c r="F30" s="116"/>
      <c r="G30" s="116"/>
      <c r="H30" s="8" t="s">
        <v>32</v>
      </c>
      <c r="I30" s="9"/>
    </row>
    <row r="31" spans="1:9" ht="21">
      <c r="A31" s="117"/>
      <c r="B31" s="117"/>
      <c r="C31" s="117"/>
      <c r="D31" s="117"/>
      <c r="E31" s="117"/>
      <c r="F31" s="116" t="s">
        <v>128</v>
      </c>
      <c r="G31" s="116" t="s">
        <v>7</v>
      </c>
      <c r="H31" s="8" t="s">
        <v>46</v>
      </c>
      <c r="I31" s="9"/>
    </row>
    <row r="32" spans="1:9" ht="10.5">
      <c r="A32" s="117"/>
      <c r="B32" s="117"/>
      <c r="C32" s="117"/>
      <c r="D32" s="117"/>
      <c r="E32" s="117"/>
      <c r="F32" s="116"/>
      <c r="G32" s="116"/>
      <c r="H32" s="8" t="s">
        <v>67</v>
      </c>
      <c r="I32" s="9"/>
    </row>
    <row r="33" spans="1:9" ht="10.5">
      <c r="A33" s="117"/>
      <c r="B33" s="117"/>
      <c r="C33" s="117"/>
      <c r="D33" s="117"/>
      <c r="E33" s="117"/>
      <c r="F33" s="116"/>
      <c r="G33" s="116"/>
      <c r="H33" s="8" t="s">
        <v>66</v>
      </c>
      <c r="I33" s="9"/>
    </row>
    <row r="34" spans="1:9" ht="21">
      <c r="A34" s="117"/>
      <c r="B34" s="117"/>
      <c r="C34" s="117"/>
      <c r="D34" s="117"/>
      <c r="E34" s="117"/>
      <c r="F34" s="116"/>
      <c r="G34" s="116"/>
      <c r="H34" s="8" t="s">
        <v>123</v>
      </c>
      <c r="I34" s="9"/>
    </row>
    <row r="35" spans="1:9" ht="10.5">
      <c r="A35" s="117"/>
      <c r="B35" s="117"/>
      <c r="C35" s="117"/>
      <c r="D35" s="117"/>
      <c r="E35" s="117"/>
      <c r="F35" s="116"/>
      <c r="G35" s="116"/>
      <c r="H35" s="8" t="s">
        <v>59</v>
      </c>
      <c r="I35" s="9"/>
    </row>
    <row r="36" spans="1:9" ht="10.5">
      <c r="A36" s="117"/>
      <c r="B36" s="117"/>
      <c r="C36" s="117"/>
      <c r="D36" s="117"/>
      <c r="E36" s="117"/>
      <c r="F36" s="116"/>
      <c r="G36" s="116"/>
      <c r="H36" s="8" t="s">
        <v>61</v>
      </c>
      <c r="I36" s="9"/>
    </row>
    <row r="37" spans="1:9" ht="10.5">
      <c r="A37" s="117"/>
      <c r="B37" s="117"/>
      <c r="C37" s="117"/>
      <c r="D37" s="117"/>
      <c r="E37" s="117"/>
      <c r="F37" s="116"/>
      <c r="G37" s="116"/>
      <c r="H37" s="8" t="s">
        <v>60</v>
      </c>
      <c r="I37" s="9"/>
    </row>
    <row r="38" spans="1:9" ht="10.5">
      <c r="A38" s="117"/>
      <c r="B38" s="117"/>
      <c r="C38" s="117"/>
      <c r="D38" s="117"/>
      <c r="E38" s="117"/>
      <c r="F38" s="116"/>
      <c r="G38" s="116"/>
      <c r="H38" s="8" t="s">
        <v>72</v>
      </c>
      <c r="I38" s="9"/>
    </row>
    <row r="39" spans="1:9" ht="21">
      <c r="A39" s="117"/>
      <c r="B39" s="117"/>
      <c r="C39" s="117"/>
      <c r="D39" s="117"/>
      <c r="E39" s="117"/>
      <c r="F39" s="116"/>
      <c r="G39" s="116"/>
      <c r="H39" s="8" t="s">
        <v>69</v>
      </c>
      <c r="I39" s="9"/>
    </row>
    <row r="40" spans="1:9" ht="10.5">
      <c r="A40" s="117"/>
      <c r="B40" s="117"/>
      <c r="C40" s="117"/>
      <c r="D40" s="117"/>
      <c r="E40" s="117"/>
      <c r="F40" s="116"/>
      <c r="G40" s="116"/>
      <c r="H40" s="8" t="s">
        <v>63</v>
      </c>
      <c r="I40" s="9"/>
    </row>
    <row r="41" spans="1:9" ht="10.5">
      <c r="A41" s="117"/>
      <c r="B41" s="117"/>
      <c r="C41" s="117"/>
      <c r="D41" s="117"/>
      <c r="E41" s="117"/>
      <c r="F41" s="116"/>
      <c r="G41" s="116"/>
      <c r="H41" s="8" t="s">
        <v>62</v>
      </c>
      <c r="I41" s="9"/>
    </row>
    <row r="42" spans="1:9" ht="31.5">
      <c r="A42" s="117"/>
      <c r="B42" s="117"/>
      <c r="C42" s="117"/>
      <c r="D42" s="117"/>
      <c r="E42" s="117"/>
      <c r="F42" s="116"/>
      <c r="G42" s="116"/>
      <c r="H42" s="8" t="s">
        <v>122</v>
      </c>
      <c r="I42" s="9"/>
    </row>
    <row r="43" spans="1:9" ht="10.5">
      <c r="A43" s="117"/>
      <c r="B43" s="117"/>
      <c r="C43" s="117"/>
      <c r="D43" s="117"/>
      <c r="E43" s="117"/>
      <c r="F43" s="116"/>
      <c r="G43" s="116"/>
      <c r="H43" s="8" t="s">
        <v>64</v>
      </c>
      <c r="I43" s="9"/>
    </row>
    <row r="44" spans="1:9" ht="10.5">
      <c r="A44" s="117"/>
      <c r="B44" s="117"/>
      <c r="C44" s="117"/>
      <c r="D44" s="117"/>
      <c r="E44" s="117"/>
      <c r="F44" s="116"/>
      <c r="G44" s="116"/>
      <c r="H44" s="8" t="s">
        <v>65</v>
      </c>
      <c r="I44" s="9"/>
    </row>
    <row r="45" spans="1:9" ht="157.5">
      <c r="A45" s="117"/>
      <c r="B45" s="117"/>
      <c r="C45" s="117"/>
      <c r="D45" s="117"/>
      <c r="E45" s="117"/>
      <c r="F45" s="116"/>
      <c r="G45" s="116"/>
      <c r="H45" s="8" t="s">
        <v>124</v>
      </c>
      <c r="I45" s="9"/>
    </row>
    <row r="46" spans="1:9" ht="10.5">
      <c r="A46" s="117"/>
      <c r="B46" s="117"/>
      <c r="C46" s="117"/>
      <c r="D46" s="117"/>
      <c r="E46" s="117"/>
      <c r="F46" s="116"/>
      <c r="G46" s="116"/>
      <c r="H46" s="8" t="s">
        <v>73</v>
      </c>
      <c r="I46" s="9"/>
    </row>
    <row r="47" spans="1:9" ht="21">
      <c r="A47" s="117"/>
      <c r="B47" s="117"/>
      <c r="C47" s="117"/>
      <c r="D47" s="117"/>
      <c r="E47" s="117"/>
      <c r="F47" s="116"/>
      <c r="G47" s="116"/>
      <c r="H47" s="8" t="s">
        <v>70</v>
      </c>
      <c r="I47" s="9"/>
    </row>
    <row r="48" spans="1:9" ht="10.5">
      <c r="A48" s="117"/>
      <c r="B48" s="117"/>
      <c r="C48" s="117"/>
      <c r="D48" s="117"/>
      <c r="E48" s="117"/>
      <c r="F48" s="116"/>
      <c r="G48" s="116"/>
      <c r="H48" s="8" t="s">
        <v>71</v>
      </c>
      <c r="I48" s="9"/>
    </row>
    <row r="49" spans="1:9" ht="31.5">
      <c r="A49" s="117"/>
      <c r="B49" s="117"/>
      <c r="C49" s="117"/>
      <c r="D49" s="117"/>
      <c r="E49" s="117"/>
      <c r="F49" s="116"/>
      <c r="G49" s="10" t="s">
        <v>25</v>
      </c>
      <c r="H49" s="8" t="s">
        <v>28</v>
      </c>
      <c r="I49" s="9"/>
    </row>
    <row r="50" spans="1:9" ht="21">
      <c r="A50" s="117"/>
      <c r="B50" s="117"/>
      <c r="C50" s="117"/>
      <c r="D50" s="117"/>
      <c r="E50" s="117"/>
      <c r="F50" s="116"/>
      <c r="G50" s="10" t="s">
        <v>134</v>
      </c>
      <c r="H50" s="8" t="s">
        <v>78</v>
      </c>
      <c r="I50" s="9"/>
    </row>
    <row r="51" spans="1:9" ht="21">
      <c r="A51" s="117"/>
      <c r="B51" s="117"/>
      <c r="C51" s="117"/>
      <c r="D51" s="117"/>
      <c r="E51" s="117"/>
      <c r="F51" s="116" t="s">
        <v>129</v>
      </c>
      <c r="G51" s="116" t="s">
        <v>13</v>
      </c>
      <c r="H51" s="8" t="s">
        <v>84</v>
      </c>
      <c r="I51" s="9"/>
    </row>
    <row r="52" spans="1:9" ht="10.5">
      <c r="A52" s="117"/>
      <c r="B52" s="117"/>
      <c r="C52" s="117"/>
      <c r="D52" s="117"/>
      <c r="E52" s="117"/>
      <c r="F52" s="116"/>
      <c r="G52" s="116"/>
      <c r="H52" s="8" t="s">
        <v>54</v>
      </c>
      <c r="I52" s="9"/>
    </row>
    <row r="53" spans="1:9" ht="21">
      <c r="A53" s="117"/>
      <c r="B53" s="117"/>
      <c r="C53" s="117"/>
      <c r="D53" s="117"/>
      <c r="E53" s="117"/>
      <c r="F53" s="116"/>
      <c r="G53" s="116"/>
      <c r="H53" s="8" t="s">
        <v>83</v>
      </c>
      <c r="I53" s="9"/>
    </row>
    <row r="54" spans="1:9" ht="10.5">
      <c r="A54" s="117"/>
      <c r="B54" s="117"/>
      <c r="C54" s="117"/>
      <c r="D54" s="117"/>
      <c r="E54" s="117"/>
      <c r="F54" s="116"/>
      <c r="G54" s="116"/>
      <c r="H54" s="8" t="s">
        <v>55</v>
      </c>
      <c r="I54" s="9"/>
    </row>
    <row r="55" spans="1:9" ht="21">
      <c r="A55" s="117"/>
      <c r="B55" s="117"/>
      <c r="C55" s="117"/>
      <c r="D55" s="117"/>
      <c r="E55" s="117"/>
      <c r="F55" s="116"/>
      <c r="G55" s="116"/>
      <c r="H55" s="8" t="s">
        <v>126</v>
      </c>
      <c r="I55" s="9"/>
    </row>
    <row r="56" spans="1:9" ht="10.5">
      <c r="A56" s="117"/>
      <c r="B56" s="117"/>
      <c r="C56" s="117"/>
      <c r="D56" s="117"/>
      <c r="E56" s="117"/>
      <c r="F56" s="116"/>
      <c r="G56" s="116"/>
      <c r="H56" s="8" t="s">
        <v>82</v>
      </c>
      <c r="I56" s="9"/>
    </row>
    <row r="57" spans="1:9" ht="42">
      <c r="A57" s="117"/>
      <c r="B57" s="117"/>
      <c r="C57" s="117"/>
      <c r="D57" s="117"/>
      <c r="E57" s="117"/>
      <c r="F57" s="116"/>
      <c r="G57" s="116"/>
      <c r="H57" s="8" t="s">
        <v>57</v>
      </c>
      <c r="I57" s="9"/>
    </row>
    <row r="58" spans="1:9" ht="31.5">
      <c r="A58" s="117"/>
      <c r="B58" s="117"/>
      <c r="C58" s="117"/>
      <c r="D58" s="117"/>
      <c r="E58" s="117"/>
      <c r="F58" s="116"/>
      <c r="G58" s="116"/>
      <c r="H58" s="8" t="s">
        <v>56</v>
      </c>
      <c r="I58" s="9"/>
    </row>
    <row r="59" spans="1:9" ht="31.5">
      <c r="A59" s="117"/>
      <c r="B59" s="117"/>
      <c r="C59" s="117"/>
      <c r="D59" s="117"/>
      <c r="E59" s="117"/>
      <c r="F59" s="116" t="s">
        <v>131</v>
      </c>
      <c r="G59" s="116" t="s">
        <v>12</v>
      </c>
      <c r="H59" s="8" t="s">
        <v>40</v>
      </c>
      <c r="I59" s="9"/>
    </row>
    <row r="60" spans="1:9" ht="21">
      <c r="A60" s="117"/>
      <c r="B60" s="117"/>
      <c r="C60" s="117"/>
      <c r="D60" s="117"/>
      <c r="E60" s="117"/>
      <c r="F60" s="116"/>
      <c r="G60" s="116"/>
      <c r="H60" s="8" t="s">
        <v>125</v>
      </c>
      <c r="I60" s="9"/>
    </row>
    <row r="61" spans="1:9" ht="31.5">
      <c r="A61" s="117"/>
      <c r="B61" s="117"/>
      <c r="C61" s="117"/>
      <c r="D61" s="117"/>
      <c r="E61" s="117"/>
      <c r="F61" s="116"/>
      <c r="G61" s="116"/>
      <c r="H61" s="8" t="s">
        <v>118</v>
      </c>
      <c r="I61" s="9"/>
    </row>
    <row r="62" spans="1:9" ht="42">
      <c r="A62" s="117"/>
      <c r="B62" s="117"/>
      <c r="C62" s="117"/>
      <c r="D62" s="117"/>
      <c r="E62" s="117"/>
      <c r="F62" s="116"/>
      <c r="G62" s="116"/>
      <c r="H62" s="8" t="s">
        <v>58</v>
      </c>
      <c r="I62" s="9"/>
    </row>
    <row r="63" spans="1:9" ht="21">
      <c r="A63" s="117"/>
      <c r="B63" s="117"/>
      <c r="C63" s="117"/>
      <c r="D63" s="117"/>
      <c r="E63" s="117"/>
      <c r="F63" s="116"/>
      <c r="G63" s="116"/>
      <c r="H63" s="8" t="s">
        <v>117</v>
      </c>
      <c r="I63" s="9"/>
    </row>
    <row r="64" spans="1:9" ht="31.5">
      <c r="A64" s="117"/>
      <c r="B64" s="117"/>
      <c r="C64" s="117"/>
      <c r="D64" s="117"/>
      <c r="E64" s="117"/>
      <c r="F64" s="116"/>
      <c r="G64" s="116" t="s">
        <v>10</v>
      </c>
      <c r="H64" s="8" t="s">
        <v>133</v>
      </c>
      <c r="I64" s="9"/>
    </row>
    <row r="65" spans="1:9" ht="10.5">
      <c r="A65" s="117"/>
      <c r="B65" s="117"/>
      <c r="C65" s="117"/>
      <c r="D65" s="117"/>
      <c r="E65" s="117"/>
      <c r="F65" s="116"/>
      <c r="G65" s="116"/>
      <c r="H65" s="8" t="s">
        <v>39</v>
      </c>
      <c r="I65" s="9"/>
    </row>
    <row r="66" spans="1:9" ht="21">
      <c r="A66" s="117"/>
      <c r="B66" s="117"/>
      <c r="C66" s="117"/>
      <c r="D66" s="117"/>
      <c r="E66" s="117"/>
      <c r="F66" s="116"/>
      <c r="G66" s="116"/>
      <c r="H66" s="8" t="s">
        <v>37</v>
      </c>
      <c r="I66" s="9"/>
    </row>
    <row r="67" spans="1:9" ht="31.5">
      <c r="A67" s="117"/>
      <c r="B67" s="117"/>
      <c r="C67" s="117"/>
      <c r="D67" s="117"/>
      <c r="E67" s="117"/>
      <c r="F67" s="116"/>
      <c r="G67" s="116"/>
      <c r="H67" s="8" t="s">
        <v>30</v>
      </c>
      <c r="I67" s="9"/>
    </row>
    <row r="68" spans="1:9" ht="10.5">
      <c r="A68" s="117"/>
      <c r="B68" s="117"/>
      <c r="C68" s="117"/>
      <c r="D68" s="117"/>
      <c r="E68" s="117"/>
      <c r="F68" s="116"/>
      <c r="G68" s="116"/>
      <c r="H68" s="8" t="s">
        <v>16</v>
      </c>
      <c r="I68" s="9"/>
    </row>
    <row r="69" spans="1:9" ht="10.5">
      <c r="A69" s="117"/>
      <c r="B69" s="117"/>
      <c r="C69" s="117"/>
      <c r="D69" s="117"/>
      <c r="E69" s="117"/>
      <c r="F69" s="116"/>
      <c r="G69" s="116"/>
      <c r="H69" s="8" t="s">
        <v>90</v>
      </c>
      <c r="I69" s="9"/>
    </row>
    <row r="70" spans="1:9" ht="21">
      <c r="A70" s="117"/>
      <c r="B70" s="117"/>
      <c r="C70" s="117"/>
      <c r="D70" s="117"/>
      <c r="E70" s="117"/>
      <c r="F70" s="116"/>
      <c r="G70" s="116"/>
      <c r="H70" s="8" t="s">
        <v>42</v>
      </c>
      <c r="I70" s="9"/>
    </row>
    <row r="71" spans="1:9" ht="10.5">
      <c r="A71" s="117"/>
      <c r="B71" s="117"/>
      <c r="C71" s="117"/>
      <c r="D71" s="117"/>
      <c r="E71" s="117"/>
      <c r="F71" s="116"/>
      <c r="G71" s="116" t="s">
        <v>14</v>
      </c>
      <c r="H71" s="8" t="s">
        <v>116</v>
      </c>
      <c r="I71" s="9"/>
    </row>
    <row r="72" spans="1:9" ht="21">
      <c r="A72" s="117"/>
      <c r="B72" s="117"/>
      <c r="C72" s="117"/>
      <c r="D72" s="117"/>
      <c r="E72" s="117"/>
      <c r="F72" s="116"/>
      <c r="G72" s="116"/>
      <c r="H72" s="8" t="s">
        <v>21</v>
      </c>
      <c r="I72" s="9"/>
    </row>
    <row r="73" spans="1:9" ht="21">
      <c r="A73" s="117"/>
      <c r="B73" s="117"/>
      <c r="C73" s="117"/>
      <c r="D73" s="117"/>
      <c r="E73" s="117"/>
      <c r="F73" s="116"/>
      <c r="G73" s="116"/>
      <c r="H73" s="8" t="s">
        <v>38</v>
      </c>
      <c r="I73" s="9"/>
    </row>
    <row r="74" spans="1:9" ht="21">
      <c r="A74" s="117"/>
      <c r="B74" s="117"/>
      <c r="C74" s="117"/>
      <c r="D74" s="117"/>
      <c r="E74" s="117"/>
      <c r="F74" s="116"/>
      <c r="G74" s="116"/>
      <c r="H74" s="8" t="s">
        <v>23</v>
      </c>
      <c r="I74" s="9"/>
    </row>
    <row r="75" spans="1:9" ht="10.5">
      <c r="A75" s="117"/>
      <c r="B75" s="117"/>
      <c r="C75" s="117"/>
      <c r="D75" s="117"/>
      <c r="E75" s="117"/>
      <c r="F75" s="116"/>
      <c r="G75" s="116"/>
      <c r="H75" s="8" t="s">
        <v>22</v>
      </c>
      <c r="I75" s="9"/>
    </row>
    <row r="76" spans="1:9" ht="21">
      <c r="A76" s="117"/>
      <c r="B76" s="117"/>
      <c r="C76" s="117"/>
      <c r="D76" s="117"/>
      <c r="E76" s="117"/>
      <c r="F76" s="116"/>
      <c r="G76" s="116"/>
      <c r="H76" s="8" t="s">
        <v>31</v>
      </c>
      <c r="I76" s="9"/>
    </row>
    <row r="77" spans="1:9" ht="21">
      <c r="A77" s="117"/>
      <c r="B77" s="117"/>
      <c r="C77" s="117"/>
      <c r="D77" s="117"/>
      <c r="E77" s="117"/>
      <c r="F77" s="116"/>
      <c r="G77" s="116"/>
      <c r="H77" s="8" t="s">
        <v>52</v>
      </c>
      <c r="I77" s="9"/>
    </row>
    <row r="78" spans="1:9" ht="10.5">
      <c r="A78" s="117"/>
      <c r="B78" s="117"/>
      <c r="C78" s="117"/>
      <c r="D78" s="117"/>
      <c r="E78" s="117"/>
      <c r="F78" s="116"/>
      <c r="G78" s="116"/>
      <c r="H78" s="8" t="s">
        <v>74</v>
      </c>
      <c r="I78" s="9"/>
    </row>
    <row r="79" spans="1:9" ht="10.5">
      <c r="A79" s="117"/>
      <c r="B79" s="117"/>
      <c r="C79" s="117"/>
      <c r="D79" s="117"/>
      <c r="E79" s="117"/>
      <c r="F79" s="116"/>
      <c r="G79" s="116"/>
      <c r="H79" s="8" t="s">
        <v>51</v>
      </c>
      <c r="I79" s="9"/>
    </row>
    <row r="80" spans="1:9" ht="21">
      <c r="A80" s="117"/>
      <c r="B80" s="117"/>
      <c r="C80" s="117"/>
      <c r="D80" s="117"/>
      <c r="E80" s="117"/>
      <c r="F80" s="116"/>
      <c r="G80" s="116"/>
      <c r="H80" s="8" t="s">
        <v>26</v>
      </c>
      <c r="I80" s="9"/>
    </row>
    <row r="81" spans="1:9" ht="10.5">
      <c r="A81" s="117"/>
      <c r="B81" s="117"/>
      <c r="C81" s="117"/>
      <c r="D81" s="117"/>
      <c r="E81" s="117"/>
      <c r="F81" s="116"/>
      <c r="G81" s="116"/>
      <c r="H81" s="8" t="s">
        <v>115</v>
      </c>
      <c r="I81" s="9"/>
    </row>
    <row r="82" spans="1:9" ht="10.5">
      <c r="A82" s="117"/>
      <c r="B82" s="117"/>
      <c r="C82" s="117"/>
      <c r="D82" s="117"/>
      <c r="E82" s="117"/>
      <c r="F82" s="116"/>
      <c r="G82" s="116"/>
      <c r="H82" s="8" t="s">
        <v>53</v>
      </c>
      <c r="I82" s="9"/>
    </row>
    <row r="83" spans="1:9" ht="10.5">
      <c r="A83" s="117"/>
      <c r="B83" s="117"/>
      <c r="C83" s="117"/>
      <c r="D83" s="117"/>
      <c r="E83" s="117"/>
      <c r="F83" s="116"/>
      <c r="G83" s="116"/>
      <c r="H83" s="8" t="s">
        <v>75</v>
      </c>
      <c r="I83" s="9"/>
    </row>
    <row r="84" spans="1:9" ht="10.5">
      <c r="A84" s="117"/>
      <c r="B84" s="117"/>
      <c r="C84" s="117"/>
      <c r="D84" s="117"/>
      <c r="E84" s="117"/>
      <c r="F84" s="116"/>
      <c r="G84" s="116"/>
      <c r="H84" s="8" t="s">
        <v>76</v>
      </c>
      <c r="I84" s="9"/>
    </row>
    <row r="85" spans="1:9" ht="21">
      <c r="A85" s="117"/>
      <c r="B85" s="117"/>
      <c r="C85" s="117"/>
      <c r="D85" s="117"/>
      <c r="E85" s="117"/>
      <c r="F85" s="116"/>
      <c r="G85" s="116"/>
      <c r="H85" s="8" t="s">
        <v>43</v>
      </c>
      <c r="I85" s="9"/>
    </row>
    <row r="86" spans="1:9" ht="42">
      <c r="A86" s="117"/>
      <c r="B86" s="117"/>
      <c r="C86" s="117"/>
      <c r="D86" s="117"/>
      <c r="E86" s="117"/>
      <c r="F86" s="116"/>
      <c r="G86" s="10" t="s">
        <v>11</v>
      </c>
      <c r="H86" s="8" t="s">
        <v>20</v>
      </c>
      <c r="I86" s="9"/>
    </row>
    <row r="87" spans="1:9" ht="10.5">
      <c r="A87" s="117"/>
      <c r="B87" s="117"/>
      <c r="C87" s="117"/>
      <c r="D87" s="117"/>
      <c r="E87" s="117"/>
      <c r="F87" s="116"/>
      <c r="G87" s="116" t="s">
        <v>8</v>
      </c>
      <c r="H87" s="8" t="s">
        <v>77</v>
      </c>
      <c r="I87" s="9"/>
    </row>
    <row r="88" spans="1:9" ht="10.5">
      <c r="A88" s="117"/>
      <c r="B88" s="117"/>
      <c r="C88" s="117"/>
      <c r="D88" s="117"/>
      <c r="E88" s="117"/>
      <c r="F88" s="116"/>
      <c r="G88" s="116"/>
      <c r="H88" s="8" t="s">
        <v>79</v>
      </c>
      <c r="I88" s="9"/>
    </row>
    <row r="89" spans="1:9" ht="21">
      <c r="A89" s="117"/>
      <c r="B89" s="117"/>
      <c r="C89" s="117"/>
      <c r="D89" s="117"/>
      <c r="E89" s="117"/>
      <c r="F89" s="116"/>
      <c r="G89" s="116"/>
      <c r="H89" s="8" t="s">
        <v>24</v>
      </c>
      <c r="I89" s="9"/>
    </row>
    <row r="90" spans="1:9" ht="21">
      <c r="A90" s="117"/>
      <c r="B90" s="117"/>
      <c r="C90" s="117"/>
      <c r="D90" s="117"/>
      <c r="E90" s="117"/>
      <c r="F90" s="116"/>
      <c r="G90" s="116"/>
      <c r="H90" s="8" t="s">
        <v>36</v>
      </c>
      <c r="I90" s="9"/>
    </row>
    <row r="91" spans="1:9" ht="31.5">
      <c r="A91" s="117"/>
      <c r="B91" s="117"/>
      <c r="C91" s="117"/>
      <c r="D91" s="117"/>
      <c r="E91" s="117"/>
      <c r="F91" s="116"/>
      <c r="G91" s="116"/>
      <c r="H91" s="8" t="s">
        <v>50</v>
      </c>
      <c r="I91" s="9"/>
    </row>
    <row r="92" spans="1:9" ht="31.5">
      <c r="A92" s="117"/>
      <c r="B92" s="117"/>
      <c r="C92" s="117"/>
      <c r="D92" s="117"/>
      <c r="E92" s="117"/>
      <c r="F92" s="116"/>
      <c r="G92" s="116"/>
      <c r="H92" s="8" t="s">
        <v>34</v>
      </c>
      <c r="I92" s="9"/>
    </row>
    <row r="93" spans="1:9" ht="10.5">
      <c r="A93" s="117"/>
      <c r="B93" s="117"/>
      <c r="C93" s="117"/>
      <c r="D93" s="117"/>
      <c r="E93" s="117"/>
      <c r="F93" s="116"/>
      <c r="G93" s="116"/>
      <c r="H93" s="8" t="s">
        <v>80</v>
      </c>
      <c r="I93" s="9"/>
    </row>
    <row r="94" spans="1:9" ht="73.5">
      <c r="A94" s="117"/>
      <c r="B94" s="117"/>
      <c r="C94" s="117"/>
      <c r="D94" s="117"/>
      <c r="E94" s="117"/>
      <c r="F94" s="116"/>
      <c r="G94" s="116"/>
      <c r="H94" s="8" t="s">
        <v>35</v>
      </c>
      <c r="I94" s="9"/>
    </row>
    <row r="95" spans="1:9" ht="10.5">
      <c r="A95" s="117"/>
      <c r="B95" s="117"/>
      <c r="C95" s="117"/>
      <c r="D95" s="117"/>
      <c r="E95" s="117"/>
      <c r="F95" s="116"/>
      <c r="G95" s="116"/>
      <c r="H95" s="8" t="s">
        <v>48</v>
      </c>
      <c r="I95" s="9"/>
    </row>
    <row r="96" spans="1:9" ht="52.5">
      <c r="A96" s="117"/>
      <c r="B96" s="117"/>
      <c r="C96" s="117"/>
      <c r="D96" s="117"/>
      <c r="E96" s="117"/>
      <c r="F96" s="116"/>
      <c r="G96" s="10" t="s">
        <v>9</v>
      </c>
      <c r="H96" s="8" t="s">
        <v>81</v>
      </c>
      <c r="I96" s="9"/>
    </row>
    <row r="97" spans="1:9" ht="42">
      <c r="A97" s="117" t="s">
        <v>144</v>
      </c>
      <c r="B97" s="117" t="s">
        <v>145</v>
      </c>
      <c r="C97" s="117" t="s">
        <v>146</v>
      </c>
      <c r="D97" s="117" t="s">
        <v>147</v>
      </c>
      <c r="E97" s="117" t="s">
        <v>120</v>
      </c>
      <c r="F97" s="116" t="s">
        <v>130</v>
      </c>
      <c r="G97" s="10" t="s">
        <v>119</v>
      </c>
      <c r="H97" s="8" t="s">
        <v>15</v>
      </c>
      <c r="I97" s="9"/>
    </row>
    <row r="98" spans="1:9" ht="10.5">
      <c r="A98" s="117"/>
      <c r="B98" s="117"/>
      <c r="C98" s="117"/>
      <c r="D98" s="117"/>
      <c r="E98" s="117"/>
      <c r="F98" s="116"/>
      <c r="G98" s="116" t="s">
        <v>132</v>
      </c>
      <c r="H98" s="8" t="s">
        <v>44</v>
      </c>
      <c r="I98" s="9"/>
    </row>
    <row r="99" spans="1:9" ht="31.5">
      <c r="A99" s="117"/>
      <c r="B99" s="117"/>
      <c r="C99" s="117"/>
      <c r="D99" s="117"/>
      <c r="E99" s="117"/>
      <c r="F99" s="116"/>
      <c r="G99" s="116"/>
      <c r="H99" s="8" t="s">
        <v>41</v>
      </c>
      <c r="I99" s="9"/>
    </row>
    <row r="100" spans="1:9" ht="10.5">
      <c r="A100" s="117"/>
      <c r="B100" s="117"/>
      <c r="C100" s="117"/>
      <c r="D100" s="117"/>
      <c r="E100" s="117"/>
      <c r="F100" s="116"/>
      <c r="G100" s="116"/>
      <c r="H100" s="8" t="s">
        <v>45</v>
      </c>
      <c r="I100" s="9"/>
    </row>
    <row r="101" spans="1:9" ht="10.5">
      <c r="A101" s="117"/>
      <c r="B101" s="117"/>
      <c r="C101" s="117"/>
      <c r="D101" s="117"/>
      <c r="E101" s="117"/>
      <c r="F101" s="116"/>
      <c r="G101" s="116"/>
      <c r="H101" s="8" t="s">
        <v>113</v>
      </c>
      <c r="I101" s="9"/>
    </row>
    <row r="102" spans="1:9" ht="10.5">
      <c r="A102" s="117"/>
      <c r="B102" s="117"/>
      <c r="C102" s="117"/>
      <c r="D102" s="117"/>
      <c r="E102" s="117"/>
      <c r="F102" s="116"/>
      <c r="G102" s="116"/>
      <c r="H102" s="8" t="s">
        <v>114</v>
      </c>
      <c r="I102" s="9"/>
    </row>
    <row r="103" spans="1:9" ht="10.5">
      <c r="A103" s="117"/>
      <c r="B103" s="117"/>
      <c r="C103" s="117"/>
      <c r="D103" s="117"/>
      <c r="E103" s="117"/>
      <c r="F103" s="116"/>
      <c r="G103" s="116"/>
      <c r="H103" s="8" t="s">
        <v>89</v>
      </c>
      <c r="I103" s="9"/>
    </row>
    <row r="104" spans="1:9" ht="10.5">
      <c r="A104" s="117"/>
      <c r="B104" s="117"/>
      <c r="C104" s="117"/>
      <c r="D104" s="117"/>
      <c r="E104" s="117"/>
      <c r="F104" s="116"/>
      <c r="G104" s="116"/>
      <c r="H104" s="8" t="s">
        <v>112</v>
      </c>
      <c r="I104" s="9"/>
    </row>
    <row r="105" spans="1:9" ht="10.5">
      <c r="A105" s="117"/>
      <c r="B105" s="117"/>
      <c r="C105" s="117"/>
      <c r="D105" s="117"/>
      <c r="E105" s="117"/>
      <c r="F105" s="116"/>
      <c r="G105" s="116"/>
      <c r="H105" s="8" t="s">
        <v>47</v>
      </c>
      <c r="I105" s="9"/>
    </row>
    <row r="106" spans="1:9" ht="10.5">
      <c r="A106" s="117"/>
      <c r="B106" s="117"/>
      <c r="C106" s="117"/>
      <c r="D106" s="117"/>
      <c r="E106" s="117"/>
      <c r="F106" s="116"/>
      <c r="G106" s="116"/>
      <c r="H106" s="8" t="s">
        <v>49</v>
      </c>
      <c r="I106" s="9"/>
    </row>
    <row r="107" spans="1:9" ht="10.5">
      <c r="A107" s="6" t="s">
        <v>27</v>
      </c>
      <c r="B107" s="6"/>
      <c r="C107" s="6"/>
      <c r="D107" s="6"/>
      <c r="E107" s="6"/>
      <c r="F107" s="6"/>
      <c r="G107" s="6"/>
      <c r="H107" s="6"/>
      <c r="I107" s="11">
        <f>SUM(I2:I106)</f>
        <v>0</v>
      </c>
    </row>
  </sheetData>
  <sheetProtection/>
  <mergeCells count="27">
    <mergeCell ref="F97:F106"/>
    <mergeCell ref="A97:A106"/>
    <mergeCell ref="B97:B106"/>
    <mergeCell ref="C97:C106"/>
    <mergeCell ref="D97:D106"/>
    <mergeCell ref="E97:E106"/>
    <mergeCell ref="G59:G63"/>
    <mergeCell ref="G64:G70"/>
    <mergeCell ref="G71:G85"/>
    <mergeCell ref="G87:G95"/>
    <mergeCell ref="G98:G106"/>
    <mergeCell ref="F31:F50"/>
    <mergeCell ref="G31:G48"/>
    <mergeCell ref="A2:A96"/>
    <mergeCell ref="B2:B96"/>
    <mergeCell ref="C2:C96"/>
    <mergeCell ref="D2:D96"/>
    <mergeCell ref="E2:E96"/>
    <mergeCell ref="F2:F5"/>
    <mergeCell ref="F51:F58"/>
    <mergeCell ref="G2:G5"/>
    <mergeCell ref="F6:F12"/>
    <mergeCell ref="G6:G12"/>
    <mergeCell ref="F13:F30"/>
    <mergeCell ref="G13:G30"/>
    <mergeCell ref="G51:G58"/>
    <mergeCell ref="F59:F96"/>
  </mergeCells>
  <printOptions horizontalCentered="1"/>
  <pageMargins left="0" right="0" top="0" bottom="0" header="0" footer="0"/>
  <pageSetup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UAECOB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METOVAR</dc:creator>
  <cp:keywords/>
  <dc:description/>
  <cp:lastModifiedBy>mvalencia</cp:lastModifiedBy>
  <cp:lastPrinted>2015-12-22T21:32:47Z</cp:lastPrinted>
  <dcterms:created xsi:type="dcterms:W3CDTF">2009-10-08T13:21:11Z</dcterms:created>
  <dcterms:modified xsi:type="dcterms:W3CDTF">2015-12-22T22:14:49Z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