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5.xml" ContentType="application/vnd.ms-excel.person+xml"/>
  <Override PartName="/xl/persons/person10.xml" ContentType="application/vnd.ms-excel.person+xml"/>
  <Override PartName="/xl/persons/person17.xml" ContentType="application/vnd.ms-excel.person+xml"/>
  <Override PartName="/xl/persons/person30.xml" ContentType="application/vnd.ms-excel.person+xml"/>
  <Override PartName="/xl/persons/person1.xml" ContentType="application/vnd.ms-excel.person+xml"/>
  <Override PartName="/xl/persons/person25.xml" ContentType="application/vnd.ms-excel.person+xml"/>
  <Override PartName="/xl/persons/person33.xml" ContentType="application/vnd.ms-excel.person+xml"/>
  <Override PartName="/xl/persons/person36.xml" ContentType="application/vnd.ms-excel.person+xml"/>
  <Override PartName="/xl/persons/person40.xml" ContentType="application/vnd.ms-excel.person+xml"/>
  <Override PartName="/xl/persons/person7.xml" ContentType="application/vnd.ms-excel.person+xml"/>
  <Override PartName="/xl/persons/person19.xml" ContentType="application/vnd.ms-excel.person+xml"/>
  <Override PartName="/xl/persons/person32.xml" ContentType="application/vnd.ms-excel.person+xml"/>
  <Override PartName="/xl/persons/person2.xml" ContentType="application/vnd.ms-excel.person+xml"/>
  <Override PartName="/xl/persons/person14.xml" ContentType="application/vnd.ms-excel.person+xml"/>
  <Override PartName="/xl/persons/person22.xml" ContentType="application/vnd.ms-excel.person+xml"/>
  <Override PartName="/xl/persons/person27.xml" ContentType="application/vnd.ms-excel.person+xml"/>
  <Override PartName="/xl/persons/person35.xml" ContentType="application/vnd.ms-excel.person+xml"/>
  <Override PartName="/xl/persons/person6.xml" ContentType="application/vnd.ms-excel.person+xml"/>
  <Override PartName="/xl/persons/person4.xml" ContentType="application/vnd.ms-excel.person+xml"/>
  <Override PartName="/xl/persons/person18.xml" ContentType="application/vnd.ms-excel.person+xml"/>
  <Override PartName="/xl/persons/person26.xml" ContentType="application/vnd.ms-excel.person+xml"/>
  <Override PartName="/xl/persons/person39.xml" ContentType="application/vnd.ms-excel.person+xml"/>
  <Override PartName="/xl/persons/person13.xml" ContentType="application/vnd.ms-excel.person+xml"/>
  <Override PartName="/xl/persons/person12.xml" ContentType="application/vnd.ms-excel.person+xml"/>
  <Override PartName="/xl/persons/person21.xml" ContentType="application/vnd.ms-excel.person+xml"/>
  <Override PartName="/xl/persons/person34.xml" ContentType="application/vnd.ms-excel.person+xml"/>
  <Override PartName="/xl/persons/person41.xml" ContentType="application/vnd.ms-excel.person+xml"/>
  <Override PartName="/xl/persons/person38.xml" ContentType="application/vnd.ms-excel.person+xml"/>
  <Override PartName="/xl/persons/person29.xml" ContentType="application/vnd.ms-excel.person+xml"/>
  <Override PartName="/xl/persons/person24.xml" ContentType="application/vnd.ms-excel.person+xml"/>
  <Override PartName="/xl/persons/person20.xml" ContentType="application/vnd.ms-excel.person+xml"/>
  <Override PartName="/xl/persons/person16.xml" ContentType="application/vnd.ms-excel.person+xml"/>
  <Override PartName="/xl/persons/person8.xml" ContentType="application/vnd.ms-excel.person+xml"/>
  <Override PartName="/xl/persons/person15.xml" ContentType="application/vnd.ms-excel.person+xml"/>
  <Override PartName="/xl/persons/person37.xml" ContentType="application/vnd.ms-excel.person+xml"/>
  <Override PartName="/xl/persons/person3.xml" ContentType="application/vnd.ms-excel.person+xml"/>
  <Override PartName="/xl/persons/person9.xml" ContentType="application/vnd.ms-excel.person+xml"/>
  <Override PartName="/xl/persons/person0.xml" ContentType="application/vnd.ms-excel.person+xml"/>
  <Override PartName="/xl/persons/person23.xml" ContentType="application/vnd.ms-excel.person+xml"/>
  <Override PartName="/xl/persons/person28.xml" ContentType="application/vnd.ms-excel.person+xml"/>
  <Override PartName="/xl/persons/person11.xml" ContentType="application/vnd.ms-excel.person+xml"/>
  <Override PartName="/xl/persons/person31.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Usuario\OneDrive - Bomberos Bogota\Escritorio\MODIFICACIONES PAA VR10 A PAA VR11\"/>
    </mc:Choice>
  </mc:AlternateContent>
  <xr:revisionPtr revIDLastSave="0" documentId="13_ncr:1_{A4DB1CE7-C744-43D2-8965-7732426E394E}" xr6:coauthVersionLast="47" xr6:coauthVersionMax="47" xr10:uidLastSave="{00000000-0000-0000-0000-000000000000}"/>
  <bookViews>
    <workbookView xWindow="-110" yWindow="-110" windowWidth="19420" windowHeight="10420" xr2:uid="{00000000-000D-0000-FFFF-FFFF00000000}"/>
  </bookViews>
  <sheets>
    <sheet name="PAA VR 11 - 2024" sheetId="1" r:id="rId1"/>
    <sheet name="resumen" sheetId="2" state="hidden" r:id="rId2"/>
  </sheets>
  <definedNames>
    <definedName name="_xlnm._FilterDatabase" localSheetId="0" hidden="1">'PAA VR 11 - 2024'!$A$6:$R$706</definedName>
  </definedNames>
  <calcPr calcId="191029"/>
</workbook>
</file>

<file path=xl/calcChain.xml><?xml version="1.0" encoding="utf-8"?>
<calcChain xmlns="http://schemas.openxmlformats.org/spreadsheetml/2006/main">
  <c r="M80" i="1" l="1"/>
  <c r="M68" i="1"/>
  <c r="M53" i="1"/>
  <c r="M52" i="1"/>
  <c r="M51" i="1"/>
  <c r="M50" i="1"/>
  <c r="M7" i="1"/>
  <c r="M181" i="1" l="1"/>
  <c r="M107" i="1" l="1"/>
  <c r="M22" i="1"/>
  <c r="M20" i="1"/>
  <c r="M94" i="1" l="1"/>
  <c r="M93" i="1"/>
  <c r="M92" i="1"/>
  <c r="M91" i="1"/>
  <c r="M90" i="1"/>
  <c r="M102" i="1"/>
  <c r="M89" i="1"/>
  <c r="M101" i="1"/>
  <c r="M88" i="1"/>
  <c r="M87" i="1"/>
  <c r="M86" i="1"/>
  <c r="M85" i="1"/>
  <c r="M84" i="1"/>
  <c r="M100" i="1"/>
  <c r="M83" i="1"/>
  <c r="M99" i="1"/>
  <c r="M79" i="1"/>
  <c r="M78" i="1"/>
  <c r="M77" i="1"/>
  <c r="M98" i="1"/>
  <c r="M76" i="1"/>
  <c r="M75" i="1"/>
  <c r="M74" i="1"/>
  <c r="M73" i="1"/>
  <c r="M72" i="1"/>
  <c r="M71" i="1"/>
  <c r="M70" i="1"/>
  <c r="M97" i="1"/>
  <c r="M69" i="1"/>
  <c r="M177" i="1"/>
  <c r="M172" i="1"/>
  <c r="M96" i="1" l="1"/>
  <c r="M108" i="1"/>
  <c r="M65" i="1" l="1"/>
  <c r="M64" i="1"/>
  <c r="M63" i="1"/>
  <c r="M62" i="1"/>
  <c r="M61" i="1"/>
  <c r="M60" i="1"/>
  <c r="M59" i="1"/>
  <c r="M58" i="1"/>
  <c r="M57" i="1"/>
  <c r="M56" i="1"/>
  <c r="M55" i="1"/>
  <c r="M54" i="1"/>
  <c r="M153" i="1"/>
  <c r="M8" i="1" l="1"/>
  <c r="M10" i="1"/>
  <c r="M9" i="1"/>
  <c r="M11" i="1"/>
  <c r="M95" i="1"/>
  <c r="M106" i="1"/>
  <c r="M66" i="1"/>
  <c r="M67" i="1" l="1"/>
  <c r="M21" i="1" l="1"/>
  <c r="M19" i="1"/>
  <c r="M105" i="1"/>
  <c r="M103" i="1" l="1"/>
  <c r="M49" i="1"/>
  <c r="M48" i="1"/>
  <c r="M47" i="1"/>
  <c r="M46" i="1"/>
  <c r="M45" i="1"/>
  <c r="M44" i="1"/>
  <c r="M43" i="1"/>
  <c r="M42" i="1"/>
  <c r="M41" i="1"/>
  <c r="M40" i="1"/>
  <c r="M39" i="1"/>
  <c r="M38" i="1"/>
  <c r="M37" i="1"/>
  <c r="M36" i="1"/>
  <c r="M35" i="1"/>
  <c r="M34" i="1"/>
  <c r="M33" i="1"/>
  <c r="M32" i="1"/>
  <c r="M31" i="1"/>
  <c r="M30" i="1"/>
  <c r="M29" i="1"/>
  <c r="M28" i="1"/>
  <c r="M27" i="1"/>
  <c r="M26" i="1"/>
  <c r="M25" i="1"/>
  <c r="M24" i="1"/>
  <c r="M23" i="1"/>
  <c r="M18" i="1" l="1"/>
  <c r="M17" i="1"/>
  <c r="M16" i="1"/>
  <c r="M15" i="1"/>
  <c r="M14" i="1"/>
  <c r="M13" i="1"/>
  <c r="M12" i="1"/>
  <c r="M490" i="1" l="1"/>
  <c r="M256" i="1" l="1"/>
  <c r="M466" i="1"/>
  <c r="M555" i="1" l="1"/>
  <c r="M212" i="1" l="1"/>
  <c r="M208" i="1"/>
  <c r="M206" i="1"/>
  <c r="M205" i="1"/>
  <c r="M203" i="1"/>
  <c r="M431" i="1" l="1"/>
  <c r="M276" i="1"/>
  <c r="M308" i="1"/>
  <c r="M302" i="1"/>
  <c r="M278" i="1"/>
  <c r="M307" i="1"/>
  <c r="M283" i="1"/>
  <c r="M264" i="1"/>
  <c r="M310" i="1"/>
  <c r="M306" i="1"/>
  <c r="M294" i="1"/>
  <c r="M285" i="1"/>
  <c r="M295" i="1"/>
  <c r="M284" i="1"/>
  <c r="M301" i="1"/>
  <c r="M297" i="1"/>
  <c r="M298" i="1"/>
  <c r="M296" i="1"/>
  <c r="M303" i="1"/>
  <c r="M271" i="1"/>
  <c r="M288" i="1"/>
  <c r="M292" i="1"/>
  <c r="M290" i="1"/>
  <c r="M293" i="1"/>
  <c r="M287" i="1"/>
  <c r="M291" i="1"/>
  <c r="M286" i="1"/>
  <c r="M289" i="1"/>
  <c r="M459" i="1"/>
  <c r="M199" i="1"/>
  <c r="M200" i="1"/>
  <c r="M194" i="1"/>
  <c r="M190" i="1"/>
  <c r="M189" i="1"/>
  <c r="M192" i="1"/>
  <c r="M191" i="1"/>
  <c r="M195" i="1"/>
  <c r="M198" i="1"/>
  <c r="M328" i="1" l="1"/>
  <c r="M327" i="1"/>
  <c r="M325" i="1"/>
  <c r="M324" i="1"/>
  <c r="M323" i="1"/>
  <c r="M322" i="1" l="1"/>
  <c r="M439" i="1"/>
  <c r="M210" i="1" l="1"/>
  <c r="M213" i="1"/>
  <c r="M207" i="1"/>
  <c r="M457" i="1"/>
  <c r="M515" i="1"/>
  <c r="M489" i="1"/>
  <c r="M542" i="1"/>
  <c r="M520" i="1"/>
  <c r="M355" i="1" l="1"/>
  <c r="M382" i="1" l="1"/>
  <c r="M374" i="1"/>
  <c r="M371" i="1"/>
  <c r="M369" i="1"/>
  <c r="M368" i="1"/>
  <c r="M366" i="1"/>
  <c r="M365" i="1"/>
  <c r="M363" i="1"/>
  <c r="M362" i="1"/>
  <c r="M361" i="1"/>
  <c r="M360" i="1"/>
  <c r="M359" i="1"/>
  <c r="M358" i="1"/>
  <c r="M357" i="1"/>
  <c r="M356" i="1"/>
  <c r="M342" i="1"/>
  <c r="M341" i="1"/>
  <c r="M339" i="1"/>
  <c r="M337" i="1"/>
  <c r="M336" i="1"/>
  <c r="M334" i="1"/>
  <c r="M481" i="1" l="1"/>
  <c r="M463" i="1"/>
  <c r="M548" i="1"/>
  <c r="M234" i="1" l="1"/>
  <c r="M235" i="1"/>
  <c r="M233" i="1" l="1"/>
  <c r="M201" i="1"/>
  <c r="M197" i="1"/>
  <c r="M434" i="1"/>
  <c r="M375" i="1" l="1"/>
  <c r="M611" i="1"/>
  <c r="M245" i="1" l="1"/>
  <c r="M608" i="1" l="1"/>
  <c r="M484" i="1"/>
  <c r="M574" i="1"/>
  <c r="M214" i="1"/>
  <c r="M247" i="1" l="1"/>
  <c r="M440" i="1" l="1"/>
  <c r="M602" i="1" l="1"/>
  <c r="M326" i="1" l="1"/>
  <c r="M321" i="1"/>
  <c r="M320" i="1"/>
  <c r="M319" i="1"/>
  <c r="M316" i="1"/>
  <c r="M315" i="1"/>
  <c r="M314" i="1"/>
  <c r="M313" i="1"/>
  <c r="M577" i="1" l="1"/>
  <c r="M575" i="1"/>
  <c r="M428" i="1"/>
  <c r="M425" i="1"/>
  <c r="M422" i="1"/>
  <c r="M421" i="1"/>
  <c r="M420" i="1"/>
  <c r="M418" i="1"/>
  <c r="M417" i="1"/>
  <c r="M249" i="1" l="1"/>
  <c r="M430" i="1"/>
  <c r="M593" i="1" l="1"/>
  <c r="M193" i="1" l="1"/>
  <c r="M216" i="1"/>
  <c r="M516" i="1"/>
  <c r="M524" i="1"/>
  <c r="M485" i="1"/>
  <c r="M443" i="1"/>
  <c r="M253" i="1"/>
  <c r="M240" i="1"/>
  <c r="M239" i="1"/>
  <c r="M232" i="1"/>
  <c r="M196" i="1"/>
  <c r="M188" i="1"/>
  <c r="M186" i="1"/>
  <c r="M573" i="1" l="1"/>
  <c r="M211" i="1"/>
  <c r="M187" i="1"/>
  <c r="M584" i="1" l="1"/>
  <c r="M537" i="1"/>
  <c r="M546" i="1"/>
  <c r="M82" i="1"/>
  <c r="M464" i="1"/>
  <c r="M220" i="1" l="1"/>
  <c r="M217" i="1"/>
  <c r="M519" i="1"/>
  <c r="M554" i="1"/>
  <c r="M569" i="1" l="1"/>
  <c r="M568" i="1"/>
  <c r="M409" i="1"/>
  <c r="M215" i="1"/>
  <c r="M209" i="1"/>
  <c r="M202" i="1"/>
  <c r="M547" i="1"/>
  <c r="M236" i="1"/>
  <c r="M462" i="1"/>
  <c r="M458" i="1"/>
  <c r="M455" i="1"/>
  <c r="M454" i="1"/>
  <c r="M436" i="1"/>
  <c r="M432" i="1"/>
  <c r="M332" i="1"/>
  <c r="M331" i="1"/>
  <c r="M330" i="1"/>
  <c r="M329" i="1"/>
  <c r="M311" i="1"/>
  <c r="M509" i="1"/>
  <c r="M508" i="1"/>
  <c r="M504" i="1"/>
  <c r="M503" i="1"/>
  <c r="M502" i="1"/>
  <c r="M501" i="1"/>
  <c r="M498" i="1"/>
  <c r="M495" i="1"/>
  <c r="M493" i="1"/>
  <c r="M444" i="1"/>
  <c r="M560" i="1"/>
  <c r="M558" i="1"/>
  <c r="M557" i="1"/>
  <c r="M317" i="1"/>
  <c r="M318" i="1"/>
  <c r="G86" i="2"/>
  <c r="G76" i="2"/>
  <c r="G70" i="2"/>
  <c r="G51" i="2"/>
  <c r="G45" i="2"/>
  <c r="G32" i="2"/>
  <c r="M5" i="1"/>
  <c r="O4" i="1" l="1"/>
</calcChain>
</file>

<file path=xl/sharedStrings.xml><?xml version="1.0" encoding="utf-8"?>
<sst xmlns="http://schemas.openxmlformats.org/spreadsheetml/2006/main" count="6577" uniqueCount="770">
  <si>
    <t>UNIDAD ADMINISTRATIVA ESPECIAL CUERPO OFICIAL DE BOMBEROS</t>
  </si>
  <si>
    <t>PLAN ANUAL DE ADQUISICIONES 2024</t>
  </si>
  <si>
    <t>PRESUPUESTO ASIGNADO 2024</t>
  </si>
  <si>
    <t>Rubro</t>
  </si>
  <si>
    <t>Código y Nombre del Rubro</t>
  </si>
  <si>
    <t>Dependencia</t>
  </si>
  <si>
    <t>Código UNSPSC (cada código separado por ;)</t>
  </si>
  <si>
    <t>Descripción- Objeto</t>
  </si>
  <si>
    <t>Fecha estimada de inicio de proceso de selección (día/mes/año)</t>
  </si>
  <si>
    <t>Fecha estimada de presentación de ofertas (día/mes/año)</t>
  </si>
  <si>
    <t>Duración estimada del contrato  (Meses)</t>
  </si>
  <si>
    <t xml:space="preserve">Modalidad de selección </t>
  </si>
  <si>
    <t>Fuente de los recursos</t>
  </si>
  <si>
    <t>Concepto del Gasto -POSPRE(SDH)</t>
  </si>
  <si>
    <t>Valor total estimado</t>
  </si>
  <si>
    <t>Meta Proyecto de Inversión</t>
  </si>
  <si>
    <t xml:space="preserve">Meta Producto/Meta producto </t>
  </si>
  <si>
    <t xml:space="preserve">SI SECOP/NO SECOP </t>
  </si>
  <si>
    <t>O23011605560000007655 - Fortalecimiento de la Planeación y Gestión de la UAECOB Bogotá</t>
  </si>
  <si>
    <t>Subdirección de Gestión Corporativa</t>
  </si>
  <si>
    <t>Prestar los servicios como conductor de  la Subdireccion de Gestion Corporativa -SGC</t>
  </si>
  <si>
    <t xml:space="preserve">CCE-16 Contratación directa </t>
  </si>
  <si>
    <t>1-100-F001 VA-Recursos distrito</t>
  </si>
  <si>
    <t>O232020200883990_Otros servicios profesionales, técnicos y empresariales n.c.p.</t>
  </si>
  <si>
    <t>1-Implementar 1 plan de ajuste y sostenibilidad del MIPG en la UAECOB</t>
  </si>
  <si>
    <t>224-Implementar al 100% un programa de formación, modernización y sostenibilidad de la Unidad Administrativa Especial Cuerpo Oficial de Bomberos - UAECOB, para la respuesta efectiva en la atención de emergencias y desastres</t>
  </si>
  <si>
    <t>SI SECOP</t>
  </si>
  <si>
    <t>Prestación de servicios profesionales para la formulación, seguimiento, ejecución de los procesos contables y gestión de pagos que se desarrollan en el área Financiera de la UAE Cuerpo Oficial de Bomberos asignados. -SGC</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</si>
  <si>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  -SGC</t>
  </si>
  <si>
    <t>O232020200882199_Otros servicios jurídicos n.c.p.</t>
  </si>
  <si>
    <t>Prestación de servicios profesionales en la Subdirección de Gestión Corporativa adelantando las actividades necesarias para la ejecución del programa y los procesos de seguros de la Entidad-SGC</t>
  </si>
  <si>
    <t>Prestación de servicios de apoyo a la gestión en la ejecución de los planes y programas de servicio al ciudadano a cargo de la Subdirección de Gestión Corporativa.-SGC</t>
  </si>
  <si>
    <t>Prestación de servicios de apoyo a la gestión en la ejecución de los planes y programas de servicio al ciudadano a cargo de la Subdirección de Gestión Corporativa-SGC</t>
  </si>
  <si>
    <t>Prestación de servicios profesionales para articular la gestión en la ejecución de los planes y programas de servicio al ciudadano a cargo de la Subdirección de Gestión Corporativa.-SGC</t>
  </si>
  <si>
    <t>Prestación de servicios profesionales en la Subdirección de Gestión Corporativa en las actividades relacionadas con MIPG-SGC</t>
  </si>
  <si>
    <t>Mantenimiento preventivo y correctivo, que incluye el suministro de insumos y repuestos de las plantas eléctricas ubicadas en los diferentes edificios de la Unidad Administrativa Especial del Cuerpo Oficial de Bomberos Bogotá D.C -SGC</t>
  </si>
  <si>
    <t>CCE-10 Mínima cuantía</t>
  </si>
  <si>
    <t>O23202020088715999_Servicio de mantenimiento y reparación de otros equipos n.c.p.</t>
  </si>
  <si>
    <t>5-Implementar 100% de un programa de mantenimiento a las estaciones de bomberos de Bogotá</t>
  </si>
  <si>
    <t xml:space="preserve">47111500;
73152100;
</t>
  </si>
  <si>
    <t>Mantenimiento preventivo y correctivo, que incluye el suministro de insumos y repuestos de las lavadoras y secadoras industriales ubicadas en las estaciones de bomberos de la UAE Cuerpo Oficial de Bomberos de Bogotá-SGC</t>
  </si>
  <si>
    <t>Mantenimiento preventivo y correctivo de los equipos gasodomésticos y solares, adecuación de las redes de gas natural y repuestos para las Estaciones de Bomberos de UAE Cuerpo Oficial de Bomberos SGC</t>
  </si>
  <si>
    <t>Mantenimiento correctivo y/o preventivo, suministros y repuestos de los equipos hidroneumáticos, motobombas eléctricas, bombas sumergibles, tableros de control y fuerza y demás equipos de bombeo instalados en las estaciones de bomberos de la UAE Cuerpo oficial de Bomberos -SGC</t>
  </si>
  <si>
    <t>Mantenimiento preventivo y correctivo de la red contraincendios  y sistemas de detención de alarmas contra incendios de las estaciones de bomberos de la UAE- Cuerpo Oficial de Bomberos Bogota SGC</t>
  </si>
  <si>
    <t>Realizar el mantenimiento preventivo, correctivo de puertas automatizadas para las salas de máquinas de las estaciones de la UAE Cuerpo Oficial de Bomberos -SGC</t>
  </si>
  <si>
    <t>Suministro de materiales, equipos y herramientas para el mejoramiento integral de las instalaciones de la UAE Cuerpo Oficial de Bomberos -SGC</t>
  </si>
  <si>
    <t>CCE-99 Seléccion abreviada - acuerdo marco</t>
  </si>
  <si>
    <t>O23201010030208_Otra maquinaria para usos especiales y sus partes y piezas</t>
  </si>
  <si>
    <t xml:space="preserve">Realizar el mantenimiento predictivo, preventivo, correctivo, mejoras y dotación a las instalaciones de las dependencias de la Unidad Administrativa Especial Cuerpo Oficial de Bomberos de Bogotá D.C. - SGC
</t>
  </si>
  <si>
    <t>CCE-02 Licitación pública</t>
  </si>
  <si>
    <t>O2320202005040554590_Otros servicios especializados de la construcción</t>
  </si>
  <si>
    <t>44121700;
44111500;
44122000;
44122100;
14111500;</t>
  </si>
  <si>
    <t>Contratar la prestación del servicio de aseo y cafetería incluído insumos para la UAE Cuerpo Oficial de Bomberos-SGC</t>
  </si>
  <si>
    <t>O232020200885330_Servicios de limpieza general</t>
  </si>
  <si>
    <t>92121500;
92121700;
32151800;</t>
  </si>
  <si>
    <t>Prestar el servicio de vigilancia y seguridad privada en la modalidad de vigilancia fija, según especificaciones técnicas, en las instalaciones que la UAE especial cuerpo oficial de bomberos requiera-SGC</t>
  </si>
  <si>
    <t>O232020200885250_Servicios de protección (guardas de
seguridad)</t>
  </si>
  <si>
    <t>Prestar servicios profesionales para acompañar jurídicamente los procesos y procedimientos del  areá de infraestructura de la  Subdirección de Gestión Corporativa.SGC</t>
  </si>
  <si>
    <t xml:space="preserve">Prestar los servicios como conductor del area de infraestructura de la Subdireccion de Gestion Corporativa-SGC </t>
  </si>
  <si>
    <t>Prestación de servicios profesionales para apoyar las actividades técnicas del Área de Infraestructura de la Subdirección de Gestión Corporativa-SGC</t>
  </si>
  <si>
    <t>Prestación de servicios profesionales especializados para apoyar las actividades técnicas del Área de Infraestructura de la Subdirección de Gestión Corporativa-SGC</t>
  </si>
  <si>
    <t xml:space="preserve">Prestación de servicios profesionales especializados para articular y revisar los procesos y procedimientos del área de infraestructura, así como en el apoyo a la supervisión de los contratos que le sean asignados-SGC. </t>
  </si>
  <si>
    <t>Prestación de servicios profesionales para adelantar  actividades tecnicas  y tramites administrativos  del Área de Infraestructura de la Subdirección de Gestión Corporativa-SGC</t>
  </si>
  <si>
    <t>Prestación de Servicios Profesionales en temas financieros, administrativas y misionales para apoyar los proyectos de infraestructura de la Subdirección de Gestión Corporativa.-SGC</t>
  </si>
  <si>
    <t>Prestación de Servicios Profesionales para la formulación, seguimiento y ejecución de procesos  presupuestales y financieros a cargo de la Subdirección de Gestión Corporativa -SGC.</t>
  </si>
  <si>
    <t>Prestación de servicios de apoyo a la gestión, en la Subdirección de Gestión Corporativa en temas de infraestructura para el sostenimiento y mejoramiento de los equipamientos de la Unidad Administrativa Especial Cuerpo Oficial de Bomberos de Bogotá-SGC</t>
  </si>
  <si>
    <t>N/A</t>
  </si>
  <si>
    <t>4-Adecuar seis (6) estaciones de Bomberos</t>
  </si>
  <si>
    <t>226-Reforzar, Adecuar y Ampliar  6 estaciones de Bomberos</t>
  </si>
  <si>
    <t>Prestación de servicios de apoyo a la gestión del proceso de inventarios de la Subdirección de Gestión Corporativa.-SGC</t>
  </si>
  <si>
    <t>Prestación de servicios profesionales al área Financiera de la Subdirección de Gestión Corporativa. -SGC.</t>
  </si>
  <si>
    <t>Prestación de servicios de apoyo a la gestión en la Subdirección de Gestión Corporativa, en las actividades asociadas a los procesos y procedimientos del almacén de la Entidad.-SGC</t>
  </si>
  <si>
    <t>Prestación de servicios profesionales en la implementación,consolidación, seguimiento y reporte de los lineamientos ambientales en cada una de las sedes de la UAE CUERPO OFICIAL DE BOMBEROS BOGOTÁ-SGC</t>
  </si>
  <si>
    <t>Prestación de servicios de apoyo a la gestión del área Financiera de la Subdirección de Gestión Corporativa.-SGC</t>
  </si>
  <si>
    <t>Prestación de servicios de apoyo a la gestión documental de la Subdirección de Gestión Corporativa de la Unidad-SGC</t>
  </si>
  <si>
    <t>Prestación de servicios de apoyo a la gestión documental de la Subdirección de Gestión Corporativa de la Unidad.-SGC</t>
  </si>
  <si>
    <t>Prestar servicios profesionales para desarrollar e implementar sistemas de información, brindar soporte, mantenimiento y generar interoperabilidad con BOGDATA,  en la Subdirección de Gestión Corporativa -SGC.</t>
  </si>
  <si>
    <t>Prestación de servicios profesionales en la implementación, consolidación, seguimiento y reporte de los lineamientos ambientales en cada una de las sedes de la entidad, enfatizado en los equipos de trabajo de la Subdirección de Gestión Corporativa-SGC</t>
  </si>
  <si>
    <t>84131600; 
84131500;
84131600;</t>
  </si>
  <si>
    <t>Prestación de servicios de apoyo a la gestión de seguros de la Subdirección de Gestión Corporativa. –SGC.</t>
  </si>
  <si>
    <t>516-Gestionar el 100% de un (1) plan de adecuación y sostenibilidad de los sistemas de gestión de la Unidad Administrativa Especial Cuerpo Oficial de Bomberos</t>
  </si>
  <si>
    <t>Prestar servicios profesionales en la Subdirección de Gestión Corporativa en lo relacionado con los procesos de inventarios.-SGC</t>
  </si>
  <si>
    <t>O23011602300000007658 - Fortalecimiento del Cuerpo Oficial de Bomberos Bogotá</t>
  </si>
  <si>
    <t>Prestar servicios profesionales en la Subdirección de Gestión Corporativa en el marco de las actividades administrativas de la Dependencia.-SGC</t>
  </si>
  <si>
    <t>Prestar los servicios profesionales para la gestión administrativa y operativa de la Subdirección de Gestión Corporativa en el proceso de adquisición de bienes y servicios-SGC</t>
  </si>
  <si>
    <t xml:space="preserve">Adquisición de mobiliario para la dotación de las estaciónes y sede comando de la UAE Cuerpo Oficial de Bomberos Bogotá- SGC </t>
  </si>
  <si>
    <t>Elaboración de estudios y diseños técnicos para la construcción de la estación de bomberos de Ferias B-7 de la UAE Cuerpo Oficial de Bomberos de Bogotá – SGC</t>
  </si>
  <si>
    <t>CCE-17 Licitación pública (Obra pública)</t>
  </si>
  <si>
    <t>CCE-20 Concurso de méritos abierto</t>
  </si>
  <si>
    <t>3-Poner 3 espacios nuevos en funcionamiento para la gestión integral de riesgos, incendios, incidentes con materiales peligrosos y rescates en todas sus modalidades</t>
  </si>
  <si>
    <t>225-Poner en funcionamiento tres (3) nuevos espacios para la gestión integral de riesgos, incendios, incidentes con materiales peligrosos y rescates en todas sus modalidades.</t>
  </si>
  <si>
    <t>DIFERENCIA</t>
  </si>
  <si>
    <t>Subdirección Logística</t>
  </si>
  <si>
    <t>O23202020088714199_Servicio de mantenimiento y reparación de vehículos automotores n.c.p.</t>
  </si>
  <si>
    <t>9-Ejecutar el 100% del programa de mantenimiento de vehículos y equipo menor de la UAECOB</t>
  </si>
  <si>
    <t>O2320201003053543003_Aditivos para gasolina, aceites minerales y combustible en general</t>
  </si>
  <si>
    <t>8-Implementar 100% de un programa de suministros y consumibles para la atención de emergencias en la UAECOB</t>
  </si>
  <si>
    <t>CCE-07 Selección abreviada subasta inversa</t>
  </si>
  <si>
    <t>O232020200663393_Otros servicios de comidas contratadas</t>
  </si>
  <si>
    <t>O232020200883590_Otros servicios veterinarios</t>
  </si>
  <si>
    <t>42141501;42141502;42141503;42142101;42142103;42142105;42142108;42172010;42172013;42172016;42172201;42281502;42291902</t>
  </si>
  <si>
    <t>O2320201003083899997_Artículos n.c.p. para protección</t>
  </si>
  <si>
    <t xml:space="preserve">Tanque de ACPM con remolque 250 Galones y Tanque de Corriente con remolque 250 Galones </t>
  </si>
  <si>
    <t>Certificados de calibración de equipos acreditados por ONAC</t>
  </si>
  <si>
    <t>Implementación del PESV</t>
  </si>
  <si>
    <t>TOTAL</t>
  </si>
  <si>
    <t>Oficina Jurídica</t>
  </si>
  <si>
    <t>Prestar los servicios profesionales especializados para la representación judicial  de la Entidad y la prevención del daño antijurídico.</t>
  </si>
  <si>
    <t>Prestar los servicios profesionales jurídicos especializados para la verificación de la legalidad contractual en el desarrollo de las funciones de la Oficina Jurídica.</t>
  </si>
  <si>
    <t>Prestar los servicios profesionales  jurídicos para apoyar las actividades propias de la gestión contractual que adelanta la Oficina Jurídica</t>
  </si>
  <si>
    <t>Prestar los servicios profesionales para realizar el acompañamiento administrativo y financiero en temas de liquidación y cierre de expedientes, como demás actuaciones administrativas requeridas de los procesos contractuales</t>
  </si>
  <si>
    <t xml:space="preserve">Prestar servicios profesionales  para apoyar en la estructuración de las acciones de mejora, seguimiento  a la gestión contractual de la Entidad y demás procedimientos, en el marco de las funciones  de la Oficina Jurídica </t>
  </si>
  <si>
    <t>Prestación de servicios profesionales jurídicos para orientar y apoyar el trámite y la gestión de los procesos
disciplinarios que se adelanten en la Oficina Jurídica de la Unidad Administrativa Especial Cuerpo Oficial de
Bomberos Bogotá</t>
  </si>
  <si>
    <t>Prestar los servicios profesionales para apoyar la depuración de la cartera de cobro coactivo, así como actividades propias de la defensa judicial de la Entidad y demas actiuaciones relacionadas que requiera la Oficina Jurídica</t>
  </si>
  <si>
    <t>Prestar los servicios de apoyo para los tramites, gestiones y actividades propias que se requieran en los diferentes procesos disciplinarios propios de la etapa de juzgamiento de la Oficina Jurídica en la UAECOB</t>
  </si>
  <si>
    <t>Prestar los servicios de apoyo para las gestiones documentales y administrativas requerida por la Oficina Jurídica.</t>
  </si>
  <si>
    <t>Subdirección de Gestión del Riesgo</t>
  </si>
  <si>
    <t>Contratar los servicios de recolección, manipulación, almacenamiento temporal, transporte y disposición final (destrucción o devolución) de pólvora, fuegos artificiales, globos y demás artículos pirotécnicos incautados por las autoridades competentes en el Distrito Capital"_SGR.</t>
  </si>
  <si>
    <t>1-Implementar 100 % del plan de gestión de riesgo para los procesos de conocimiento y reducción en incendios, incidentes con materiales peligrosos y escenarios de riesgos</t>
  </si>
  <si>
    <t>223-Implementar al 100% un (1) programa de conocimiento y reducción en la gestión de  riesgo de incendios, incidentes con materiales peligrosos y escenarios de riesgos.</t>
  </si>
  <si>
    <t>Prestación de servicios como operador logístico, relacionados con la organización, administración, ejecución y demás acciones logísticas con el fin de promover temáticas que fortalezcan la misionalidad de la entidad a través de la protección de la vida, el medio ambiente y el patrimonio_SGR</t>
  </si>
  <si>
    <t>Contratar un servicio de acceso a la herramienta LMS E-learning, que permita el desarrollo de las capacitaciones virtuales programadas en la UAECOB._SGR</t>
  </si>
  <si>
    <t>Adquisición de elementos de identificación institucional para el programa de Bomberitos_SGR.</t>
  </si>
  <si>
    <t>Prestar servicios profesionales a la Subdirección de Gestión del Riesgo coordinando las actividades del proceso de Conocimiento del Riesgo._SGR</t>
  </si>
  <si>
    <t>Prestar servicios profesionales en las actividades del MIPG de la Subdirección de Gestión del riesgo.</t>
  </si>
  <si>
    <t>Prestar servicios profesionales para la estructuración y seguimiento de los procesos contractuales y demás aspectos jurídicos de la Subdirección de Gestión del Riesgo._SGR</t>
  </si>
  <si>
    <t>Prestar sus servicios profesionales en las actividades relacionadas con el seguimiento a la emision de conceptos a cargo de la Subdirección de Gestión del Riesgo._SGR</t>
  </si>
  <si>
    <t>Prestar servicios profesionales para las actividades de aglomeraciones de público y Eventos con Pirotecnia  desarrollados en el Distrito._SGR</t>
  </si>
  <si>
    <t>Prestar sus servicios profesionales en los procesos de formacion y capacitacion de la Subdirección de Gestión del Riesgo para las acciones derivadas de la plataforma virtual._SGR</t>
  </si>
  <si>
    <t>Prestar servicios profesionales para el desarrollo de los contenidos graficos, piezas comunicativa y de imagen institucional para la Subdirección de Gestión del riesgo._SGR</t>
  </si>
  <si>
    <t>Prestar servicios profesionales para el apoyo en la gestión administrativa y análisis financiero de la subdirección de gestión del riesgo._SGR</t>
  </si>
  <si>
    <t>Prestar servicios profesionales  en las actividades de soporte operacional de la UAECOB._SGR</t>
  </si>
  <si>
    <t xml:space="preserve">Prestar  servicios profesionales en las actividades de proyeccion e innovacion para la Subdirección de Gestión del Riesgo._SGR </t>
  </si>
  <si>
    <t>Prestar servicios profesionales en los procesos de formacion y capacitacion de la subdirección de gestión del riesgo._SGR</t>
  </si>
  <si>
    <t>Prestar sus servicios profesionales en las actividades relacionadas con la emision de conceptos a cargo de la Subdirección de Gestión del Riesgo._SGR</t>
  </si>
  <si>
    <t>Prestar servicios profesionales en las actividades de Programas y Campañas de Prevención para la Subdirección de Gestión del Riesgo._SGR</t>
  </si>
  <si>
    <t>“Adquisición de elementos de apoyo didáctico y pedagógico para actividades, programas y campañas requeridas en la Subdirección de Gestión del Riesgo_SGR”</t>
  </si>
  <si>
    <t>Prestar servicios profesionales para el desarrollo de actividades de planeación y gestión para la Subdirección de Gestión del Riesgo._SGR</t>
  </si>
  <si>
    <t>Apoyar las actividades de la Subdirección de Gestión del riesgo relacionadas con las aglomeraciones de público  y Eventos con Pirotecnia  desarrollados en el Distrito._SGR</t>
  </si>
  <si>
    <t>Prestar servicios de apoyo a la gestion en las actividades de monitoreo del riesgo para la Subdirección de Gestión del Riesgo._SGR Analista</t>
  </si>
  <si>
    <t>Prestar sus servicios de apoyo tecnico para realizar las inspecciones relacionadas con la emision de conceptos a cargo de la Subdirección de Gestión del Riesgo._SGR</t>
  </si>
  <si>
    <t xml:space="preserve">Apoyar las actividades de la Subdirección de Gestión del Riesgo relacionadas con el seguimiento y control de sus solicitudes y peticiones._SGR 
</t>
  </si>
  <si>
    <t>Adquisición de insumos y materias primas para la producción de impresos de artes gráficas_ SGR.</t>
  </si>
  <si>
    <t>Prestar servicios de apoyo a la gestión en las actividades de soporte operacional de la UAECOB._SGR</t>
  </si>
  <si>
    <t>Prestar servicios de apoyo a la gestion en las actividades de monitoreo del riesgo para la Subdirección de Gestión del Riesgo._SGR</t>
  </si>
  <si>
    <t>Prestar servicios de apoyo en las actividades de Programas y Campañas de Prevención para la Subdirección de Gestión del Riesgo._SGR</t>
  </si>
  <si>
    <t xml:space="preserve">Oficina de Control Interno </t>
  </si>
  <si>
    <t>Prestar los servicios profesionales  como abogado en la Oficina de Control Interno para el desarrollo del Plan Anual de Auditorías.</t>
  </si>
  <si>
    <t>CCE-16 Contratación directa</t>
  </si>
  <si>
    <t>Prestar los servicios profesionales como contador publico en la Oficina de Control Interno para el desarrollo del Plan Anual de Auditorías.</t>
  </si>
  <si>
    <t>Prestar los servicios profesionales  en la Oficina de Control Interno para el desarrollo del Plan Anual de Auditorías.</t>
  </si>
  <si>
    <t>Prestar servicios de apoyo a la gestión como técnico   en la Oficina de Control Interno para ejecutar procesos y procedimientos administrativos y asistenciales teniendo en cuenta el Plan Anual de Auditorías.</t>
  </si>
  <si>
    <t>Subdirección de Gestión Humana</t>
  </si>
  <si>
    <t xml:space="preserve">SGH - Adquisición de Equipos y Herramientas para los procesos de Capacitación </t>
  </si>
  <si>
    <t>2-Implementar 100% del programa de capacitación, formación y entrenamiento al personal uniformado de la Unidad Administrativa Cuerpo Oficial de Bomberos de Bogotá</t>
  </si>
  <si>
    <t>222-Implementar al 100% un (1) programa de capacitación, formación y entrenamiento al personal en el marco de la Academia Bomberil de Bogotá</t>
  </si>
  <si>
    <t>SGH - Mantenimiento preventivo y correctivo del sistema de simuladores para incendios y para materiales peligrosos.</t>
  </si>
  <si>
    <t>SGH - Prestar el servicio de recolección y disposición final de los residuos sanitarios y aguas no tratadas en las instalaciones del centro de entrenamiento de la UAECOB.</t>
  </si>
  <si>
    <t>SGH - Prestar los servicios de capacitación, formación y entrenamiento en cursos especializados, entrenamiento misional, capacitación en el puesto de trabajo y apoyo logístico necesario para el desarrollo de estos procesos para el personal operativo y administrativo de la Unidad Administrativa Especial Cuerpo Oficial de Bomberos en el marco de los programas de capacitación, formación y entrenamiento.</t>
  </si>
  <si>
    <t>SGH - Prestar de servicios profesionales para desarrollar actividades jurídicas en atención a los distintos requerimientos de la Subdirección de Gestión Humana.</t>
  </si>
  <si>
    <t>SGH - Prestar sus servicios profesionales en la Subdirección de Gestión Humana, en la administración de sistema de seguridad y salud en el trabajo</t>
  </si>
  <si>
    <t>SGH - Prestar servicios profesionales para la implementación y seguimiento del sistema de gestión de seguridad y salud en el trabajo en la Subdirección de Gestión Humana.</t>
  </si>
  <si>
    <t>SGH - Prestar de servicios profesionales para desarrollar actividades jurídicas relacionadas con la academia bomberil, recobro de incapacidades y procesos administrativos de la Subdirección de Gestión Humana.</t>
  </si>
  <si>
    <t>SGH - Prestar servicios profesionales para apoyar el programa de vigilancia epidemiológico al riesgo psicosocial y actividades de seguridad y salud en el trabajo en la Subdirección de Gestión Humana.</t>
  </si>
  <si>
    <t>SGH - Prestar sus servicios profesionales en la Subdirección de Gestión Humana, en los procesos contractuales y demás actividades relacionadas con la Subdirección de Gestión Humana</t>
  </si>
  <si>
    <t>SGH - Prestar servicios profesionales en la Subdirección de Gestión Humana, para el fortalecimiento trasversal del proceso de Academia.</t>
  </si>
  <si>
    <t>SGH - Prestar sus servicios profesionales en los procesos de la Subdirección de Gestión Humana de la UAE Cuerpo Oficial de Bomberos.</t>
  </si>
  <si>
    <t>SGH - Prestar servicios profesionales para apoyar el programa de desórdenes musculoesqueléticos de la UAE Cuerpo Oficial de Bomberos de Bogotá.</t>
  </si>
  <si>
    <t>SGH - Prestar servicios profesionales para apoyar el programa de desórdenes musculo esqueléticos de la UAE Cuerpo Oficial de Bomberos de Bogotá.</t>
  </si>
  <si>
    <t>SGH - Garantizar los Recursos para movilización del Personal para emergencias</t>
  </si>
  <si>
    <t>SGH - Prestar servicios de apoyo en el sistema de gestión de seguridad y salud en el trabajo en la Subdirección de Gestión Humana de la UAE Cuerpo Oficial de Bomberos.</t>
  </si>
  <si>
    <t>SGH - Garantizar los recursos para viáticos y tiquetes del personal</t>
  </si>
  <si>
    <t>SGH - Prestar servicios de apoyo a la gestión en la Subdirección de Gestión Humana en las diferentes actividades logísticas relacionadas con  el proceso de Academia.</t>
  </si>
  <si>
    <t>SGH - Prestar sus servicios profesionales en el proceso de liquidación de demandas y conciliaciones administrativas para la Subdirección de Gestión Humana de la UAE Cuerpo Oficial de Bomberos.</t>
  </si>
  <si>
    <t>SGH - Prestar sus servicios profesionales en la Subdirección de Gestión Humana en temas de desarrollo organizacional.</t>
  </si>
  <si>
    <t>SGH - Prestar sus servicios profesionales en la gestión contractual y presupuestal de la Subdirección de Gestión Humana de la UAE Cuerpo Oficial de Bomberos.</t>
  </si>
  <si>
    <t>SGH - Prestar servicios profesionales en la Subdirección de Gestión Humana de la UAE Cuerpo Oficial de Bomberos en temas de Administración de Personal.</t>
  </si>
  <si>
    <t>SGH - Prestar servicios profesionales en  la Subdirección de Gestión Humana de la UAE Cuerpo Oficial de Bomberos de Bogotá D.C. en lo relacionado con los procesos de administración y aplicación de los instrumentos archivísticos vigentes en el archivo de gestión de la Subdirección.</t>
  </si>
  <si>
    <t>SGH - Prestar servicios profesionales en la Subdirección de Gestión Humana de la UAE Cuerpo Oficial de Bomberos en temas de liquidación de demandas y conciliaciones.</t>
  </si>
  <si>
    <t>SGH - Prestar sus servicios profesionales en los procesos de contratación y calidad de la Subdirección de Gestión Humana de la UAE Cuerpo Oficial de Bomberos de Bogotá D.C.</t>
  </si>
  <si>
    <t>SGH - Prestar servicios de apoyo en la Subdirección de Gestión Humana de la UAE Cuerpo Oficial de Bomberos en el proceso de ausentismos del personal.</t>
  </si>
  <si>
    <t>SGH - Prestar servicios de apoyo a los procesos de la Subdirección de Gestión Humana de la UAE Cuerpo Oficial de Bomberos.</t>
  </si>
  <si>
    <t>SGH - Prestar servicios de apoyo a la gestión en cumplimiento de los planes institucionales de la Subdirección de Gestión Humana específicamente para desarrollo organizacional.</t>
  </si>
  <si>
    <t>O23011605560000007637 - Fortalecimiento de la infraestructura de tecnología informática y de comunicaciones de la UAECOB</t>
  </si>
  <si>
    <t>Oficina Asesora de Planeación</t>
  </si>
  <si>
    <t>Contratar la adquisición, renovación y  suscripciones de licencia Microsoft para la U.A.E. Cuerpo Oficial de Bomberos de Bogotá - TIC</t>
  </si>
  <si>
    <t>O232020200883159_Otros servicios de alojamiento y suministro de infraestructura en tecnología de la información (TI)</t>
  </si>
  <si>
    <t>2-Implementar 100 % de la arquitectura TI conforme a las necesidades de la UAECOB</t>
  </si>
  <si>
    <t>517-Implementar al 100% una estrategia de fortalecimiento de los sistemas de información para optimizar la gestión del Cuerpo Oficial de Bomberos</t>
  </si>
  <si>
    <t>43233200;43222500</t>
  </si>
  <si>
    <t>Contratar la renovación del licenciamiento y soporte de las plataformas de seguridad perimetral Fortinet, firewalls y WAF del edificio comando y estaciones para la U.A.E. Cuerpo Oficial de Bomberos de Bogotá - TIC</t>
  </si>
  <si>
    <t>O232020200883132_Servicios de soporte en tecnologías de la información (TI)</t>
  </si>
  <si>
    <t>1-Implementar 100 %  del modelo de seguridad y privacidad de la información en la UAECOB alineado a la Política de Gobierno Digital.</t>
  </si>
  <si>
    <t>Adición y prórroga al contrato cuyo objeto es la " Contratar el soporte y mantenimiento preventivo y correctivo con repuestos para los sistemas de video vigilancia de las estaciones y Edificio Comando de la U.A.E. Cuerpo Oficial de Bomberos de Bogotá - TIC"</t>
  </si>
  <si>
    <t>Contratar el servicio de mantenimiento preventivo y correctivo de los radios portátiles y móviles marca motorola propiedad de la U.A.E. Cuerpo Oficial de Bomberos de Bogotá - TIC</t>
  </si>
  <si>
    <t xml:space="preserve">CCE-05 Contratación directa (con ofertas) </t>
  </si>
  <si>
    <t>Contratar el servicio de soporte del sistema misional FUOCO para la U.A.E. Cuerpo Oficial de Bomberos de Bogotá de acuerdo a lo contemplado en el anexo técnico.-TIC-</t>
  </si>
  <si>
    <t>Contratar el servicio de soporte y mantenimiento del sistema de gestión documental  para la U.A.E. Cuerpo Oficial de Bomberos de Bogotá- TIC</t>
  </si>
  <si>
    <t>O232020200668014_Servicios de gestión documental</t>
  </si>
  <si>
    <t>81112204;81112501</t>
  </si>
  <si>
    <t>Contratar la renovación , servicio de actualización y soporte de licenciamiento Oracle para Base de Datos,  y Web Logic para la U.A.E. Cuerpo Oficial de Bomberos de Bogotá - TIC</t>
  </si>
  <si>
    <t>72151500;72101500;73152100</t>
  </si>
  <si>
    <t>Contratar el alquiler de equipos tecnológicos, periféricos y servicios complementarios para la U.A.E. Cuerpo Oficial de Bomberos de Bogotá. - TIC</t>
  </si>
  <si>
    <t>Contratar el servicio de mantenimiento correctivo, preventivo y soporte de la plataforma tecnológica de voz  AVAYA de propiedad de la U.A.E. Cuerpo Oficial de Bomberos de Bogotá -TIC</t>
  </si>
  <si>
    <t>Contratar la prestación del servicio de monitoreo, control y seguimiento satelital a los vehículos de propiedad de la U.A.E. Cuerpo Oficial de Bomberos de Bogotá - TIC</t>
  </si>
  <si>
    <t>Contratar el servicio de actualización y soporte de licenciamiento ArcGis para la U.A.E. Cuerpo Oficial de Bomberos de Bogotá.- TIC</t>
  </si>
  <si>
    <t>Prestar servicios profesionales para administrar, gestionar y mantener las bases de datos de la UAE Cuerpo Oficial de Bomberos Bogotá. -TIC</t>
  </si>
  <si>
    <t>Prestar Servicios Profesionales para administrar y gestionar los sistemas de información y aplicativos con los que cuenta la UAE Cuerpo Oficial de Bomberos Bogotá. -TIC</t>
  </si>
  <si>
    <t>Prestar servicios profesionales  como administrador y gestor de la infraestructura de las comunicaciones y red regulada  de la UAE Cuerpo Oficial de Bomberos Bogotá-TIC</t>
  </si>
  <si>
    <t>Prestar  servicios  profesionales  para administrar y gestionar la  seguridad  y privacidad de la información dentro de la infraestructura tecnológica y de comunicaciones  utilizada por UAE Cuerpo Oficial de Bomberos de Bogotá - TIC</t>
  </si>
  <si>
    <t>Prestar los servicios profesionales jurídicos para apoyar las actividades propias de la gestión contractual que adelanta la UAE Cuerpo Oficial de Bomberos</t>
  </si>
  <si>
    <t>O21202020080282199_Otros servicios jurídicos n.c.p.</t>
  </si>
  <si>
    <t>Contratar el servicio de soporte del software Veeam Backup para la U.A.E. Cuerpo oficial de Bomberos de Bogotá - TIC</t>
  </si>
  <si>
    <t>Contratar el servicio de nube publica para la U.A.E Cuerpo Oficial de Bomberos de Bogotá - TIC</t>
  </si>
  <si>
    <t>Contratar la renovación y soporte de licenciamiento del antivirus de la U.A.E. Cuerpo Oficial de Bomberos de Bogotá - TIC</t>
  </si>
  <si>
    <t>81111508;81111809;81161501;43231500;43231513</t>
  </si>
  <si>
    <t>Contratar el servicio para el control de acceso de visitantes del edificio comando de la UAECOB</t>
  </si>
  <si>
    <t>72101500;73152100</t>
  </si>
  <si>
    <t xml:space="preserve">Pago pasivo exigible </t>
  </si>
  <si>
    <t>Contratar el servicio de mantenimiento para el sistema de atención de turnos de la U.A.E. Cuerpo Oficial de Bomberos de Bogotá - TIC</t>
  </si>
  <si>
    <t>Dirección-Comunicaciones y Prensa</t>
  </si>
  <si>
    <t>Prestar servicios profesionales especializados en la Dirección General de la UAECOB en la organización y liderazgo de los asuntos relacionados con comunicaciones de conformidad a la misionalidad de la entidad.</t>
  </si>
  <si>
    <t>Dirección</t>
  </si>
  <si>
    <t>Prestar servicios profesionales jurídicos en el desarrollo de las actividades y de los diferentes procesos de la Dirección General de la UAE Cuerpo Oficial de Bomberos de Bogotá</t>
  </si>
  <si>
    <t>Prestar servicios profesionales en el desarrollo de las actividades y de los diferentes procesos que tiene a su cargo y bajo su seguimiento la Dirección General de la UAE Cuerpo Oficial de Bomberos de Bogotá.</t>
  </si>
  <si>
    <t>Prestar servicios profesionales a la Dirección General en actividades de articulación interinstitucional entre las diferentes dependencias, entidades del sector, y demás que estén relacionadas con la misionalidad de la UAECOB.</t>
  </si>
  <si>
    <t>Prestar servicios profesionales a la Dirección General, con el fin de apoyar el seguimiento y manejo de la ejecución y procesos  presupuestales que coadyuven al cumplimiento de las metas establecidas en el plan de desarrollo y el plan anual de adquisiciones de la UAECOB"</t>
  </si>
  <si>
    <t>Prestar servicios profesionales para apoyar el desarrollo de estrategias de la dirección general, en asuntos relacionados con comunicaciones y prensa, encaminadas al posicionamiento, imagen y divulgación corporativa de la entidad y dirigidas a sus públicos internos</t>
  </si>
  <si>
    <t>Prestación de servicios profesionales jurídicos en virtud de las funciones asignadas a la Dirección General de la UAECOB, para apoyar los procesos contractuales y actividades administrativas requeridas.</t>
  </si>
  <si>
    <t>Prestación de servicios profesionales en asuntos de comunicaciones y prensa para apoyar la divulgación y socialización de la información relacionada con la misionalidad de la UAECOB de manera interna y externa</t>
  </si>
  <si>
    <t>Prestación de servicios profesionales en la Dirección en comunicaciones y prensa, para apoyar la difusión de la información al público interno y externo de la UAECOB.</t>
  </si>
  <si>
    <t>Prestar servicios profesionales en la Dirección General, para apoyar actividades administrativas, presupuestales y financieras, así como hacer seguimiento y control a los compromisos generados por las dependencias de la UAECOB, en especial los relacionadas con peticiones, quejas y reclamos allegados por entes externos e internos.</t>
  </si>
  <si>
    <t>"Prestar servicios profesionales en la Dirección General para  el manejo de redes sociales de la entidad y apoyo periodistico requerido en el marco de la estrategia de comunicaciones y prensa de la UEACOB".</t>
  </si>
  <si>
    <t>Prestar servicios de apoyo para la gestión en asuntos de comunicaciones y prensa en la Dirección General, y demás acciones encaminadas al cumplimiento de las estrategias comunicacionales de la UAECOB</t>
  </si>
  <si>
    <t>"Prestar servicios profesionales en la Dirección General para el diseño gráfico y apoyo periodistico requerido en el marco de la estrategia de comunicaciones y prensa de la UEACOB".</t>
  </si>
  <si>
    <t>Prestar apoyo técnico en la Dirección, en asuntos de comunicaciones y prensa, para la producción, diseño y edición de material audiovisual de la UAECOB.</t>
  </si>
  <si>
    <t>Prestar servicios de apoyo a la gestión en la UAECOB, en asuntos administrativos y asistenciales requeridos, especificamente en el seguimiento de la información.</t>
  </si>
  <si>
    <t>Oficina de Control Disciplinario Interno</t>
  </si>
  <si>
    <t>Prestar los servicios profesionales jurídicos especializados en la Oficina de Control Disciplinario Interno de la entidad relacionados con los procesos disciplinarios que se deban tramitar en esa dependencia en etapa de instrucción.</t>
  </si>
  <si>
    <t>Prestar los servicios profesionales jurídicos en la Oficina de Control Disciplinario Interno de la entidad relacionados con los procesos contractuales, actividades administrativas, y los procesos disciplinarios que se encuentran a cargo de la Oficina de Control Disciplinario Interno.</t>
  </si>
  <si>
    <t>Prestación de servicios profesionales jurídicos para apoyar la gestión de los procesos disciplinarios que se adelanten en la UAECOB y que se encuentran a cargo de la Oficina de Control Disciplinario Interno</t>
  </si>
  <si>
    <t>Prestación de servicios de apoyo a la gestión a la Oficina de Control Disciplinario Interno de la UAECOB para el cumplimiento de las funciones asignadas a esta dependencia, especialmente en las que requieran tareas de carácter administrativo</t>
  </si>
  <si>
    <t>Prestar servicios profesionales para apoyar a la Oficina Asesora de Planeación en la estructuración, seguimiento, reporte y gestión de los proyectos, planes y programas de la entidad, en el marco del ciclo presupuestal distrital-OAP</t>
  </si>
  <si>
    <t>Prestar servicios profesionales a la Oficina Asesora de Planeación en el mejoramiento y fortalecimiento de la sostenibilidad del Sistema de Gestión y Desempeño, alineado con la estandarización de la información documentada y el seguimiento al Sistema de Control Interno de la UAECOB, en desarrollo del MIPG- OAP</t>
  </si>
  <si>
    <t>Prestar servicios profesionales para gestionar las actividades de cooperación técnica interinstitucional con las Entidades del sector a nivel nacional e internacional-OAP</t>
  </si>
  <si>
    <t>Prestación de servicios de apoyo a la gestión para el desarrollo de actividades relacionadas con el proceso de gestión estratégica, el sistema de control interno y actividades del MIPG</t>
  </si>
  <si>
    <t>Contratar la adquisición de equipos de audio y video para producción audiovisual</t>
  </si>
  <si>
    <t>Contratar el soporte y mantenimiento de la solución de control de acceso con reconocimiento facial para la U.A.E. Cuerpo Oficial Bomberos de Bogotá</t>
  </si>
  <si>
    <t>Subdirección Operativa</t>
  </si>
  <si>
    <t>6-Implementar 100% de un programa de renovación de equipo menor, herramientas, accesorios y elementos de protección personal en la UAECOB</t>
  </si>
  <si>
    <t>Adquisición de equipos, herramientas y accesorios (E.H.A.´s) para la atención de emergencias. - Subdirección Operativa</t>
  </si>
  <si>
    <t>Prestación de servicios profesionales especializados con plena autonomía técnica y administrativa para acompañar jurídicamente a la Subdirección Operativa en la a estructuración, revisión, seguimiento y verificación de los procesos contractuales en las diferentes etapas y brindar el acompañamiento jurídico en el desarrollo de las actividades inherentes a los procesos y procedimientos que son competencia de la dependencia. - SO.</t>
  </si>
  <si>
    <t>Prestación de servicios profesionales con plena autonomía técnica y administrativa para acompañar a la Subdirección Operativa, en el diseño, implementación, reporte y monitoreo de los diferentes procesos, procedimientos y funciones a cargo de la dependencia. - SO</t>
  </si>
  <si>
    <t>Prestación de servicios profesionales a la Subdirección Operativa de la UAE Cuerpo Oficial de Bomberos de Bogotá para generar información de valor e instrumentos de seguimiento a partir de los datos asociados a la ejecución y seguimiento de los procesos, planes y proyectos adelantados y ejecutados por la dependencia. SO</t>
  </si>
  <si>
    <t>Prestación de servicios profesionales con plena autonomía técnica y administrativa para acompañar a la Subdirección Operativa, en la estructuración y definición de aspectos jurídicos en las etapas precontractuales, contractuales y postcontractuales en el marco de los procesos y procedimientos a cargo de la dependencia. - SO</t>
  </si>
  <si>
    <t>Prestación de servicios profesionales para la consolidación, seguimiento y control de los reporte de los planes, proyectos y programas de inversión e indicadores a cargo de la Subdirección Operativa</t>
  </si>
  <si>
    <t>Prestación de servicios profesionales para apoyar a la Subdirección Operativa, en la consolidación, seguimiento y reporte de las actividades del plan de mejora y mapa de riesgos relacionados con los procesos y procedimientos misionales de la dependencia. SO.</t>
  </si>
  <si>
    <t>Prestar servicios profesionales con plena autonomía técnica y administrativa para acompañar a la subdirección Operativa en la planeación, trámite y seguimiento de los aspectos presupuestales y financieros que disponga la dependencia, afianzando el cumplimiento y el desarrollo eficaz de las metas técnicas, administrativas y contractuales establecidas en el plan anual de adquisiciones</t>
  </si>
  <si>
    <t>Prestación de servicios profesionales para ejecutar el componente de información geográfica, georreferenciación y generación de alertas a través de las herramientas, medios o sistemas de información disponibles, para la Subdirección Operativa.</t>
  </si>
  <si>
    <t>PRESTAR POR SUS PROPIOS MEDIOS, CON AUTONOMÍA TÉCNICA Y ADMINISTRATIVA SUS SERVICIOS PROFESIONALES PARA BRINDAR ACOMPAÑAMIENTO JURÍDICO A LA SUBDIRECCIÓN OPERATIVA, EN LA PROYECCIÓN DE SOLICITUDES DIRIGIDAS A AUTORIDADES ADMINISTRATIVAS, EN LA SUSTANCIACIÓN DE RESPUESTAS A PQR´S Y A REQUERIMIENTOS QUE EFECTÚEN LOS ENTES DE CONTROL Y AUTORIDADES ADMINISTRATIVAS, EN EL MARCO DE LOS PROCESOS Y PROCEDIMIENTOS A CARGO DE LA DEPENDENCIA. - SO</t>
  </si>
  <si>
    <t>Prestación de servicios profesionales de carácter administrativo y financiero en el marco de los procesos y procedimientos a cargo de la Subdirección Operativa - SO</t>
  </si>
  <si>
    <t>Prestar servicios profesionales a la Subdirección Operativa para apoyar y gestionar las actividades relacionadas con el sistema de gestión de calidad y con el sistema de control interno. SO</t>
  </si>
  <si>
    <t>Prestación de servicios profesionales con plena autonomía técnica y administrativa para acompañar a la Subdirección Operativa, en la estructuración, sustanciación, revisión y trámite de los actos administrativos y demás documentos a emitir por la dependencia.</t>
  </si>
  <si>
    <t>PRESTACIÓN DE SERVICIOS PROFESIONALES CON PLENA AUTONOMÍA TÉCNICA Y ADMINISTRATIVA PARA APOYAR EN EL SEGUIMIENTO, CONTROL Y ALIMENTACIÓN DE LOS SISTEMAS DE INFORMACIÓN Y DEMÁS REQUERIMIENTOS PROPIOS DE LA GESTIÓN DE LA SUBDIRECCIÓN OPERATIVA DE ACUERDO CON LAS FUNCIONES ESTABLECIDAS SO.</t>
  </si>
  <si>
    <t>Prestación de servicios profesionales para apoyar a la Subdirección Operativa en la elaboración, diseño y diagramación de piezas requeridas para los planes, programas, proyectos y procedimientos SO</t>
  </si>
  <si>
    <t>PRESTACIÓN DE SERVICIOS PROFESIONALES EN EL DILIGENCIAMIENTO Y SEGUIMIENTO DE LAS HERRAMIENTAS DE GESTIÓN, DE LOS PROCEDIMIENTOS A CARGO DE ESTA SUBDIRECCIÓN, ASÍ COMO LA GESTIÓN , CONTROL TRÁMITE Y SEGUIMIENTO DE SOLICITUDES RECEPCIONADAS EN EL CANAL DE COMUNICACIÓN DE GESTIÓN OPERATIVA. - SO</t>
  </si>
  <si>
    <t>PRESTACIÓN DE SERVICIOS PROFESIONALES PARA APOYAR LAS ACTIVIDADES CONCERNIENTES AL DESARROLLO DE LAS CONDICIONES BÁSICAS DE BIENESTAR TANTO DE LOS ANIMALES RESCATADOS COMO LAS RELACIONADAS CON CANINOS DEL PROGRAMA BRAE DE LA SUBDIRECCIÓN OPERATIVA</t>
  </si>
  <si>
    <t>Prestar por sus propios medios con autonomía técnica y administrativa sus servicios profesionales para apoyar a la Subdirección Operativa en la proyección de solicitudes dirigidas a autoridades administrativas y en la proyección de respuestas a PQR S, en el marco de los procesos y procedimientos a cargo de la dependencia. SO</t>
  </si>
  <si>
    <t>Prestación de servicios profesionales para acompañar a la Subdirección Operativa en la estructuración, definición y verificación de aspectos técnicos en los diferentes procesos de contratación de bienes y servicios en las etapas precontractual, contractual y postcontractual adelantados por la dependencia - SO</t>
  </si>
  <si>
    <t>Prestar los servicios de apoyo a la gestión para ejecutar las actividades que dan soporte al proceso de comunicaciones en emergencias, del Centro de Coordinación y Comunicaciones (C.C.C.) a cargo de la Subdirección Operativa. SO</t>
  </si>
  <si>
    <t>Prestación de servicios de apoyo a la gestión para el desarrollo de las actividades administrativas que requieran ejecutarse en las estaciones de la UAE Cuerpo Oficial de Bomberos de Bogotá SO</t>
  </si>
  <si>
    <t xml:space="preserve">Proyecto </t>
  </si>
  <si>
    <t>Presupuesto 2024</t>
  </si>
  <si>
    <t>Total</t>
  </si>
  <si>
    <t>Proyecto</t>
  </si>
  <si>
    <t>Totales</t>
  </si>
  <si>
    <t>Total Dependencia</t>
  </si>
  <si>
    <t>Meta Producto</t>
  </si>
  <si>
    <t>Meta Proyecto</t>
  </si>
  <si>
    <t>Valor estimado</t>
  </si>
  <si>
    <t>PRESUPUESTO POR CONCEPTO DE GASTO INVERSION 2024 - UAECOB</t>
  </si>
  <si>
    <t>PRESUPUESTO GENERAL INVERSION 2024 - UAECOB</t>
  </si>
  <si>
    <t>PRESUPUESTO POR DEPENDENCIA INVERSION 2024 - UAECOB</t>
  </si>
  <si>
    <t>Concepto de Gasto</t>
  </si>
  <si>
    <t>PRESUPUESTO POR META INVERSION 2024 - UAECOB</t>
  </si>
  <si>
    <t>Proyecto 7658</t>
  </si>
  <si>
    <t>Proyecto 7655</t>
  </si>
  <si>
    <t>Proyecto 7637</t>
  </si>
  <si>
    <t>Elaboración de estudios y diseños técnicos para la construcción de la estación de bomberos  B-18 de la UAE Cuerpo Oficial de Bomberos de Bogotá – SGC</t>
  </si>
  <si>
    <t>Interventoría técnica, administrativa, financiera, contable, jurídica y ambiental para la elaboración de estudios y diseños técnicos para la construcción de la estación de bomberos B-18 de la UAE Cuerpo Oficial de Bomberos de Bogotá – SGC</t>
  </si>
  <si>
    <t>Prestar servicios profesionales para coordinar, controlar y ejercer seguimiento a las actividades de tecnología de Información y Comunicaciones de la UAE Cuerpo Oficial de bomberos de Bogotá.-TIC</t>
  </si>
  <si>
    <t>Prestar los servicios profesionales para apoyar  a la Dirección en la gestión juridica y contractual  relacionada con los proyectos y funciones TIC</t>
  </si>
  <si>
    <t>Prestar servicios profesionales en la planificación, administración y gestión de los proyectos TIC  de la UAE Cuerpo Oficial de Bomberos Bogotá, que fortalezcan la  ejecución y cumplimiento a los procesos de tecnología</t>
  </si>
  <si>
    <t>Prestar servicios profesionales para apoyar la implementación y control del sistema de Gestión de Seguridad de la Información - SGSI y Gobierno Digital, así como el seguimiento a los planes institucionales asociados a TIC y construcción de procedimientos.</t>
  </si>
  <si>
    <t>Prestar los servicios profesionales administrativos y financieros en la gestión contractual relacionados con los proyectos y funciones TIC</t>
  </si>
  <si>
    <t>Prestar servicios profesionales en la administración, actualización, desarrollo y mantenimiento del Sistema Integrado de Administración de Personal - SIAP. -TIC</t>
  </si>
  <si>
    <t>Prestar servicios profesionales para administrar y gestionar los sitios web institucionales (internet e intranet) de la UAE Cuerpo Oficial de Bomberos de Bogotá -TIC</t>
  </si>
  <si>
    <t>Prestar servicios de apoyo a la gestión en la Dirección, para la creación de productos audiovisuales y generación de contenidos digitales en la entidad - TIC</t>
  </si>
  <si>
    <t>Prestar los servicios profesionales jurídicos especializados en la Oficina de Control Disciplinario Interno de la entidad relacionados con la gestión de los procesos disciplinarios que se adelanten en la UAECOB y que se encuentran en etapa de instrucción</t>
  </si>
  <si>
    <t>Prestación de servicios profesionales jurídicos para apoyar la gestión de los procesos disciplinarios que se adelanten en la UAECOB y que se encuentran en etapa de instrucción</t>
  </si>
  <si>
    <t>Prestación de servicios de apoyo técnico a la gestión a la Oficina de Control Disciplinario Interno de la UAECOB para el cumplimiento de las funciones asignadas a esta dependencia, especialmente en las que requieran tareas de carácter administrativo</t>
  </si>
  <si>
    <t>Prestar servicios profesionales para apoyar en la fomulación y seguimiento de la planeación institucional y la gestión estratégica definida por la alta dirección-OAP</t>
  </si>
  <si>
    <t>Prestar servicios profesionales en la Oficina Asesora de Planeación de la UAE Cuerpo Oficial de Bomberos de Bogotá en el fortalecimiento del Modelo Integrado de Planeación y Gestión - MIPG, sostenimiento de la implementación de la politica de gestión de conocimiento y la innovación, asi como el acompañamiento y seguimiento de los procesos asginados</t>
  </si>
  <si>
    <t xml:space="preserve">Prestar servicios profesionales especializados a la Oficina Asesora de Planeacion en la gestión estrategica, el manejo presupuestal y direccionamiento de la oficina  </t>
  </si>
  <si>
    <t>Prestar servicios profesionales para apoyar a la Oficina Asesora de Planeación en el seguimiento, control presupuestal y estratégico de los proyectos de inversión de la Entidad-OAP</t>
  </si>
  <si>
    <t>Prestar servicios profesionales para apoyar en la gestión de cooperación internacional y articulación interinstitucional para el desarrollo e implementación de los planes y programas de la entidad</t>
  </si>
  <si>
    <t>Prestar servicios profesionales para apoyar a la Oficina Asesora de Planeación en la sostenibilidad y mejora del modelo integrado de planeación y gestión, asi como el acompañamiento y seguimiento de los procesos asginados</t>
  </si>
  <si>
    <t>Prestar servicios profesionales para apoyar juridicamente a la oficina asesora de planeación, en lo relacionado a la gestión contractual y administrativa</t>
  </si>
  <si>
    <t>1-601-F001 PAS-Otros distrito</t>
  </si>
  <si>
    <t>Pago pasivo exigible del contrato No. 420 de 2022, cuyo objeto es: "Prestar servicios profesionales para apoyar a la oficina asesora de planeación en la formulación, seguimiento y control presupuestal y estratégico de los proyectos de inversión de la Entidad".</t>
  </si>
  <si>
    <t>NO SECOP</t>
  </si>
  <si>
    <t xml:space="preserve">Prestar el servicio de instalación, alineación, balanceo y conexos, incluyendo el suministro de llantas a los vehículos del parque automotor de la U.A.E. Cuerpo Oficial de Bomberos de Bogotá - SBLG.	</t>
  </si>
  <si>
    <t xml:space="preserve">Prestación del servicio de mantenimiento preventivo y correctivo de los equipos de respiración autónoma interspiro propiedad de la uaecob, incluido el suministro de repuestos, insumos y mano de obra especializada	</t>
  </si>
  <si>
    <t xml:space="preserve">Suministro de concentrado de espuma y extintores y el mantenimiento, recarga de extintores, cilindros y tanques de las maquinas extintoras - SBLG- LOTE I	</t>
  </si>
  <si>
    <t xml:space="preserve">Suministrar los repuestos, accesorios e insumos de los equipos de rescate vehicular liviano y pesado marca LUKAS- SBLG	</t>
  </si>
  <si>
    <t xml:space="preserve">Prestar el servicio de mantenimiento preventivo y correctivo, incluido el suministro de repuestos e insumos y mano de obra especializada para los equipos detectores de atmosfera y respiración autónoma marca Dräger, propiedad de la U.A.E. Cuerpo Oficial de Bomberos de Bogotá - SBLG	</t>
  </si>
  <si>
    <t>Prestar el servicio de mantenimiento preventivo y correctivo, incluyendo el suministro de repuestos, insumos y mano de obra especializada para las motobombas forestales FOX, propiedad de la Unidad Administrativa Especial Cuerpo Oficial de Bomberos de Bogotá D.C. (UAECOB).</t>
  </si>
  <si>
    <t>Suministrar combustible para los vehículos, y equipos especializados de la U.A.E. Cuerpo Oficial de Bomberos Bogotá dentro y fuera del perímetro del distrito capital de la SBLG</t>
  </si>
  <si>
    <t xml:space="preserve">Proveer el suministro de elementos de bioseguridad e insumos médicos básicos para la atención de emergencias.	</t>
  </si>
  <si>
    <t>Suministro de alimentación e hidratación para el cuerpo operativo en la atención de emergencias, entrenamientos, capacitaciones y actividades de prevención-SBLG</t>
  </si>
  <si>
    <t>Prestar el servicio de mantenimiento preventivo y correctivo, de latonería y pintura, incluyendo el suministro de repuestos, insumos y mano de obra especializada para los vehículos pertenecientes al parque automotor de la UAE Cuerpo Oficial de Bomberos de Bogotá DC</t>
  </si>
  <si>
    <t>Prestar el servicio de mantenimiento preventivo y correctivo de los compresores BAUER propiedad de la U.A.E. Cuerpo Oficial de Bomberos de Bogotá, incluido el suministro de repuestos, insumos y mano de obra especializada. SBLG</t>
  </si>
  <si>
    <t>Prestar el servicio de mantenimiento preventivo y correctivo de los Equipos de Rescate Vehicular HOLMATRO propiedad de la UAECOB, incluido el suministro de repuestos, insumos y mano de obra especializada - SBLG</t>
  </si>
  <si>
    <t>Suministrar repuestos, accesorios e insumos para los equipos menores  y transversales de propiedad de la UAECOB. – SBLG</t>
  </si>
  <si>
    <t>Suministro de herramientas, equipos, accesorios y otros elementos de ferretería para garantizar la preparación y atención de emergencias de la U.A.E. Cuerpo Oficial de Bomberos de Bogotá – SBLG</t>
  </si>
  <si>
    <t>Prestar el servicio de mantenimiento preventivo y correctivo de los equipos acuáticos y neumáticos  propiedad de la U.A.E. Cuerpo Oficial de Bomberos de Bogotá, incluido el suministro de repuestos, insumos y mano de obra especializada.  SBLG</t>
  </si>
  <si>
    <t>Prestación de servicios profesionales en el seguimiento y gestión de los insumos y suministros a cargo de la subdirección logística garantizando la disponibilidad para la atención de emergencias SBLG</t>
  </si>
  <si>
    <t>Prestar servicios profesionales en la formulación e implementación de estrategias de comunicación, capacitación y gestión administrativa que promueva el uso y apropiación de los programas desarrollados en cada una de las lineas de la  Subdirección Logística - SBLG</t>
  </si>
  <si>
    <t xml:space="preserve">Prestar servicios profesionales para acompañar a la Subdirección logística, en el diseño, implementación, reporte y monitoreo de los diferentes planes, programas, proyectos administrativos, financieros, y funciones a cargo de la subdirección - SBLG </t>
  </si>
  <si>
    <t>Prestar servicios profesionales en la gestión administrativa, contractual y financiera del mantenimiento de los vehículos pertenecientes parque automotor de la Subdirección Logística - SBLG.</t>
  </si>
  <si>
    <t xml:space="preserve"> Prestación de servicios de apoyo a la gestión para realizar el diagnóstico, los mantenimientos preventivos y correctivos a fin de garantizar la permanente funcionalidad de los equipos menores pertenecientes a la UAECOB, en la Subdirección Logística - SBLG
</t>
  </si>
  <si>
    <t>Prestación de servicios de apoyo a la gestión para realizar el diagnóstico, los mantenimientos preventivos y correctivos a fin de garantizar la permanente funcionalidad de los equipos menores pertenecientes a la UAECOB, en la Subdirección Logística - SBLG</t>
  </si>
  <si>
    <t>Prestación de servicios profesionales en la proyección, impulso, sustentación y control de las etapas precontractuales, contractuales y postcontractuales  que desarrolle la Subdirección Logística en el ámbito de su competencia.- SBLG</t>
  </si>
  <si>
    <t>Prestación de servicios profesionales para la gestión y seguimiento administrativo, técnico, operativo y de control del proceso de mantenimiento del parque automotor, a cargo de la Subdirección Logística (SBLG), con el objetivo de garantizar su operatividad.</t>
  </si>
  <si>
    <t>Prestación de servicios profesionales en el control legal de los procesos y acciones, especialmente la gestión contractual requerida  por la Subdirección Logística - SBLG</t>
  </si>
  <si>
    <t>Prestación de servicios profesionales como residente de talleres para gestionar y garantizar el funcionamiento y operación del parque automotor asignado a la  Subdirección Logística - SBLG.</t>
  </si>
  <si>
    <t>Prestación de servicios profesionales en la administración, gestión integral y mantenimiento del equipo menor a cargo de la Subdirección Logística -SBLG-.</t>
  </si>
  <si>
    <t>Prestar servicios profesionales en la seguimiento,verificación y control administrativo financiero de los procesos contractuales en la etapa de ejecución a cargo de la Subdirección Logistica – SBLG.</t>
  </si>
  <si>
    <t>Prestación de servicios profesionales para la elaboración, tramite e impulso de los procesos de contratación en las etapas precontractuales, contractuales y poscontractuales a cargo de la Subdirección Logística. SBLG</t>
  </si>
  <si>
    <t>Prestar  servicios de apoyo en la gestión documental física y digital, administrando y diligenciando las bases de datos, y demas documentos a cargo de la Subdirección logística. -SBLG.</t>
  </si>
  <si>
    <t>Prestar servicios de apoyo a la gestión en el seguimiento y control de los suministros y consumibles garantizando la disponibilidad para la atención de emergencias  -SBLG.</t>
  </si>
  <si>
    <t>Prestación de servicios profesionales en la gestión, control, seguimiento y ejecución  de los planes, programas y proyectos de la Subdirección - SBLG</t>
  </si>
  <si>
    <t>Prestación de servicios de apoyo a la gestión para la organización, clasificación, foliación, digitalización e indexación de documentos de la Subdirección logística</t>
  </si>
  <si>
    <t>Prestación de servicios profesionales de seguimiento operativo del equipo menor a través del, monitoreo, la programación y cumplimiento de los mantenimientos preventivos y correctivos del equipo menor. SBLG</t>
  </si>
  <si>
    <t>Prestación de servicios profesionales para realizar el seguimiento y monitoreo a los diferentes procesos y procedimientos del equipo menor a cargo de la Subdirección Logística - SBLG</t>
  </si>
  <si>
    <t>Prestación de servicios de apoyo a la gestión como conductor de acuerdo a las necesidades de desplazamiento que requiera la Subdirección Logística - SBLG</t>
  </si>
  <si>
    <t>Prestar servicios profesionales a la subdirección logística en el desarrollo y seguimiento de procesos administrativos, financieros y técnicos a cargo del área - SBLG</t>
  </si>
  <si>
    <t>Prestar servicios profesionales en la definición y gestión de procedimientos, lineamientos ambientales y de SST de los procesos y contratos a cargo de la subdirección, así como la gestión y manejo de la herramienta tecnológica. – SBLG</t>
  </si>
  <si>
    <t>Prestar servicios profesionales para realizar seguimiento y control de los diferentes procesos administrativos en cargo de la dependencia - SBLG</t>
  </si>
  <si>
    <t>Prestar servicio de apoyo a la gestión para acompañar a la subdirección logística en el seguimiento técnico y administrativo del mantenimiento de los vehículos pertenecientes al parque automotor de la UAECOB.</t>
  </si>
  <si>
    <t>SGH - Realizar el estudio  de  cargas  de  trabajo  de  los  servidores  públicos Administrativos y Operativos de la UAE Cuerpo Oficial de Bomberos de Bogotá,  que contenga las necesidades de ajuste o de incremento de planta conforme con los lineamientos del Departamento Administrativo de la Función Pública.</t>
  </si>
  <si>
    <t xml:space="preserve"> PAGO PASIVO-Diseño y desarrollo de escenarios de realidad virtual para el proceso de capacitación y formación de la subdirección de gestión del riesgo_SGR, CONTRATO DE CONSULTORIA 685 de 2022. </t>
  </si>
  <si>
    <t>Prestar los servicios profesionales especializados para acompañar las actividades jurídicas relacionadas con la gestión contractual en las etapas precontractual, contractual y postcontractual del área administrativa de la Subdirección de Gestión Corporativa -SGC</t>
  </si>
  <si>
    <t>Prestar servicios profesionales especializados a la Subdirección de Gestión Corporativa y Dirección General de la UAECOB en la construcción ,acompañamiento, seguimiento y fortalecimiento de las estrategias de comunicación que adelante la entidad dentro del Distrito Capital- SGC</t>
  </si>
  <si>
    <t>Prestación de servicios de apoyo a la gestión en la ejecución de los planes y programas de servicio al ciudadano a cargo de la Subdirección de Gestión Corporativa-SGC.</t>
  </si>
  <si>
    <t>Prestación de servicios profesionales en el acompañamiento y asistencia al proceso de gestión documental de la UAE Cuerpo oficial de Bomberos , así como en el apoyo a la supervisión de los contratos que le sean asignados.-SGC</t>
  </si>
  <si>
    <t xml:space="preserve">Prestación de servicios profesionales para la ejecución de los procesos contables que se desarrollan en el Área Financiera de la UAE Cuerpo Oficial de Bomberos asignados.-SGC      </t>
  </si>
  <si>
    <t>Adición y prórroga No. 1 al contrato 134 de 2023 que tiene como objeto “Mantenimiento preventivo y correctivo, que incluye el suministro de insumos y repuestos de las lavadoras y secadoras industriales ubicadas en las estaciones de bomberos de la UAE Cuerpo Oficial de Bomberos de Bogotá-SGC</t>
  </si>
  <si>
    <t>CCE-06 Selección abreviada menor cuantía</t>
  </si>
  <si>
    <t>Interventoría técnica, administrativa, financiera, contable, jurídica y ambiental  para la realizacion del mantenimiento predictivo, preventivo, correctivo, mejoras y dotación a las instalaciones de las dependencias de la Unidad Administrativa Especial Cuerpo Oficial de Bomberos de Bogotá D.C. - SGC</t>
  </si>
  <si>
    <t xml:space="preserve">Recursos destinados a cubrir el pago a  cargo de Pago de pasivos exigibles correspondientes a la Subdirección de Gestión Corporativa </t>
  </si>
  <si>
    <t xml:space="preserve">O2320202005040554590_Otros servicios especializados de la construcción </t>
  </si>
  <si>
    <t>Interventoría técnica, administrativa, financiera, contable, jurídica y ambiental para la elaboración de estudios y diseños técnicos para la construcción de la estación de Bomberos de Ferias B-7 de la UAE Cuerpo Oficial de Bomberos de Bogotá – SGC</t>
  </si>
  <si>
    <t>Adición y prórroga No. 1 al contrato 187 de 2023 que tiene como objeto “Contratar la prestación del servicio de aseo y cafetería incluido insumos para la UAE Cuerpo Oficial de Bomberos -SGC</t>
  </si>
  <si>
    <t>Adición y prórroga No. 1 al contrato 336 de 2023 que tiene como objeto “Prestar el servicio de vigilancia y seguridad privada en la modalidad devigilancia fija, según especificaciones técnicas, en las instalaciones donde la UAE Especial Cuerpo Oficial de Bomberos requiera-SGC</t>
  </si>
  <si>
    <t>Prestación de servicios profesionales especializados para atender las necesidades de mantenimiento de las instalaciones y las actividades técnicas de competencia del Área de Infraestructura de la Subdirección de Gestión Corporativa-SGC</t>
  </si>
  <si>
    <t>Prestación de servicios profesionales para atender las necesidades de mantenimiento de las instalaciones y las actividades técnicas y administrativas de competencia del Área de Infraestructura de la Subdirección de Gestión Corporativa-SGC</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</si>
  <si>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 –SGC</t>
  </si>
  <si>
    <t>Prestar servicios profesionales con el fin de atender los trámitesambientales y los demás que requiera el área de Infraestructura de laSubdirección de Gestión Corporativa. SGC</t>
  </si>
  <si>
    <t>Prestación de servicios profesionales para adelantar actividades técnicas y administrativas para la adquisición de bienes y servicios del Área de Infraestructura de la Subdirección de Gestión Corporativa-SGC</t>
  </si>
  <si>
    <t>Suministro  de implementos  de  papelería y oficina para las dependencias de la UAE Cuerpo  Oficial de Bomberos-SGC</t>
  </si>
  <si>
    <t>Contratar la prestación del servicio de aseo y cafetería incluído insumos para la UAE Cuerpo Oficial de Bomberos -SGC</t>
  </si>
  <si>
    <t>Prestar los servicios de Custodia, Consulta y Traslado Documental de Acuerdo a las especificaciones Técnicas  y requisitos contemplados en la normatividad Archivística Vigente-SGC</t>
  </si>
  <si>
    <t>Prestar a la UAE Cuerpo Oficial de Bomberos Bogotá  los servicios postales, la radicación, digitalización de correspondencia, el servicio de alistamiento básico, elaboración de guías, recolección, transporte y entrega de correo (sobres y/o paquetes) a nivel urbano, nacional e internacional, así como la administración del punto de correspondencia, con personal idóneo, equipos periféricos y motorizados, conforme lo establecido en la Ley 1369 del 2009 y demás normas concordantes y complementarios-SGC</t>
  </si>
  <si>
    <t xml:space="preserve">Seleccionar propuesta para contratar con una o varias compañías de seguros legalmente autorizadas para funcionar en el país, los seguros patrimoniales, generales, de aviación y personas requeridos para la adecuada protección de los bienes e intereses patrimoniales de la UNIDAD ADMINISTRATIVA ESPECIAL CUERPO OFICIAL BOMBEROS BOGOTÁ, así como de aquellos por los que sea o fuere legalmente responsable o le corresponda asegurar en virtud de disposición legal o contractual-SGC				</t>
  </si>
  <si>
    <t>80131502;</t>
  </si>
  <si>
    <t>Arrendamiento de instalaciones estación Ferias--SGC</t>
  </si>
  <si>
    <t>Adición y prórroga No. 1 al contrato 007 de 2023 que tiene como objeto “Arrendamiento de instalaciones estación Ferias--SGC</t>
  </si>
  <si>
    <t>Prestar el servicio de vigilancia y seguridad privada en la modalidad de vigilancia fija, según especificaciones técnicas, en las instalaciones donde la UAE Especial Cuerpo Oficial de Bomberos requiera-SGC</t>
  </si>
  <si>
    <t>Mantenimiento ascensor nueva Estación de Bomberos de Fontibón-SGC</t>
  </si>
  <si>
    <t>Mantenimiento correctivo y preventivo con suministro de repuestos para los Ascensores Edificio Comando-SGC</t>
  </si>
  <si>
    <t>Mantenimiento correctivo y preventivo con suministro de repuestos ascensor nueva Estación de Bomberos BELLAVISTA- SGC</t>
  </si>
  <si>
    <t>70111500;
76101500;
72102100</t>
  </si>
  <si>
    <t>Contratar el servicio de saneamiento ambiental, corte de césped, jardinería, poda y tala de árboles para las sedes (predios y/o estaciones) de la UAECOB-SGC</t>
  </si>
  <si>
    <t>Adición y prórroga No. 1 al contrato 391 de 2023 que tiene como objeto “Contratar el servicio de saneamiento ambiental, corte de césped, jardinería, poda y tala de árboles para las sedes (predios y/o estaciones) de la UAECOB-SGC</t>
  </si>
  <si>
    <t>81141807;
40151517;
76121701;
83101500;</t>
  </si>
  <si>
    <t>Prestar el servicio de recolección y diposición final de los residuos sanitarios y aguas no tratadas de las instalaciones de la Unidad Administrativa Especial Cuerpo Oficial de Bomberos Bogotá -SGC</t>
  </si>
  <si>
    <t>Adición y prórroga No. 1 al contrato 570 de 2023 que tiene como objeto “Prestar el servicio de recolección y disposición final de los residuos sanitarios y aguas no tratadas de las instalaciones de la Unidad Administrativa Especial Cuerpo Oficial de Bomberos Bogotá -SGC</t>
  </si>
  <si>
    <t>Suministro de insumos para lavadoras-SGC</t>
  </si>
  <si>
    <t>Adición y prórroga No. 1 al contrato 276 de 2023 que tiene como objeto “Seleccionar propuesta para contratar con una o varias compañías de seguros legalmente autorizadas para funcionar en el país, los seguros patrimoniales, generales, de aviación y personas requeridos parala adecuada protección de los bienes e intereses patrimoniales de la UNIDAD ADMINISTRATIVA ESPECIAL CUERPO OFICIAL BOMBEROS BOGOTÁ, así como de aquellos por los que sea o fuere legalmente responsable o le corresponda asegurar en virtud de disposición legal o contractual-SGC</t>
  </si>
  <si>
    <t>Adición y prórroga No. 1 al contrato 277 de 2023 que tiene como objeto “Seleccionar propuesta para contratar con una o varias compañías de seguros legalmente autorizadas para funcionar en el país, los seguros patrimoniales, generales, de aviación y personas requeridos parala adecuada protección de los bienes e intereses patrimoniales de la UNIDAD ADMINISTRATIVA ESPECIAL CUERPO OFICIAL BOMBEROS BOGOTÁ, así como de aquellos por los que sea o fuere legalmente responsable o le corresponda asegurar en virtud de disposición legal o contractual-SGC</t>
  </si>
  <si>
    <t>Contratar la Prestación de Servicios para desarrollar el Plan de Bienestar de la UAE Cuerpo Oficial de Bomberos para la Vigencia 2024.</t>
  </si>
  <si>
    <t>INCENTIVOS</t>
  </si>
  <si>
    <t>Realizar los exámenes Médicos Ocupacionales para el personal de la UAECOB</t>
  </si>
  <si>
    <t>Adquirir elementos de protección personal para prevenir la aparición de enfermedades ocupacionales en el oido en el personal de la UAE cuerpo oficial de bomberos.</t>
  </si>
  <si>
    <t>SGH - Realizar la capacitación y certificación de los funcionarios de la Unidad Administrativa Especial Cuerpo Oficial de Bomberos de Bogotá en el manejo de analizadores de alcohol en aire espirado (alcohosensores).</t>
  </si>
  <si>
    <t>Contratar elementos de protección personal de acuerdo con las diferentes visitas de las estaciones según el sistema de gestión de salud ocupacional</t>
  </si>
  <si>
    <t>Uniformes de trabajo</t>
  </si>
  <si>
    <t>01/16/2024</t>
  </si>
  <si>
    <t>Contratar el servicio de mantenimiento, soporte técnico y actualización a distancia del aplicativo PCT, utilizado por la UAE Cuerpo Oficial de Bomberos de Bogota - TIC</t>
  </si>
  <si>
    <t>Contratar  la suscripción de licencias Suite Adobe para la UAE Cuerpo Oficial de Bomberos de Bogotá-TIC</t>
  </si>
  <si>
    <t>Contratar los servicios de canales de datos dedicados para la UAE Cuerpo Oficial de Bomberos de Bogotá-TIC</t>
  </si>
  <si>
    <t>Contratar la renovación de la membresía LACNIC para mantener la disponibilidad del bloque de direcciones IPV6 adquirido por la U.A.E. Cuerpo Oficial de Bomberos de Bogotá</t>
  </si>
  <si>
    <t>0131 - Programa Funcionamiento - UAECOB</t>
  </si>
  <si>
    <t>78121600 
78131800 
92111600 
72141500</t>
  </si>
  <si>
    <t>ADICIÓN Y PRORROGA CTO 369-2023-Contratar los servicios de recolección, manipulación, almacenamiento temporal, transporte y disposición final (destrucción o devolución) de pólvora, fuegos artificiales, globos y demás artículos pirotécnicos incautados por las autoridades competentes en el Distrito Capital"_SGR.</t>
  </si>
  <si>
    <t>Prestar los servicios profesionales jurídicos especializados para apoyar las actuaciones procesales y procedimentales de la Oficina Jurídica</t>
  </si>
  <si>
    <t>Prestar servicios profesionales para apoyar en las acciones de control y manejo de la información y la presentación de los informes reglamentarios a los entes de control por parte de la Oficina Jurídica</t>
  </si>
  <si>
    <t>Realizar el mantenimiento, recoleccion y disposición final de los residuos de las trampas de grasas en las estaciones de la UAE – Cuerpo oficial de Bomberos de Bogotá- SGC</t>
  </si>
  <si>
    <t>Seleccionar un promotor y/o intermediario público o privado, para que tramite, gestione y lidere la venta en subasta pública de los bienes muebles obsoletos, servibles no utilizables e inservibles de propiedad de la U.A.E. Cuerpo Oficial de Bomberos Bogotá- SGC</t>
  </si>
  <si>
    <t>ID</t>
  </si>
  <si>
    <t>Prestación de servicios de apoyo a la gestión para seguimiento y control admistrativos y financieros de los insumos, suministros y consumibles a cargo de la Subdirección logística.  - SBLG</t>
  </si>
  <si>
    <t>Prestación de servicios de apoyo a la gestión relacionada con la gestión administrativa de las herramientas tecnológicas de la Subdirección Logística asociados a la mesa logística - SBLG</t>
  </si>
  <si>
    <t>Prestación de servicios profesionales administrativos en el seguimiento y control en las diferentes herramientas tecnologicas del parque automotor de la subdirección logística.</t>
  </si>
  <si>
    <t>Adición y Prorroga del Cto 400 de 2023 Prestar servicios profesionales en la gestión de las solicitudes de mesa logística en relación con parque automotor, equipo menor y suministros consumibles y de los requerimientos de uso y apropiación. SBLG</t>
  </si>
  <si>
    <t>Prestación de servicios de apoyo a la gestión como conductor para atender los diferentes requerimientos e incidentes en la Subdirección Logística.</t>
  </si>
  <si>
    <t>Adquisicion de maquinaria amarilla para apoyo en las operaciones de la UAECOB_SGR</t>
  </si>
  <si>
    <t>Seleccionar una administradora de riesgos laborales (ARL) para la prevención, atención de accidentes de trabajo, enfermedades laborales de los funcionarios y contratistas de la Unidad Administrativa Especial Cuerpo Oficial de Bomberos de Bogotá, la asesoría, asistencia técnica del Sistema de Gestión de Seguridad y Salud en el Trabajo, establecida en la normatividad legal vigente de riesgos laborales.</t>
  </si>
  <si>
    <t>44121700;44121800;44121900;44122000</t>
  </si>
  <si>
    <t>92121500;92121700;32151800</t>
  </si>
  <si>
    <t>44121700;44111500;44122000;44122100;14111500</t>
  </si>
  <si>
    <t>23101512;23241629;27111508;27111559;46161707;46191605;46191609;27111604;46191603;30191501;46191614;27111702;46191620;46201002;41114408;46191510;46191511;42171610;46161715;42171612;27112813;27112120;30102409;26121634;41113630;25173107;25173108;52161518;46181504;46181537;46161714;41114501</t>
  </si>
  <si>
    <t>86101600;86101700;86101800;86111600;86141500;86121800</t>
  </si>
  <si>
    <t>72101509;46191600</t>
  </si>
  <si>
    <t>90101800;90101600;50192700;50112000;50202311;50201709;50161509;50192110;93131602</t>
  </si>
  <si>
    <t>70122002;70122005;70122006;70122007;70122008;70122009;70122010;10101500;10121800</t>
  </si>
  <si>
    <t>81102200;86101808</t>
  </si>
  <si>
    <t>40151601;40151802</t>
  </si>
  <si>
    <t>72101500;40151601</t>
  </si>
  <si>
    <t>39121321;31162800;39121700</t>
  </si>
  <si>
    <t>72101500;72101509</t>
  </si>
  <si>
    <t>43221700;43191500</t>
  </si>
  <si>
    <t>81112001;81112002;32101656;25173107</t>
  </si>
  <si>
    <t>81112213;81112501</t>
  </si>
  <si>
    <t>81112200;81112201</t>
  </si>
  <si>
    <t>78131800;80101500;80101600;80161500;81111900;81112000</t>
  </si>
  <si>
    <t>84131600;84131500</t>
  </si>
  <si>
    <t>72154010;72101506</t>
  </si>
  <si>
    <t>70111500;76101500;72102100</t>
  </si>
  <si>
    <t>91111602;47101568;49241712</t>
  </si>
  <si>
    <t>72151800;72151505;73152108</t>
  </si>
  <si>
    <t>72121400;72151700;95121700</t>
  </si>
  <si>
    <t>56101500;40151510;40151531;40151721;72121402;72151800;72154103;72154108;72154109;73152108</t>
  </si>
  <si>
    <t>72101500;92101600</t>
  </si>
  <si>
    <t>72121400;72151700;72154109;95121700</t>
  </si>
  <si>
    <t>23271800;26111700;26121500;26121600;27111800;27111900;27112000;27112100;27112800</t>
  </si>
  <si>
    <t>72121400;72151700</t>
  </si>
  <si>
    <t>81101500;80101600</t>
  </si>
  <si>
    <t>80101600;81101500;72101500;72121400</t>
  </si>
  <si>
    <t>80101500;80141700;80141600;80151500;84121500</t>
  </si>
  <si>
    <t>43231512;81112501</t>
  </si>
  <si>
    <t>90101600;90111600;90141700;90151700</t>
  </si>
  <si>
    <t>43233000;81112200</t>
  </si>
  <si>
    <t>46201000;46201002</t>
  </si>
  <si>
    <t>80101500;80111500;86132000;93151500</t>
  </si>
  <si>
    <t>46181500;46181600;46181800;46181900;46182000;46182100;46182200;46182300;46182400;46182500;46191500;46191600;46181503;46181504;46181505</t>
  </si>
  <si>
    <t>46181500;46181600;46181800;46181900;46182000;46182100;46182200;46182300;46182400;46182500;46191500;46191601</t>
  </si>
  <si>
    <t>46191500;46191600;46191607</t>
  </si>
  <si>
    <t>46181500;46181600;46181800;46181900;46182000;46182100;46182200;46182300;46182400;46182500;46191500;46191603</t>
  </si>
  <si>
    <t>46181500;46181600;46181800;46181900;46182000;46182100;46182200;46182300;46182400;46182500;46191500;46191604</t>
  </si>
  <si>
    <t>46181500;46181600;46181800;46181900;46182000;46182100;46182200;46182300;46182400;46182500;46191500;46191605</t>
  </si>
  <si>
    <t>46181500;46181600;46181800;46181900;46182000;46182100;46182200;46182300;46182400;46182500;46191500;46191606</t>
  </si>
  <si>
    <t>46181500;46181600;46181800;46181900;46182000;46182100;46182200;46182300;46182400;46182500;46191500;46191607</t>
  </si>
  <si>
    <t>46181500;46181600;46181800;46181900;46182000;46182100;46182200;46182300;46182400;46182500;46191500;46191608</t>
  </si>
  <si>
    <t>46181500;46181600;46181800;46181900;46182000;46182100;46182200;46182300;46182400;46182500;46191500;46191609</t>
  </si>
  <si>
    <t>46181500;46181600;46181800;46181900;46182000;46182100;46182200;46182300;46182400;46182500;46191500;46191610</t>
  </si>
  <si>
    <t>32131023;39121011;43232300</t>
  </si>
  <si>
    <t>85121503;85121603;85121604;85121608;85121610;85121611;85121612;85121702;85122201</t>
  </si>
  <si>
    <t>46181900;46181901</t>
  </si>
  <si>
    <t>72151607;72103302</t>
  </si>
  <si>
    <t>81141807;40151517;76121701;83101500</t>
  </si>
  <si>
    <t>81112501;43232102;43232103;43231512</t>
  </si>
  <si>
    <t>81112100;81111500</t>
  </si>
  <si>
    <t>SGH - Prestar sus servicios profesionales en comunicación interna y externa para la Subdirección de Gestión Humana de la UAE Cuerpo Oficial de Bomberos de Bogotá</t>
  </si>
  <si>
    <t>SGH - Prestar servicios profesionales en la Subdirección de Gestión Humana de la UAE Cuerpo Oficial de Bomberos de Bogotá en lo relacionado con los procesos de actualización, custodia y manejo del archivo de gestión y nómina de la Subdirección</t>
  </si>
  <si>
    <t>SGH - Prestar servicios profesionales en la Subdirección de Gestión Humana de la UAE Cuerpo Oficial de Bomberos de Bogotá en las áreas de calidad de vida y desarrollo organizacional</t>
  </si>
  <si>
    <t>Prestación de servicios profesionales para apoyar a la Dirección en la elaboración, diseño y diagramación de piezas requeridas para los planes, programas, proyectos y procedimientos</t>
  </si>
  <si>
    <t>Prórroga No. 3 al contrato No. 450 de 2021, cuyo objeto es "Seleccionar una administradora de riesgos laborales (ARL) para la prevención, atención de accidentes de trabajo, enfermedades laborales de los funcionarios y contratistas de la Unidad Administrativa Especial Cuerpo Oficial de Bomberos de Bogotá, la asesoría, asistencia técnica del Sistema de Gestión de Seguridad y Salud en el Trabajo, establecida en la normatividad legal vigente de riesgos laborales</t>
  </si>
  <si>
    <t>Prestación de servicios profesionales para la implementación, sostenibilidad y seguimiento  del programa de seguridad vial PESV y el programa de calibración de equipos a cargo de la Subdirección Logística – SBLG.</t>
  </si>
  <si>
    <t>Prestar servicios profesionales a la gestión en los aspectos jurídicos de la Subdirección Logística -SBLG</t>
  </si>
  <si>
    <t xml:space="preserve">Prestación de servicios profesionales a la gestión administrativa, financiera y documental para la atención del cuerpo uniformado a cargo de la Subdirección - SBGL. </t>
  </si>
  <si>
    <t>ADICIÓN Y PRORROGA del CTO 501-2023, Prestar servicios profesionales en las actividades del MIPG de la Subdirección de Gestión del riesgo._SGR.</t>
  </si>
  <si>
    <t>ADICIÓN Y PRORROGA del CTO 484-2023, Prestar servicios profesionales  en las actividades de soporte operacional de la UAECOB._SGR</t>
  </si>
  <si>
    <t>ADICIÓN Y PRORROGA del CTO 475-2023, Prestar servicios profesionales en las actividades de análisis de información de escenarios a cargo de la Subdirección de Gestión del Riesgo._SGR</t>
  </si>
  <si>
    <t>ADICIÓN Y PRORROGA del CTO 481-2023, Prestar servicios profesionales en las actividades de Programas y Campañas de Prevención para la Subdirección de Gestión del Riesgo._SGR</t>
  </si>
  <si>
    <t>ADICIÓN Y PRORROGA del CTO 412-2023, Prestar servicios de apoyo a la gestión en las actividades de soporte operacional de la UAECOB._SGR</t>
  </si>
  <si>
    <t>ADICIÓN Y PRORROGA del CTO 459-2023, Prestar servicios de apoyo a la gestión en las actividades de soporte operacional de la UAECOB._SGR.</t>
  </si>
  <si>
    <t>ADICIÓN Y PRORROGA del CTO 510-2023, Prestar servicios de apoyo a la gestión en las actividades de soporte operacional de la UAECOB._SGR</t>
  </si>
  <si>
    <t>ADICIÓN Y PRORROGA del CTO 542-2023, Prestar servicios de apoyo a la gestión en las actividades de soporte operacional de la UAECOB._SGR.</t>
  </si>
  <si>
    <t>ADICIÓN Y PRORROGA del CTO 485-2023,Prestar servicios de apoyo a la gestion en las actividades de monitoreo del riesgo para la Subdirección de Gestión del Riesgo._SGR Auxiliar.</t>
  </si>
  <si>
    <t>ADICIÓN Y PRORROGA del CTO 467-2023, Prestar servicios de apoyo a la gestion en las actividades de monitoreo del riesgo para la Subdirección de Gestión del Riesgo._SGR Auxiliar</t>
  </si>
  <si>
    <t>Prestación de servicios profesionales para apoyar a la Subdirección Operativa, en la identificación, captura y consolidación de la información técnica pertienente para estructurar la estrategia de preparativos de la UAE Cuerpo Oficial de Bomberos de Bogotá SO</t>
  </si>
  <si>
    <t>2-Elaborar 1 plan de preparativos y continuidad del servicio para la UAECOB ante la eventual ocurrencia de un desastre en el Distrito Capital</t>
  </si>
  <si>
    <t xml:space="preserve">Prestación de servicios profesionales para apoyar a la Subdirección Operativa, en la consolidación y reporte de la información técnica para la estructuración del documento estrategia de preparativos de la UAE Cuerpo Oficial de Bomberos de Bogotá SO
</t>
  </si>
  <si>
    <t>Prestación de servicios profesionales para apoyar a la Subdirección Operativa, en la consolidación y reporte de la información técnica para la estructuración del documento estrategia de preparativos de la UAE Cuerpo Oficial de Bomberos de Bogotá SO</t>
  </si>
  <si>
    <t>25101700;
25101900;
92101601;
92101603;
92101604</t>
  </si>
  <si>
    <t>Pasivo de la Adquisición de vehículos operativos para la UAECOB.</t>
  </si>
  <si>
    <t>O23201010030208 Otra maquinaria para usos especiales y sus partes y piezas</t>
  </si>
  <si>
    <t>7-Implementar 100% de un programa de renovación de vehículos de la Unidad Administrativa Cuerpo Oficial de Bomberos de Bogotá</t>
  </si>
  <si>
    <t>Prestación de servicios profesionales para acompañar a la Subdirección Operativa en la elaboración de informes de gestión, documentos técnicos, reportes y visualizaciones de datos relacionadas con la atención de emergencias a cargo de la dependencia – SO</t>
  </si>
  <si>
    <t>Prestación de servicios profesionales para acompañar a la Subdirección Operativa en el control y monitoreo de las novedades reportadas por las estaciones en lo que respecta a infraestructura, para elaborar los informes técnicos correspondientes, que deban ser remitidos a la Subdirección Corporativa para los trámites de su competencia – SO</t>
  </si>
  <si>
    <t>Prestación de servicios profesionales para acompañar a la Subdirección Operativa en la elaboración de informes, documentos técnicos, infografías, reportes y consolidación de indicadores relacionados con los procesos, procedimientos y contratos a cargo de la dependencia – SO</t>
  </si>
  <si>
    <t>Prestación de servicios profesionales para apoyar las actividades concernientes al desarrollo de las condiciones básicas de bienestar tanto de los animales rescatados como las relacionadas con caninos del programa BRAE de la subdirección operativa -SO</t>
  </si>
  <si>
    <t>Prestación de servicios de apoyo a la gestión para el desarrollo de las actividades de mantenimiento de las condiciones básicas de bienestar de los animales rescatados y/o recuperados y de los caninos del grupo BRAE. – SO</t>
  </si>
  <si>
    <t>Prestación de servicios profesionales para acompañar a la Subdirección Operativa, en el diligenciamiento y seguimiento de las herramientas de gestión a cargo de la dependencia. -SO</t>
  </si>
  <si>
    <t>Prestación de servicios de apoyo a la gestión para el desarrollo de las actividades administrativas que requieran ejecutarse en el Centro de Coordinación y Comunicaciones de la UAE Cuerpo Oficial de Bomberos de Bogotá - SO</t>
  </si>
  <si>
    <t>Prestación de servicios de apoyo a la gestión de carácter administrativo y documental para la atención de requerimientos y solicitudes y realización de trámites relacionados con los procesos y procedimientos a cargo de la Subdirección Operativa – SO</t>
  </si>
  <si>
    <t>Contratar la prestación de servicios de apoyo a la gestión para adelantar actividades administrativas y técnicas en el soporte técnico nivel (1) para los serivicios tecnológicos  del Edificio Comando de la U.A.E. Cuerpo Oficial de bomberos de Bogotá - TIC</t>
  </si>
  <si>
    <t>Contratar la prestación de servicios de apoyo a la gestión para adelantar actividades administrativas y técnicas en el soporte técnico nivel (1) para los serivicios tecnológicos  del Edificio Comando, Estaciones y  Supercades de la U.A.E. Cuerpo Oficial de bomberos de Bogotá - TIC</t>
  </si>
  <si>
    <t>Prestar servicios profesionales para la administración y gestión de la infraestructura tecnológica de servidores, servicios de nube y componentes relacionados con los que cuenta la UAE Cuerpo Oficial de Bomberos de Bogotá - TIC</t>
  </si>
  <si>
    <t>Contratar soporte técnico en sitio y mantenimiento preventivo y correctivo con suministro de repuestos para la infraestructura tecnológica de la UAE Cuerpo Oficial de Bomberos de Bogotá y  SUPERCADES de Bogotá-TIC</t>
  </si>
  <si>
    <t>Contratar la adquisición de firmas digitales (token) para la U.A.E. Cuerpo Oficial de Bomberos de Bogotá - TIC</t>
  </si>
  <si>
    <t>Prestar servicios profesionales para administrar y gestionar los servicios tecnológicos relacionados con la herramienta de mesa de ayuda, directorio activo y herramientas colaborativas de microsoft que le sean asignados por la UAE Cuerpo Oficial de Bomberos de Bogotá - TIC.</t>
  </si>
  <si>
    <t>Prestar Servicios profesionales para administrar y  gestionar los servicios y actividades de TI  derivados de la mesa de ayuda  e infraestructura tecnológica y de comunicaciones, utilizados por UAE Cuerpo Oficial de Bomberos Bogotá de acuerdo con los niveles de servicios de los diferentes procesos-TIC.</t>
  </si>
  <si>
    <t>SGH - Prestar servicios para soportar las actividades de la dependencia</t>
  </si>
  <si>
    <t>SGH - Prestar servicios profesionales a la Subdirección de Gestión Humana para el fortalecimiento y seguimiento del proceso de la escuela de formación bomberil.</t>
  </si>
  <si>
    <t>44121700;44111500;44122000;
44122100;14111500;</t>
  </si>
  <si>
    <t>Prestar servicios asistenciales y de apoyo a la gestión para el desarrollo de actividades administrativas y procesos de gestión documental TIC</t>
  </si>
  <si>
    <t>Prestar los servicios profesionales para apoyar administrativamente la gestión, los procesos y procedimientos y demás trámites propios del cumplimiento de la misionalidad de la Oficina Jurídica</t>
  </si>
  <si>
    <t>Prestar servicios profesionales para apoyar las diferentes actuaciones jurídicas que adelanta la UAECOB</t>
  </si>
  <si>
    <t>Prestación de servicios profesionales con autonomía técnica y administrativa, en la Oficina Asesora de Planeación de la UAECOB, para el diseño de campañas publicitarias que apoyen el uso y apropiación en los programas desarrollados para la implementación del MIPG.</t>
  </si>
  <si>
    <t>Adición No.2 al contrato 385 de 2023 que tiene como objeto “Suministro de implementos de papelería y oficina para las dependencias de la UAE Cuerpo Oficial de Bomberos-SGC</t>
  </si>
  <si>
    <t>Suministro de insumos para las impresoras de las dependencias de la UAE Cuerpo Oficial de Bomberos.-SGC</t>
  </si>
  <si>
    <t>44103100;44103101;44103103;44103105;44103106;44103108;44103110;44103111;55101500</t>
  </si>
  <si>
    <t xml:space="preserve"> Prestación de servicios profesionales en los aspectos derivados de la ejecución operativa asociada a los procesos administrativos que se encuentran en cabeza de la Subdirección de Gestión Corporativa - SGC</t>
  </si>
  <si>
    <t>“Prestar servicios profesionales en las actividades de análisis de información de escenarios a cargo de la subdirección de Gestión del Riesgo SGR”.</t>
  </si>
  <si>
    <t>Prestar servicios profesionales en las actividades de ánalisis de información de escenarios a cargo de la subdirección de Gestión del Riesgo_SGR.</t>
  </si>
  <si>
    <t>Adición y Prórroga del Cto. No. 019-2023, cuyo objeto es “Suministrar combustible para los vehículos, y equipos especializados de la U.A.E. Cuerpo Oficial de Bomberos Bogotá dentro y fuera del perímetro del distrito capital de la SBLG”</t>
  </si>
  <si>
    <t>Prestación de servicios de apoyo a la gestión como  conductor para realizar el transporte de personas, materiales y alimentos de acuerdo a las necesidades e instrucciones de la Subdirección Logística</t>
  </si>
  <si>
    <t>Adición y prórroga del contrato 449 de 2023 cuyo objeto es “Suministrar alimentación e hidratación para la atención de emergencias, entrenamientos, capacitaciones y actividades de prevención.</t>
  </si>
  <si>
    <t>Prestar servicios profesionales para el seguimiento y gestión de las actividades establecidas en los planes de acción y estratégicos; así como, de los procedimientos administrativos y financieros propios de Subdirección Logística - SBLG</t>
  </si>
  <si>
    <t>90101800; 90101600;
50192700; 50192700;
50112000; 50202311;
50201709; 50161509;  
50192110; 93131602;</t>
  </si>
  <si>
    <t>56101500
;561217</t>
  </si>
  <si>
    <t>Adición No. 2 al contrato 634 de 2022 que tiene como objeto "  Suministro de muebles, enseres, maquinaria, equipo y demás elementos quesean requeridos por las diferentes estaciones y edificio comando de la UAE Cuerpo Oficial de Bomberos Bogotá- SGC</t>
  </si>
  <si>
    <t>49201501;49201503;
49201516;49201603;
49201605;49201611;
72151800</t>
  </si>
  <si>
    <t>Prestación de servicios de apoyo en la gestión de seguros de la Subdirección de Gestión Corporativa. –SGC.</t>
  </si>
  <si>
    <t>Prestar los servicios profesionales jurídicos para apoyar las actividades propias de la gestión contractual en sus diferentes etapas, en procesos que contribuyan al desarrollo de la infraestructura requerida por la entidad para la adecuada prestación del servicio- SGC</t>
  </si>
  <si>
    <t>SGH - Prestar servicios profesionales especializados en el desarrollo de las actividades y de los diferentes procesos que tiene a cargo la Subdirección de Gestión Humana de la UAE Cuerpo Oficial de Bomberos de Bogotá</t>
  </si>
  <si>
    <t>SGH - Prestar de servicios profesionales especializados para desarrollar actividades jurídicas en atención a los distintos requerimientos de la Subdirección de Gestión Humana.</t>
  </si>
  <si>
    <t>Prestar servicios profesionales para apoyar la formulación, seguimiento de la planeación institucional y fortalecimiento del Modelo Integrado de Planeación y Gestión – MIPG definida por la Oficina Asesora de Planeación.</t>
  </si>
  <si>
    <t>Prestación de servicios profesionales para la elaboración, diagramación, orto tipografía y estilos de textos e informes referentes a los procesos a cargo de la Subdirección Operativa - SO</t>
  </si>
  <si>
    <t>Prestación de servicios profesionales para acompañar a la Subdirección Operativa en la estructuación de fichas técnicas y en la identificación de necesidades técnicas que requiere suplir la UAE Cuerpo Oficial de Bomberos de Bogotá, a partir de los datos estadísticos obtenidos de las emergencias y requerimientos de los entes externos e internos</t>
  </si>
  <si>
    <t>Prestar servicios de apoyo a la gestión para el levantamiento de requerimientos, diseño, documentación,  soporte de análisis de datos y publicación de información</t>
  </si>
  <si>
    <t>UAECOB</t>
  </si>
  <si>
    <t>NA</t>
  </si>
  <si>
    <t>Ahorro del 10% para reducción del gasto en contratos de prestación deservicios profesionales y de apoyo a la gestión en cumplimiento delarticulo 6 del Decreto 062 del 2024</t>
  </si>
  <si>
    <t>80101600;
81101500;
72101500;
72121400</t>
  </si>
  <si>
    <t>Realizar la interventoría técnica, administrativa, legal, financiera, contable, seguridad y salud en el trabajo, social y ambiental del contrato con objeto es "realizar la adecuación del espacio de entrenamiento de la estación de bomberos B-05 kennedy – SGC</t>
  </si>
  <si>
    <t>72121400; 72154000; 72101500; 72102900; 72153100; 
91111600;</t>
  </si>
  <si>
    <t>Realizar la adecuación del espacio de entrenamiento de la estación de bomberos B-05 Kennedy – SGC</t>
  </si>
  <si>
    <t>Prestar los servicios profesionales en los trámites técnicos y administrativos para la adquisición de lo bienes y servicios  del Área de Infraestructura de la Subdirección de Gestión Corporativa-SGC</t>
  </si>
  <si>
    <t>Prestación de servicios profesionales, en temas jurídicos de la gestión administrativa a cargo de la Subdirección de Gestión Corporativa.- SGC</t>
  </si>
  <si>
    <t>Prestar servicios profesionales en la Subdirección de Gestión Corporativa para aplicar los procesos y procedimientos a los inventarios a cargo de la UAECOB-SGC</t>
  </si>
  <si>
    <t>Prestar servicios profesionales para realizar acompañamiento en la elaboración, revisión de actas de liquidación y cierre procesos contractuales adelantados por la Subdirección Gestión Corporativa -SGC</t>
  </si>
  <si>
    <t>78181505;</t>
  </si>
  <si>
    <t>adición al contrato 326-2023 con el objeto "Contratar el servicio de revision técnico mecánica y de emision de gases contaminantes para los vehiculos que forman parte del parque automotor de la Unidad Administrativa Especial Cuerpo Oficial de Bomberos de Bogotá - UAECOB-SBLG</t>
  </si>
  <si>
    <t xml:space="preserve">N/A </t>
  </si>
  <si>
    <t>contratar el servicio de revision técnico mecánica y de emision de gases contaminantes para los vehiculos que forman parte del parque automotor de la Unidad Administrativa Especial Cuerpo Oficial de Bomberos de Bogotá - UAECOB-SBLG</t>
  </si>
  <si>
    <t>Adición al contrato 380-2023 con el objeto "Prestar el servicio de mantenimiento preventivo y correctivo, de latonería y pintura, incluyendo el suministro de repuestos, insumos y mano de obra especializada para los vehículos pertenecientes al parque automotor de la U.A.E. Cuerpo Oficial de Bomberos de Bogotá - SBLG</t>
  </si>
  <si>
    <t>Adición al contrato 573-2023 con el objeto "Prestar el servicio de mantenimiento preventivo y correctivo, de latonería y pintura, incluyendo el suministro de repuestos, insumos y mano de obra especializada para los vehículos pertenecientes al parque automotor de la U.A.E. Cuerpo Oficial de Bomberos de Bogotá - SBLG"</t>
  </si>
  <si>
    <t>85121600, 85122000, 85121500</t>
  </si>
  <si>
    <t>Prórroga No. 1 al contrato No. 583 de 2023, cuyo objeto es "Contratar las actividades de intervención para el programa de riesgo psicosocial".</t>
  </si>
  <si>
    <t>SGH - Prestar servicios profesionales para apoyar el seguimiento del sistema de gestión de seguridad y salud en el trabajo en la Subdirección de Gestión Humana.</t>
  </si>
  <si>
    <t>SGH - Ejecutar actividades de apoyo a la gestión en  la Subdirección de Gestión Humana de la UAE Cuerpo Oficial de Bomberos de Bogotá D.C. en lo relacionado con los procesos de actualización, custodia y manejo del archivo de gestión de la Subdirección.</t>
  </si>
  <si>
    <t>Prestación de servicios profesionales para acompañar a la Dirección en la estructuración de fichas técnicas y en la identificación de necesidades técnicas que requiere suplir la UAE Cuerpo Oficial de Bomberos de Bogotá</t>
  </si>
  <si>
    <t>Prestar por sus propios medios con plena autonomía técnica y administrativa los servicios profesionales para el desarrollo y soporte de aplicativos para el funcionamiento de la Subdirección Operativa.</t>
  </si>
  <si>
    <t>Prestar servicios profesionales en las actividades administrativas y financieras que requieran los procesos de la Subdirección Logística- SBLG</t>
  </si>
  <si>
    <t xml:space="preserve">Prestación de servicios médicos veterinarios, de hospitalización, con suministro de medicamentos e insumos veterinarios, para los caninos de la U.A.E. Cuerpo Oficial de Bomberos de Bogotá - SBLG	</t>
  </si>
  <si>
    <t>Contratar el suministro de raciones para la atención de emergencias</t>
  </si>
  <si>
    <t xml:space="preserve">Contratar el suministro de alimentación para los caninos de la U.A.E. del Cuerpo Oficial de Bomberos de Bogotá - SBLG	</t>
  </si>
  <si>
    <t xml:space="preserve">Prestar servicios profesionales en el manejo de las herramientas tecnológicas a cargo de la Subdirección Logística, y en diligenciamiento, seguimiento y control de las herramientas de gestión asociadas a la mesa logística. – SBLG </t>
  </si>
  <si>
    <t>Prestar servicios profesionales en la gestión y soporte de las herramientas tecnológicas desarrolladas para el funcionamiento de las áreas de la entidad - TIC.</t>
  </si>
  <si>
    <t>Prestación de servicios profesionales especializados para apoyar las actividades técnicas y gestión predial del Área de Infraestructura de la Subdirección de Gestión Corporativa-SGC</t>
  </si>
  <si>
    <t>Adición No.1 al contrato 523 de 2023 que tiene como objeto"Mantenimiento correctivo y preventivo con suministro de repuestos ascensor nueva Estación de Bomberos BELLAVISTA- SGC</t>
  </si>
  <si>
    <t>Prestación de servicios de apoyo a la gestión administrativa del parque automotor a cargo de la Subdirección Logística - SBLG.</t>
  </si>
  <si>
    <t>Prestar servicios profesionales a la Oficina Asesora de Planeacion en los procesos de gestión estratégica, fortalecimiento de las políticas institucionales del MIPG a cargo de la Oficina Asesora de Planeación y sistema de control interno.</t>
  </si>
  <si>
    <t>SGH - Recibir a título gratuito donación de 17 becas para estudiar inglés a través de la plataforma Smart online por parte de la academia de idiomas Smart.</t>
  </si>
  <si>
    <t>Adición No.1 al contrato 359 de 2023 que tiene como objeto " Realizar el mantenimiento preventivo, correctivo y suministro de repuestos para los equipos de gimnasio instalados en las diferentes estaciones de la UAE Cuerpo Oficiales de Bomberos.-SGC</t>
  </si>
  <si>
    <t>Prestar servicios profesionales en la Subdirección de Gestión Corporativa en lo relacionado con los procesos de inventarios, almacén y bajas-SGC</t>
  </si>
  <si>
    <t>Prestación de servicios profesionales para apoyar a la Subdirección de Gestión Corporativa aplicando los procesos y procedimientos de seguros e inventarios -SGC.</t>
  </si>
  <si>
    <t>Prestación de servicios profesionales para acompañar a la Subdirección Operativa en el seguimiento y control de gestión de la información como consecuencia de las implementaciones tecnológicas, a partir de los requerimientos administrativos y operativos - SO</t>
  </si>
  <si>
    <t>Prestar los servicios de mantenimiento, soporte técnico, mejoras y actualizaciones de Aranda utilizado por la UEACOB"</t>
  </si>
  <si>
    <t>Adición y prórroga al contrato No. 599 de 2023 cuyo objeto es "Contratar la renovación del licenciamiento y soporte de las plataformas de seguridad perimetral Fortinet, firewalls y WAF del edificio comando y estaciones para la U.A.E. Cuerpo Oficial de Bomberos de Bogotá - TIC"</t>
  </si>
  <si>
    <t>Prórroga No. 4 al contrato No. 450 de 2021, cuyo objeto es "Seleccionar una administradora de riesgos laborales (ARL) para la prevención, atención de accidentes de trabajo, enfermedades laborales de los funcionarios y contratistas de la Unidad Administrativa Especial Cuerpo Oficial de Bomberos de Bogotá, la asesoría, asistencia técnica del Sistema de Gestión de Seguridad y Salud en el Trabajo, establecida en la normatividad legal vigente de riesgos laborales".</t>
  </si>
  <si>
    <t>80141900
90111500
90111600
80141600
80161502</t>
  </si>
  <si>
    <t>SGH - Prestar los servicios de capacitación, formación y entrenamiento en Buceo, para el personal operativo de la Unidad Administrativa Especial Cuerpo Oficial de Bomberos</t>
  </si>
  <si>
    <t>SGH - Prestar sus servicios profesionales en los diferentes procesos de contratación, auditoria, administrativos y de calidad de la Subdirección de Gestión Humana de la UAE Cuerpo Oficial de Bomberos de Bogotá D.C.</t>
  </si>
  <si>
    <t>72151600; 43223300;
39131700</t>
  </si>
  <si>
    <t>Contratar el servicio de Mantenimiento correctivo, adecuación e instalación de cableado estructurado de voz, datos y eléctrico con suministro de repuestos para todas las sedes de la U.A.E. Cuerpo Oficial de Bomberos de Bogotá - TIC.</t>
  </si>
  <si>
    <t>83121700;83111600;43221700</t>
  </si>
  <si>
    <t>Contratar la adquisición de equipo satelital y la prestación del servicio de Intenet satelital para la U.A.E. Cuerpo Oficial de Bomberos de Bogotá - TIC</t>
  </si>
  <si>
    <t>Adición y prórroga al contrato No. 658 2023  cuyo objeto es "Contratar el servicio de mantenimiento preventivo y correctivo de ups y aires acondicionados con suministro de repuestos para todas las sedes de la.U.A.E. Cuerpo Oficial de Bomberos de Bogotá."</t>
  </si>
  <si>
    <t>3-Habilitar 3 servicios ciudadanos digitales básicos en la UAECOB</t>
  </si>
  <si>
    <t>49201501;49201503;
49201516;49201603;
49201605;49201611;
72151802</t>
  </si>
  <si>
    <t>Realizar el mantenimiento preventivo, correctivo y suministro de repuestos para los equipos de gimnasio instalados en las diferentes instalaciones a cargo de la UAE Cuerpo Oficial de Bomberos. -SGC</t>
  </si>
  <si>
    <t>Mantenimiento preventivo y correctivo, que incluye el suministro de insumos y repuestos de los electrodomésticos de las instalaciones a cargo de la UAE Cuerpo Oficial de Bomberos Bogotá-SGC</t>
  </si>
  <si>
    <t>80161506;
811117;</t>
  </si>
  <si>
    <t>Adición No.4 y prórroga No.5 al contrato 409 de 2021 que tiene como objeto  " Prestar los servicios para la administración integral, conservación y custodia del archivo central, incluyendo digitalización de documentos requeridos por la UAECOB -SGC</t>
  </si>
  <si>
    <t>N/A funcionamiento</t>
  </si>
  <si>
    <t>Adición y prórroga No.2 al contrato 336 de 2023 que tiene como objeto “Prestar el servicio de vigilancia y seguridad privada en la modalidad devigilancia fija, según especificaciones técnicas, en las instalaciones donde la UAE Especial Cuerpo Oficial de Bomberos requiera-SGC</t>
  </si>
  <si>
    <t>Adición y prórroga No.1 al contrato 137 de 2024 que tiene como objeto “Prestar los servicios como conductor de la Subdirección de Gestión Corporativa -SGC</t>
  </si>
  <si>
    <t>Adición y prórroga No.1 al contrato 063 de 2024 que tiene como objeto “Prestar los servicios profesionales especializados para acompañar las actividades jurídicas relacionadas con la gestión contractual en las etapas precontractual, contractual y postcontractual del área administrativa de la Subdirección de Gestión Corporativa -SGC</t>
  </si>
  <si>
    <t>Adición y prórroga No.1 al contrato 082 de 2024 que tiene como objeto “Prestar los servicios profesionales para la gestión administrativa y operativa de la Subdirección de Gestión Corporativa en el proceso de adquisición de bienes y servicios-SGC</t>
  </si>
  <si>
    <t>Adición y prórroga No.1 al contrato 228 de 2024 que tiene como objeto “Prestación de servicios profesionales para la formulación, seguimiento, ejecución de los procesos contables y gestión de pagos que se desarrollan en el área Financiera de la UAE Cuerpo Oficial de Bomberos asignados. -SGC</t>
  </si>
  <si>
    <t>Adición y prórroga No.1 al contrato 163 de 2024 que tiene como objeto “Prestar servicios profesionales para realizar acompañamiento en la elaboración y revisión de actas de liquidación y demás actuaciones administrativas requeridas en la etapa postcontractual del proceso de contratación adelantados por la Subdirección Gestión Corporativa. -SGC</t>
  </si>
  <si>
    <t>Adición y prórroga No.1 al contrato 220 de 2024 que tiene como objeto “Prestación de servicios profesionales en la Subdirección de Gestión Corporativa adelantando las actividades necesarias para la ejecución del programa y los procesos de seguros de la Entidad-SGC</t>
  </si>
  <si>
    <t>Adición y prórroga No.1 al contrato 132 de 2024 que tiene como objeto “Prestación de servicios de apoyo a la gestión de seguros de la Subdirección de Gestión Corporativa. –SGC</t>
  </si>
  <si>
    <t>Adición y prórroga No.1 al contrato 182 de 2024 que tiene como objeto “Prestación de servicios profesionales en la Subdirección de Gestión Corporativa en las actividades relacionadas con MIPG-SGC</t>
  </si>
  <si>
    <t>Adición y prórroga No.1 al contrato 212 de 2024 que tiene como objeto “Prestación de servicios de apoyo a la gestión del proceso de inventarios de la Subdirección de Gestión Corporativa.-SGC</t>
  </si>
  <si>
    <t>Adición y prórroga No.1 al contrato 156 de 2024 que tiene como objeto “Prestación de servicios profesionales al área Financiera de la Subdirección de Gestión Corporativa. -SGC</t>
  </si>
  <si>
    <t>Adición y prórroga No.1 al contrato 173 de 2024 que tiene como objeto “Prestación de servicios profesionales en la implementación, consolidación, seguimiento y reporte de los lineamientos ambientales en cada una de las sedes de la UAE CUERPO OFICIAL DE BOMBEROS BOGOTÁ-SGC</t>
  </si>
  <si>
    <t>Adición y prórroga No.1 al contrato 126 de 2024 que tiene como objeto “Prestación de servicios de apoyo a la gestión del proceso de inventarios de la Subdirección de Gestión Corporativa.-SGC</t>
  </si>
  <si>
    <t>Adición y prórroga No.1 al contrato 161 de 2024 que tiene como objeto “Prestación de servicios de apoyo a la gestión del área Financiera de la Subdirección de Gestión Corporativa.-SGC</t>
  </si>
  <si>
    <t>Adición y prórroga No.1 al contrato 170 de 2024 que tiene como objeto “Prestación de servicios de apoyo a la gestión del proceso de inventarios de la Subdirección de Gestión Corporativa.-SGC</t>
  </si>
  <si>
    <t>Adición y prórroga No.1 al contrato 189 de 2024 que tiene como objeto “Prestación de servicios de apoyo a la gestión documental de la Subdirección de Gestión Corporativa de la Unidad-SGC</t>
  </si>
  <si>
    <t>Adición y prórroga No.1 al contrato 062 de 2024 que tiene como objeto “Prestación de servicios de apoyo a la gestión documental de la Subdirección de Gestión Corporativa de la Unidad.-SGC</t>
  </si>
  <si>
    <t>Adición y prórroga No.1 al contrato 088 de 2024 que tiene como objeto “Prestar servicios profesionales para desarrollar e implementar sistemas de información, brindar soporte, mantenimiento y generar interoperabilidad con BOGDATA, en la Subdirección de Gestión Corporativa -SGC</t>
  </si>
  <si>
    <t>Adición y prórroga No.1 al contrato 117 de 2024 que tiene como objeto “Prestación de servicios profesionales en el acompañamiento y asistencia al proceso de gestión documental de la UAE Cuerpo oficial de Bomberos, así como en el apoyo a la supervisión de los contratos que le sean asignados. -SGC</t>
  </si>
  <si>
    <t>Adición y prórroga No.1 al contrato 036 de 2024 que tiene como objeto “Prestación de servicios profesionales al área Financiera de la Subdirección de Gestión Corporativa. -SGC</t>
  </si>
  <si>
    <t>Adición y prórroga No.1 al contrato 090 de 2024 que tiene como objeto “Prestación de servicios profesionales para la ejecución de los procesos contables que se desarrollan en el Área Financiera de la UAE Cuerpo Oficial de Bomberos asignados. -SGC</t>
  </si>
  <si>
    <t>Adición y prórroga No.1 al contrato 175 de 2024 que tiene como objeto “Prestación de servicios de apoyo a la gestión documental de la Subdirección de Gestión Corporativa de la Unidad.-SGC</t>
  </si>
  <si>
    <t>Adición y prórroga No.1 al contrato 039 de 2024 que tiene como objeto “Prestar los servicios profesionales para la gestión administrativa y operativa de la Subdirección de Gestión Corporativa en el proceso de adquisición de bienes y servicios - SGC</t>
  </si>
  <si>
    <t xml:space="preserve">86101600, 86101700, 86101800, 86111600, 86141500,  86121800 </t>
  </si>
  <si>
    <t>Adición y prórroga al contrato 307 de 2023, cuyo objeto es "Contratar el servicio de soporte del sistema misional FUOCO para la UAECOB de acuerdo a lo contemplado en el anexo técnico -TIC. "</t>
  </si>
  <si>
    <t>Adición y prórroga al contrato 330 de 2023, cuyo objeto es "Contratar los servicios de canales de datos dedicados para la UAE Cuerpo Oficial de Bomberos de Bogotá."</t>
  </si>
  <si>
    <t xml:space="preserve">Prestar servicios de apoyo a la gestión para la ejecución de actividades asistenciales, administrativas y de gestión documental en la Oficina Asesora de Planeación </t>
  </si>
  <si>
    <t>Prestar servicios profesionales para coordinar, implementar y ejercer seguimiento a las políticas que componen el modelo de gestión -MIPG, asì como los sistemas de gestión que se definan por la Oficina Asesora de Planeación</t>
  </si>
  <si>
    <t>pago de pasivo exigible contrato No. 125 de 2022 "prestación de servicios de apoyo a la gestión en el seguimiento y control de las actuaciones administrativas necesarias para suministros consumibles a cargo de la subdirección logística"</t>
  </si>
  <si>
    <t>223-Implementar al 100% un (1) programa de conocimiento y reducción en la gestión de  riesgo de incendios, incidentes con materiales peligrosos y escenarios de riesgos.</t>
  </si>
  <si>
    <t xml:space="preserve"> Adición y prorroga al contrato No.369 de 2023, cuyo objeto es: "Contratar los servicios de recolección, manipulación, almacenamiento temporal, transporte y disposición final (destrucción o devolución) de pólvora, fuegos artificiales, globos y demás artículos pirotécnicos incautados por las autoridades competentes en el Distrito Capital"_SGR.</t>
  </si>
  <si>
    <t>Adición y prórroga al contrato 012 de 2024 con objeto "Prestar servicios profesionales para apoyar el desarrollo de estrategias de la dirección general, en asuntos relacionados con comunicaciones y prensa, encaminadas al posicionamiento, imagen y divulgación corporativa de la entidad y dirigidas a sus públicos internos"</t>
  </si>
  <si>
    <t>Adición y prórroga al contrato 091 de 2024 con objeto "Prestación de servicios profesionales en asuntos de comunicaciones y prensa para apoyar la divulgación y socialización de la información relacionada con la misionalidad de la UAECOB de manera interna y externa"</t>
  </si>
  <si>
    <t>Adición y prórroga al contrato 077 de 2024 con objeto "Prestación de servicios profesionales en la Dirección en comunicaciones y prensa, para apoyar la difusión de la información al público interno y externo de la UAECOB."</t>
  </si>
  <si>
    <t>Adición y prórroga al contrato 019 de 2024 con objeto "Prestar servicios profesionales en la Dirección General para  el manejo de redes sociales de la entidad y apoyo periodistico requerido en el marco de la estrategia de comunicaciones y prensa de la UEACOB".</t>
  </si>
  <si>
    <t>Adición y prórroga al contrato 015 de 2024 con objeto "Prestar servicios profesionales en la Dirección General para el diseño gráfico y apoyo periodistico requerido en el marco de la estrategia de comunicaciones y prensa de la UEACOB".</t>
  </si>
  <si>
    <t>Adición y prórroga al contrato 058 de 2024 con objeto "Prestar apoyo técnico en la Dirección, en asuntos de comunicaciones y prensa, para la producción, diseño y edición de material audiovisual de la UAECOB."</t>
  </si>
  <si>
    <t>Adición y prórroga al contrato No. 180 de 2024, cuyo objeto es "Prestar servicios profesionales en la administración, actualización, desarrollo y mantenimiento del Sistema Integrado de Administración de Personal - SIAP. -TIC"</t>
  </si>
  <si>
    <t>Prestar los servicios profesionales para liderar jurídicamente la gestión derivada de sus procesos y el trámite de la actividad contractual   que adelanta la UAE Cuerpo Oficial de Bomberos - TIC</t>
  </si>
  <si>
    <t>Adiciión y prórroga al contrato No. 130 de 2024, cuyo objeto es "Prestar  servicios  profesionales  para administrar y gestionar la  seguridad  y privacidad de la información dentro de la infraestructura tecnológica y de comunicaciones  utilizada por UAE Cuerpo Oficial de Bomberos de Bogotá - TIC"</t>
  </si>
  <si>
    <t>Adición y prórroga al contrato No.206 de 2024, cuyo objeto es "Prestar servicios profesionales para la administración y gestión de la infraestructura tecnológica de servidores, servicios de nube y componentes relacionados con los que cuenta la UAE Cuerpo Oficial de Bomberos de Bogotá - TIC"</t>
  </si>
  <si>
    <t>Adición y prórroga al contrato No. 133 de 2024, cuyo objeto es "Prestar servicios profesionales para administrar, gestionar y mantener las bases de datos de la UAE Cuerpo Oficial de Bomberos Bogotá. -TIC"</t>
  </si>
  <si>
    <t>Adición y prórroga al contrato No. 128 de 2024, cuyo objetoes "Prestar servicios profesionales  como administrador y gestor de la infraestructura de las comunicaciones y red regulada  de la UAE Cuerpo Oficial de Bomberos Bogotá-TIC"</t>
  </si>
  <si>
    <t>Adición y Prórroga al contrato No. 200 de 2024, cuyo objeto es "Prestar servicios profesionales para apoyar la implementación y control del sistema de Gestión de Seguridad de la Información - SGSI y Gobierno Digital, así como el seguimiento a los planes institucionales asociados a TIC y construcción de procedimientos"</t>
  </si>
  <si>
    <t>Adición y Prórroga al contrato No. 186 de 2024, cuyo objeto es "Prestar Servicios profesionales para administrar y  gestionar los servicios y actividades de TI  derivados de la mesa de ayuda  e infraestructura tecnológica y de comunicaciones, utilizados por UAE Cuerpo Oficial de Bomberos Bogotá de acuerdo con los niveles de servicios de los diferentes procesos-TIC"</t>
  </si>
  <si>
    <t>Prestar servicios asistenciales y de apoyo a la gestión paraadelantar las actividades administrativas y manejo de la gestión archivistica TIC"</t>
  </si>
  <si>
    <t>Prestar servicios de apoyo a la gestión para adelantar actividades técnicas relacionadas con el soporte técnico nivel (1) para los serivicios tecnológicos  del Edificio Comando de la U.A.E. Cuerpo Oficial de bomberos de Bogotá - TIC</t>
  </si>
  <si>
    <t>Prestar servicios de apoyo a la gestión para adelantar actividades técnicas relacionadas con el soporte técnico nivel (1) para los serivicios tecnológicos  del Edificio Comando, Estaciones y  Supercades de la U.A.E. Cuerpo Oficial de bomberos de Bogotá - TIC</t>
  </si>
  <si>
    <t>Prestar servicios profesionales para administrar la herramienta de gestión de servicios de incidenctes  de la mesa de ayuda, directorio activo y herramientas colaborativas de  la UAE Cuerpo Oficial de Bomberos de Bogotá - TIC</t>
  </si>
  <si>
    <t>Adición y prórroga al contrato de prestación de servicios # 45-2024,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</si>
  <si>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32-2024,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</si>
  <si>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69-2024,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</si>
  <si>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135-2024,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</si>
  <si>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139-2024, cuyo objeto es: Prestación de servicios de apoyo a la gestión para el desarrollo de las actividades administrativas que requieran ejecutarse en el Centro de Coordinación y Comunicaciones de la UAE Cuerpo Oficial de Bomberos de Bogotá - SO</t>
  </si>
  <si>
    <t>Adición y prórroga al contrato de prestación de servicios # 144-2024,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</si>
  <si>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145-2024,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</si>
  <si>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57-2024, cuyo objeto es: Prestación de servicios profesionales para ejecutar el componente de información geográfica, georreferenciación y generación de alertas a través de las herramientas, medios o sistemas de información disponibles, para la Subdirección Operativa.</t>
  </si>
  <si>
    <t>Adición y prórroga al contrato de prestación de servicios # 59-2024,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</si>
  <si>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73-2024,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</si>
  <si>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55-2024,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</si>
  <si>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38-2024,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</si>
  <si>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89-2024,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</si>
  <si>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111-2024, cuyo objeto es: Prestar por sus propios medios con autonomía técnica y administrativa sus servicios profesionales para apoyar a la Subdirección Operativa en la proyección de solicitudes dirigidas a autoridades administrativas y en la proyección de respuestas a PQR S, en el marco de los procesos y procedimientos a cargo de la dependencia. SO</t>
  </si>
  <si>
    <t>Adición y prórroga al contrato de prestación de servicios # 42-2024,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</si>
  <si>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115-2024, cuyo objeto es: Prestación de servicios profesionales para acompañar a la Subdirección Operativa, en el diligenciamiento y seguimiento de las herramientas de gestión a cargo de la dependencia. -SO</t>
  </si>
  <si>
    <t>Adición y prórroga al contrato de prestación de servicios # 113-2024,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</si>
  <si>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109-2024,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</si>
  <si>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114-2024, cuyo objeto es: Prestación de servicios de apoyo a la gestión de carácter administrativo y documental para la atención de requerimientos y solicitudes y realización de trámites relacionados con los procesos y procedimientos a cargo de la Subdirección Operativa – SO</t>
  </si>
  <si>
    <t>Adición y prórroga al contrato de prestación de servicios # 103-2024, cuyo objeto es: Prestación de servicios profesionales con plena autonomía técnica y administrativa para acompañar a la Subdirección Operativa, en la estructuración y definición de aspectos jurídicos en las etapas precontractuales, contractuales y postcontractuales en el marco de los procesos y procedimientos a cargo de la dependencia. - SO</t>
  </si>
  <si>
    <t>Adición y prórroga al contrato de prestación de servicios # 140-2024, cuyo objeto es: Prestación de servicios de apoyo a la gestión para el desarrollo de las actividades de mantenimiento de las condiciones básicas de bienestar de los animales rescatados y/o recuperados y de los caninos del grupo BRAE. – SO</t>
  </si>
  <si>
    <t>Adición y prórroga al contrato de prestación de servicios # 162-2024,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</si>
  <si>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150-2024, cuyo objeto es: Prestación de servicios profesionales con plena autonomía técnica y administrativa para acompañar a la Subdirección Operativa, en la estructuración, sustanciación, revisión y trámite de los actos administrativos y demás documentos a emitir por la dependencia.</t>
  </si>
  <si>
    <t>Adición y prórroga al contrato de prestación de servicios # 158-2024,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</si>
  <si>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154-2024,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</si>
  <si>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165-2024, cuyo objeto es: Prestación de servicios profesionales de carácter administrativo y financiero en el marco de los procesos y procedimientos a cargo de la Subdirección Operativa - SO</t>
  </si>
  <si>
    <t>Adición y prórroga al contrato de prestación de servicios # 183-2024, cuyo objeto es: Prestación de servicios profesionales para acompañar a la Subdirección Operativa en la estructuración, definición y verificación de aspectos técnicos en los diferentes procesos de contratación de bienes y servicios en las etapas precontractual, contractual y postcontractual adelantados por la dependencia - SO</t>
  </si>
  <si>
    <t>46181500;46181600;46181800;46181900;46182000;46182100;46182200;46182300;46182400;46182500;46191500;46191600; 46181504; 46182107</t>
  </si>
  <si>
    <t>adición y prorroga del contrato No. 234 de 2024, cuyo objeto es: “Prestación de servicios de apoyo a la gestión para el desarrollo de actividades relacionadas con el proceso de gestión estratégica, el sistema de control interno y actividades del MIPG"</t>
  </si>
  <si>
    <t>adición y prorroga del contrato No. 125 de 2024, cuyo objeto es: “Prestar servicios profesionales para apoyar a la Oficina Asesora de Planeación en la estructuración, seguimiento, reporte y gestión de los proyectos, planes y programas de la entidad, en el marco del ciclo presupuestal distrital-OAP"</t>
  </si>
  <si>
    <t>adición y prórroga del contrato No. 148 de 2024, cuyo objeto es: “Prestar servicios profesionales a la Oficina Asesora de Planeación en el mejoramiento y fortalecimiento de la sostenibilidad del Sistema de Gestión y Desempeño, alineado con la estandarización de la información documentada y el seguimiento al Sistema de Control Interno de la UAECOB, en desarrollo del MIPG- OAP”</t>
  </si>
  <si>
    <t>adición y prórroga del contrato No. 116 de 2024, cuyo objeto es: “Prestar servicios profesionales para apoyar en la formulación y seguimiento de la planeación institucional y la gestión estratégica definida por la alta dirección-OAP”</t>
  </si>
  <si>
    <t>adición y prórroga del contrato No. 124 de 2024, cuyo objeto es: “Prestar servicios profesionales para apoyar a la Oficina Asesora de Planeación en el seguimiento, control presupuestal y estratégico de los proyectos de inversión de la Entidad-OAP”</t>
  </si>
  <si>
    <t>Reconocimiento y Pago Pasivo exigible contrato de Interventoría No 699 de 2021 suscrito con GORDILLO Y ASOCIADOS SAS, para interventoría técnica, administrativa, financiera, contable, jurídica, SST y ambiental al mantenimiento predictivo, preventivo, correctivo, adecuaciones, mejoras y dotación a las instalaciones de las dependencias de la Unidad Administrativa Especial Cuerpo Oficial de Bomberos De Bogotá D.C - SGC. Reconoce el valor de $10´002.336 según factura No. GA 108 del 05 de diciembre de 2022. Resolución 232 de 2024.</t>
  </si>
  <si>
    <t>Reconocimiento y Pago Pasivo Exigible contrato de Obra No 716 de 2021 suscrito con CONSORCIO LA GAITANA, para realizar el mantenimiento predictivo, preventivo, correctivo, adecuaciones, mejoras y dotación a las instalaciones de las dependencias de la Unidad Administrativa Especial Cuerpo Oficial de Bomberos De Bogotá D.C. - SGC. Reconoce el valor de $19´703.670 según factura No. FEGA 4 del 29 de noviembre de 2022. Resolución 232 de 2024.</t>
  </si>
  <si>
    <t>Reconocimiento y Pago Pasivo Exigible contrato de Obra Pública No 683 de 2021 suscrito con CONSORCIO R Y C, para construcción de la Ampliación y Reforzamiento Estructural de la Estación de Bomberos de Marichuela,-SGC. Reconoce el valor de $475´594.671 según facturas No. FE 22 del 18 de octubre y No FE 23 del 12 de diciembre de 2023. Resolución 232 de 2024.</t>
  </si>
  <si>
    <t>Reconocimiento y Pago Pasivo Exigible contrato de Interventoría No 450 de 2018 suscrito con RODRIGO GONZALEZ ANDRADE, para interventoría para los estudios, diseños y demás trámites para la obtención de la licencia de construcción de la ampliación y reforzamiento estructural de la estación de bomberos Marichuela. Reconoce el valor de $1´456.313 según factura No. GAR 71 del 18 de octubre de 2023. Resolución 232 de 2024.</t>
  </si>
  <si>
    <t>Reconocimiento y Pago Pasivo Exigible contrato de Obra No 569 de 2022 suscrito con LOGIA 3 ASOCIADOS SAS, para realizar la adecuación y mejoramiento de las instalaciones de las estaciones de Bomberos de la UAE Cuerpo oficial de Bomberos Bogotá-SGC, (Grupo 3). Reconoce el valor de $22´500.000 según factura No. FE 233 del 17 de febrero de 2024. Resolución 232 de 2024.</t>
  </si>
  <si>
    <t>Reconocimiento y Pago Pasivo Exigible contrato de consultoría No 627 de 2020 suscrito con G Y G CONSTRUCCIONES SAS, para la interventoría técnica, administrativa, financiera, contable, jurídica y ambiental a los contratos de mantenimiento predictivo, preventivo, correctivo, adecuaciones y mejoras a las instalaciones de las dependencias de la unidad administrativa especial cuerpo oficial de bomberos de bogotá d.c. Reconoce el valor de $108´660.281 según factura No. GUGI 10407 del 15 de enero de 2024. Resolución 232 de 2024.</t>
  </si>
  <si>
    <t>Reconocimiento y Pago Pasivo Exigible contrato de Interventoría No 599 de 2022 suscrito con CONSORCIO CUBSOL INTERVENTORES, para realizar la interventoría técnica, administrativa, legal, financiera, contable, seguridad y salud en el trabajo, social y ambiental del contrato con objeto "realizar la adecuación y mejoramiento de las instalaciones de las estaciones de Bomberos de la UAE Cuerpo oficial de Bomberos Bogotá"-SGC. Reconoce el valor de $7´061.114 según factura No. 1 del 15 de febrero de 2024. Resolución 232 de 2024.</t>
  </si>
  <si>
    <t>Reconocimiento y Pago Pasivo Exigible contrato de prestación servicios No 234 de 2022 suscrito con HECTOR HERNANDO ORTEGA VARGAS, para prestación de servicios profesionales para apoyar las actividades técnicas del Área de Infraestructura de la Subdirección de Gestión Corporativa-SGC&lt;(&gt;,&lt;)&gt; Reconoce $973.333 según cuenta de cobro del 05 febrero del 2024. Resolución 232 de 2024.</t>
  </si>
  <si>
    <t>Reconocimiento y pago pasivo exigible contrato de prestación servicios No 738 de 2020 suscrito con MITSUBISHI ELECTRIC DE COLOMBIA LTDA, para el mantenimiento ascensor nueva estación de bomberos de Fontibón. Reconoce el valor de $669.879 según factura No. T46140118 del 08 de noviembre de 2022. Resolución 232 de 2024.</t>
  </si>
  <si>
    <t>Prestar los servicios profesionales jurídicos para apoyar las actividades propias de la gestión contractual en sus diferentes etapas, que contribuyan al desarrollo de los diferentes procesos misionales de la entidad para la adecuada prestación del servicio</t>
  </si>
  <si>
    <t>Adición y prórroga del Contrato 023-2024 cuyo objeto es "Prestar los servicios profesionales jurídicos especializados en la Oficina de Control Disciplinario Interno de la entidad relacionados con los procesos disciplinarios que se deban tramitar en esa dependencia en etapa de instrucción."</t>
  </si>
  <si>
    <t>Adición y prórroga del Contrato 001-2024 cuyo objeto es "Prestar los servicios profesionales jurídicos en la Oficina de Control Disciplinario Interno de la entidad relacionados con los procesos contractuales, actividades administrativas, y los procesos disciplinarios que se encuentran a cargo de la Oficina de Control Disciplinario Interno.</t>
  </si>
  <si>
    <t>Adición y prórroga del Contrato 029-2024 cuyo objeto es "Prestación de servicios profesionales jurídicos para apoyar la gestión de los procesos disciplinarios que se adelanten en la UAECOB y que se encuentran a cargo de la Oficina de Control Disciplinario Interno".</t>
  </si>
  <si>
    <t>Adición y prórroga del Contrato 053-2024 cuyo objeto es "Prestación de servicios profesionales jurídicos para apoyar la gestión de los procesos disciplinarios que se adelanten en la UAECOB y que se encuentran a cargo de la Oficina de Control Disciplinario Interno".</t>
  </si>
  <si>
    <t>Adición y prórroga del Contrato 136-2024 cuyo objeto es "Prestación de servicios profesionales jurídicos para apoyar la gestión de los procesos disciplinarios que se adelanten en la UAECOB y que se encuentran a cargo de la Oficina de Control Disciplinario Interno".</t>
  </si>
  <si>
    <t>Adición y prórroga del Contrato 218-2024 cuyo objeto es "Prestación de servicios profesionales jurídicos para apoyar la gestión de los procesos disciplinarios que se adelanten en la UAECOB y que se encuentran en etapa de instrucción".</t>
  </si>
  <si>
    <t>Adición y prórroga del Contrato 074-2024 cuyo objeto es "Prestación de servicios de apoyo técnico a la gestión a la Oficina de Control Disciplinario Interno de la UAECOB para el cumplimiento de las funciones asignadas a esta dependencia, especialmente en las que requieran tareas de carácter administrativo".</t>
  </si>
  <si>
    <t xml:space="preserve">Adición y Prórroga del Cto 48 de 2024 " cuyo objeto es Prestar servicios de apoyo en la gestión documental física y digital, administrando y diligenciando las bases de datos, y demas documentos a cargo de la Subdirección logística. -SBLG." </t>
  </si>
  <si>
    <t>Adición y Prórroga del Cto 209 de 2024 cuyo objeto es "Prestación de servicios profesionales de seguimiento operativo del equipo menor a través del, monitoreo, la programación y cumplimiento de los mantenimientos preventivos y correctivos del equipo menor. SBLG"</t>
  </si>
  <si>
    <t>Adición y Prórroga del Cto 50 de 2024 cuyo objeto es "Prestación de servicios profesionales para la elaboración, tramite e impulso de los procesos de contratación en las etapas precontractuales, contractuales y poscontractuales a cargo de la Subdirección Logística. SBLG"</t>
  </si>
  <si>
    <t>Adición y Prórroga del Cto 52 de 2024 cuyo objeto es "Prestación de servicios profesionales en el seguimiento y gestión de los insumos y suministros a cargo de la subdirección logística garantizando la disponibilidad para la atención de emergencias SBLG"</t>
  </si>
  <si>
    <t xml:space="preserve"> Adición y Prórroga del Cto 16 de 2024 cuyo objeto es "Prestación de servicios de apoyo a la gestión para realizar el diagnóstico, los mantenimientos preventivos y correctivos a fin de garantizar la permanente funcionalidad de los equipos menores pertenecientes a la UAECOB, en la Subdirección Logística - SBLG"
</t>
  </si>
  <si>
    <t>Adición y Prórroga del Cto 134 de 2024 cuyo objeto es "Prestar servicios de apoyo a la gestión en el seguimiento y control de los suministros y consumibles garantizando la disponibilidad para la atención de emergencias  -SBLG."</t>
  </si>
  <si>
    <t>Adición y Prórroga del Cto 68 de 2024 cuyo objeto es "Prestar servicios profesionales para realizar seguimiento y control de los diferentes procesos administrativos en cargo de la dependencia - SBLG"</t>
  </si>
  <si>
    <t>Adición y Prórroga del Cto 227 de 2024 cuyo objeto es "Prestación de servicios profesionales para la implementación, sostenibilidad y seguimiento  del programa de seguridad vial PESV y el programa de calibración de equipos a cargo de la Subdirección Logística – SBLG."</t>
  </si>
  <si>
    <t>Adición y Prórroga del Cto 28 de 2024 cuyo objeto es "Prestación de servicios de apoyo a la gestión para realizar el diagnóstico, los mantenimientos preventivos y correctivos a fin de garantizar la permanente funcionalidad de los equipos menores pertenecientes a la UAECOB, en la Subdirección Logística - SBLG"</t>
  </si>
  <si>
    <t>Adición y Prórroga del Cto 106 de 2024 cuyo objeto es "Prestación de servicios profesionales en el control legal de los procesos y acciones, especialmente la gestión contractual requerida  por la Subdirección Logística - SBLG"</t>
  </si>
  <si>
    <t>Adición y Prórroga del Cto 119 de 2024 cuyo objeto es "Prestación de servicios de apoyo a la gestión para la organización, clasificación, foliación, digitalización e indexación de documentos de la Subdirección logística"</t>
  </si>
  <si>
    <t>Adición y Prórroga del Cto 70 de 2024 cuyo objeto es "Prestar servicios profesionales en la gestión administrativa, contractual y financiera del mantenimiento de los vehículos pertenecientes parque automotor de la Subdirección Logística - SBLG."</t>
  </si>
  <si>
    <t>Adición y Prórroga del Cto 179 de 2024 cuyo objeto es "Prestación de servicios profesionales en la gestión, control, seguimiento y ejecución  de los planes, programas y proyectos de la Subdirección - SBLG"</t>
  </si>
  <si>
    <t>Adición y Prórroga del Cto 120 de 2024 cuyo objeto es "Prestación de servicios profesionales en la proyección, impulso, sustentación y control de las etapas precontractuales, contractuales y postcontractuales  que desarrolle la Subdirección Logística en el ámbito de su competencia.- SBLG"</t>
  </si>
  <si>
    <t>Adición y Prórroga del Cto 197 de 2024 cuyo objeto es "Prestar servicios profesionales en la definición y gestión de procedimientos, lineamientos ambientales y de SST de los procesos y contratos a cargo de la subdirección, así como la gestión y manejo de la herramienta tecnológica. – SBLG"</t>
  </si>
  <si>
    <t>Adición y Prórroga del Cto 277 de 2024 cuyo objeto es "Prestar servicio de apoyo a la gestión para acompañar a la subdirección logística en el seguimiento técnico y administrativo del mantenimiento de los vehículos pertenecientes al parque automotor de la UAECOB"</t>
  </si>
  <si>
    <t>Adición y Prórroga del Cto 95 de 2024 cuyo objeto es "Prestación de servicios profesionales para realizar el seguimiento y monitoreo a los diferentes procesos y procedimientos del equipo menor a cargo de la Subdirección Logística - SBLG"</t>
  </si>
  <si>
    <t>Adición y Prórroga del Cto 13 de 2024 cuyo objeto es "Prestación de servicios de apoyo a la gestión relacionada con la gestión administrativa de las herramientas tecnológicas de la Subdirección Logística asociados a la mesa logística - SBLG"</t>
  </si>
  <si>
    <t>Adición y Prórroga del Cto 121 de 2024 cuyo objeto es "Prestar servicios profesionales en la seguimiento,verificación y control administrativo financiero de los procesos contractuales en la etapa de ejecución a cargo de la Subdirección Logistica – SBLG."</t>
  </si>
  <si>
    <t>Adición y Prórroga del Cto 216 de 2024 "Prestar servicios profesionales a la subdirección logística en el desarrollo y seguimiento de procesos administrativos, financieros y técnicos a cargo del área - SBLG"</t>
  </si>
  <si>
    <t>Adición y Prórroga del Cto 64 de 2024 cuyo objeto es "Prestación de servicios profesionales como residente de talleres para gestionar y garantizar el funcionamiento y operación del parque automotor asignado a la  Subdirección Logística - SBLG."</t>
  </si>
  <si>
    <t xml:space="preserve">Adición y Prórroga del Cto 224 de 2024 cuyo objeto es"Prestación de servicios profesionales a la gestión administrativa, financiera y documental para la atención del cuerpo uniformado a cargo de la Subdirección - SBGL." </t>
  </si>
  <si>
    <t>Adición y Prórroga del Cto 104 de 2024 cuyo objeto es "Prestación de servicios profesionales administrativos en el seguimiento y control en las diferentes herramientas tecnologicas del parque automotor de la subdirección logística."</t>
  </si>
  <si>
    <t>Adición y Prórroga del Cto 33 de 2024 cuyo objeto es "Prestación de servicios profesionales en la administración, gestión integral y mantenimiento del equipo menor a cargo de la Subdirección Logística -SBLG"</t>
  </si>
  <si>
    <t>Prestación de servicio como conductor para apoyar en la gestión administrativa y logística de la Subdirección Logistica- SBLG.</t>
  </si>
  <si>
    <t>Adición y Prórroga del Cto 196 de 2024 cuyo objeto es "Prestar servicios profesionales para el seguimiento y gestión de las actividades establecidas en los planes de acción y estratégicos; así como, de los procedimientos administrativos y financieros propios de Subdirección Logística - SBLG"</t>
  </si>
  <si>
    <t xml:space="preserve">Prestación de servicios de apoyo a la gestión en la recepción, trámite, gestión y resolución de todas las incidencias o solicitudes reportadas a través de la herramienta de la mesa logística de la Subdirección Logística de la UAECOB. – SBLG.
</t>
  </si>
  <si>
    <t>Prestación de servicios de apoyo a la gestión en el proceso de mantenimiento del equipo menor a cargo de la Subdirección Logística -SBLG-.</t>
  </si>
  <si>
    <t>Versión No. 11</t>
  </si>
  <si>
    <t>Oficina de Control Interno</t>
  </si>
  <si>
    <t>Adición y prorroga al contrato 061 de 2024 "Prestar los servicios profesionales  como abogado en la Oficina de Control Interno para el desarrollo del Plan Anual de Auditorías."</t>
  </si>
  <si>
    <t>Adición y prorroga al contrato 076 de 2024 "Prestar servicios de apoyo a la gestión como técnico   en la Oficina de Control Interno para ejecutar procesos y procedimientos administrativos y asistenciales teniendo en cuenta el Plan Anual de Auditorías."</t>
  </si>
  <si>
    <t>Adición y prorroga al contrato 174 de 2024 "Prestar los servicios profesionales como contador publico en la Oficina de Control Interno para el desarrollo del Plan Anual de Auditorías."</t>
  </si>
  <si>
    <t xml:space="preserve"> Adición y prorroga al contrato 178 de 2024 "Prestar los servicios profesionales  en la Oficina de Control Interno para el desarrollo del Plan Anual de Auditorías."</t>
  </si>
  <si>
    <t xml:space="preserve">Prestar los servicios de mantenimiento y suministro de insumos de las piscinas ubicadas en las Estaciones de Bomberos de Kennedy "Alejandro Lince" B5 y B4 Puente Aranda - BRAE, como escenario para el acondicionamiento físico, entrenamiento del personal y canino del Cuerpo Oficial de Bomberos de Bogotá para el cumplimiento de su misionalidad-SGC. </t>
  </si>
  <si>
    <t>47111501;
47111502;
47111503;
73152101; 
72151802</t>
  </si>
  <si>
    <t>Adición y prórroga No.1 al contrato No.256 de 2024 que tiene como objeto “Prestación de servicios profesionales en la implementación, consolidación, seguimiento y reporte de los lineamientos ambientales en cada una de las sedes de la entidad, enfatizado en los equipos de trabajo de la Subdirección de Gestión Corporativa-SGC</t>
  </si>
  <si>
    <t>Adición y prórroga No.1 al contrato No. 264 de 2024 que tiene como objeto “Prestación de servicios de apoyo a la gestión en la Subdirección de Gestión Corporativa, en las actividades asociadas a los procesos y procedimientos del almacén de la Entidad.- SGC</t>
  </si>
  <si>
    <t>Adición y prórroga No.1 al contrato No.270 de 2024 que tiene como objeto “Prestación de servicios de apoyo en la gestión de seguros de la Subdirección de Gestión Corporativa. –SGC</t>
  </si>
  <si>
    <t>Adición y prórroga No.1 al contrato No.290 de 2024 que tiene como objeto “Prestación de servicios de apoyo a la gestión del proceso de inventarios de la Subdirección de Gestión Corporativa.-SGC</t>
  </si>
  <si>
    <t>Prestación de servicios de apoyo a la gestión de seguros de la Subdirección de Gestión Corporativa. –SGC</t>
  </si>
  <si>
    <t>Adición y prórroga No.1 al contrato No.051 de 2024 que tiene como objeto “Prestación de servicios profesionales especializados para apoyar las actividades técnicas del Área de Infraestructura de la Subdirección de Gestión Corporativa-SGC</t>
  </si>
  <si>
    <t>Adición y prórroga No.1 al contrato No.037 de 2024 que tiene como objeto “Prestación de servicios profesionales especializados para apoyar las actividades técnicas del Área de Infraestructura de la Subdirección de Gestión Corporativa-SGC</t>
  </si>
  <si>
    <t>Adición y prórroga No.1 al contrato No. 099 de 2024 que tiene como objeto “Prestación de servicios profesionales especializados para apoyar las actividades técnicas del Área de Infraestructura de la Subdirección de Gestión Corporativa-SGC</t>
  </si>
  <si>
    <t>Adición y prórroga No.1 al contrato No.155 de 2024 que tiene como objeto “Prestación de servicios profesionales para adelantar actividades técnicas y trámites administrativos del Área de Infraestructura de la Subdirección de Gestión Corporativa-SGC</t>
  </si>
  <si>
    <t>Adición y prórroga No.1 al contrato No. 093 de 2024 que tiene como objeto “Prestación de servicios profesionales especializados para apoyar las actividades técnicas del Área de Infraestructura de la Subdirección de Gestión Corporativa-SGC</t>
  </si>
  <si>
    <t>Adición y prórroga No.1 al contrato No.254 de 2024 que tiene como objeto “Prestación de servicios profesionales especializados para atender las necesidades de mantenimiento de las instalaciones y las actividades técnicas de competencia del Área de Infraestructura de la Subdirección de Gestión Corporativa-SGC</t>
  </si>
  <si>
    <t>Adición y prórroga No.1 al contrato No.241 de 2024 que tiene como objeto “Prestación de servicios profesionales para atender las necesidades de mantenimiento de las instalaciones y las actividades técnicas y administrativas de competencia del Área de Infraestructura de la Subdirección de Gestión Corporativa-SGC</t>
  </si>
  <si>
    <t>Adquisición de elementos de protección personal (E.P.P.) para la atención de emergencias de la UAE Cuerpo Oficial de Bomberos de Bogotá</t>
  </si>
  <si>
    <t>Adquisición de equipos de protección frente al riesgo eléctrico para el personal operativo de la UAE Cuerpo Oficial de Bomberos de Bogotá</t>
  </si>
  <si>
    <t>ADICIÓN Y PRORROGA CTO 219-2024-Prestar servicios profesionales para el apoyo en la gestión administrativa y análisis financiero de la subdirección de gestión del riesgo._SGR.</t>
  </si>
  <si>
    <t>ADICIÓN Y PRORROGA CTO 195-2024 Prestar servicios profesionales en los procesos de formacion y capacitacion de la subdirección de gestión del riesgo._SGR</t>
  </si>
  <si>
    <t>ADICIÓN Y PRORROGA CTO 576-2023 Contratar un servicio de acceso a la herramienta LMS E-learning, que permita el desarrollo de las capacitaciones virtuales programadas en la UAECOB._SGR</t>
  </si>
  <si>
    <t>ADICIÓN Y PRORROGA CTO -191-2024“Prestar servicios profesionales en las actividades de análisis de información de escenarios a cargo de la subdirección de Gestión del Riesgo SGR”.</t>
  </si>
  <si>
    <t>ADICIÓN Y PRORROGA CTO 149-2024- Prestar sus servicios profesionales en las actividades relacionadas con la emision de conceptos a cargo de la Subdirección de Gestión del Riesgo._SGR</t>
  </si>
  <si>
    <t>ADICIÓN Y PRORROGA CTO 118-2024 Prestar servicios de apoyo a la gestión en las actividades de soporte operacional de la UAECOB._SGR</t>
  </si>
  <si>
    <t>ADICIÓN Y PRORROGA CTO -172-2024-Prestar servicios de apoyo a la gestión en las actividades de soporte operacional de la UAECOB._SGR</t>
  </si>
  <si>
    <t>ADICIÓN Y PRORROGA 263-2024-Prestar servicios de apoyo a la gestion en las actividades de monitoreo del riesgo para la Subdirección de Gestión del Riesgo._SGR</t>
  </si>
  <si>
    <t>ADICIÓN Y PRORROGA del CTO 240-2024, Prestar  servicios profesionales en las actividades de proyeccion e innovacion para la Subdirección de Gestión del Riesgo._SGR.</t>
  </si>
  <si>
    <t xml:space="preserve">Prestar sus servicios profesionales en los procesos de formación y capacitación de la Subdirección de Gestión del Riesgo para las acciones derivadas del campus virtual. _SGR. </t>
  </si>
  <si>
    <t xml:space="preserve">ADICIÓN Y PRORROGA DEL CTO 157-2024, Apoyar las actividades de la Subdirección de Gestión del Riesgo relacionadas con el seguimiento y control de sus solicitudes y peticiones. _SGR
</t>
  </si>
  <si>
    <t xml:space="preserve">ADICIÓN Y PRORROGA del CTO 215-2024, Prestar servicios profesionales para la estructuración y seguimiento de los procesos contractuales y demás aspectos jurídicos de la Subdirección de Gestión del Riesgo. _SGR. </t>
  </si>
  <si>
    <t>ADICIÓN Y PRORROGA del CTO 188-2024, Prestar sus servicios profesionales en las actividades relacionadas con el seguimiento a la emisión de conceptos a cargo de la Subdirección de Gestión del Riesgo. _SGR</t>
  </si>
  <si>
    <t xml:space="preserve">ADICIÓN Y PRORROGA del CTO 177-2024, Prestar sus servicios profesionales en las actividades relacionadas con la emisión de conceptos a cargo de la Subdirección de Gestión del Riesgo.SGR. </t>
  </si>
  <si>
    <t xml:space="preserve">ADICIÓN Y PRORROGA CTO 168-2024, Prestar servicios profesionales para el desarrollo de actividades de planeación y gestión para la Subdirección de Gestión del Riesgo. _SGR </t>
  </si>
  <si>
    <t>Adición y prórroga al contrato 355 de 2024 cuyo objeto es: "Prestar los servicios profesionales  jurídicos para apoyar las actividades propias de la gestión contractual que adelanta la Oficina Jurídica"</t>
  </si>
  <si>
    <t>Adición y prórroga al contrato 281 de 2024 cuyo objeto es: "Prestar los servicios profesionales para apoyar administrativamente la gestión, los procesos y procedimientos y demás trámites propios del cumplimiento de la misionalidad de la Oficina Jurídica"</t>
  </si>
  <si>
    <t>Adición y prórroga al contrato 007 de 2024 cuyo objeto es: "Prestar los servicios de apoyo para las gestiones documentales y administrativas requerida por la Oficina Jurídica".</t>
  </si>
  <si>
    <t>Adición y prórroga al contrato 40 de 2024 cuyo objeto es: "Prestar los servicios de apoyo para los tramites, gestiones y actividades propias que se requieran en los diferentes procesos disciplinarios propios de la etapa de juzgamiento de la Oficina Jurídica en la UAECOB"</t>
  </si>
  <si>
    <t>Adición y prórroga al contrato 267 de 2024 cuyo objeto es: "Prestar servicios profesionales para apoyar las diferentes actuaciones jurídicas que adelanta la UAECOB"</t>
  </si>
  <si>
    <t>Prestación de servicios de apoyo a la gestión como conductor para atender los diferentes requerimientos e incidentes en la Oficina Asesora de Planeación</t>
  </si>
  <si>
    <t>fecha: 25/04/2024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</si>
</sst>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 #,##0.00_-;\-&quot;$&quot;\ * #,##0.00_-;_-&quot;$&quot;\ * &quot;-&quot;??_-;_-@_-"/>
    <numFmt numFmtId="43" formatCode="_-* #,##0.00_-;\-* #,##0.00_-;_-* &quot;-&quot;??_-;_-@_-"/>
    <numFmt numFmtId="164" formatCode="d/mm/yyyy;@"/>
    <numFmt numFmtId="165" formatCode="_-* #,##0_-;\-* #,##0_-;_-* &quot;-&quot;??_-;_-@_-"/>
    <numFmt numFmtId="166" formatCode="_-&quot;$&quot;\ * #,##0_-;\-&quot;$&quot;\ * #,##0_-;_-&quot;$&quot;\ * &quot;-&quot;??_-;_-@_-"/>
    <numFmt numFmtId="167" formatCode="0.0"/>
  </numFmts>
  <fonts count="9" x14ac:knownFonts="1">
    <font>
      <sz val="11"/>
      <color theme="1"/>
      <name val="Calibri"/>
      <family val="2"/>
      <scheme val="minor"/>
    </font>
    <font>
      <sz val="10"/>
      <name val="Arial"/>
      <family val="2"/>
    </font>
    <font>
      <sz val="11"/>
      <name val="Tahoma"/>
      <family val="2"/>
    </font>
    <font>
      <b/>
      <sz val="11"/>
      <name val="Tahoma"/>
      <family val="2"/>
    </font>
    <font>
      <sz val="11"/>
      <color theme="1"/>
      <name val="Calibri"/>
      <family val="2"/>
      <scheme val="minor"/>
    </font>
    <font>
      <b/>
      <sz val="11"/>
      <color theme="1"/>
      <name val="Calibri"/>
      <family val="2"/>
      <scheme val="minor"/>
    </font>
    <font>
      <b/>
      <i/>
      <sz val="11"/>
      <color theme="1"/>
      <name val="Calibri"/>
      <family val="2"/>
      <scheme val="minor"/>
    </font>
    <font>
      <b/>
      <sz val="11"/>
      <color theme="5" tint="-0.499984740745262"/>
      <name val="Tahoma"/>
      <family val="2"/>
    </font>
    <font>
      <sz val="11"/>
      <color theme="1"/>
      <name val="Tahoma"/>
      <family val="2"/>
    </font>
  </fonts>
  <fills count="4">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cellStyleXfs>
  <cellXfs count="98">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horizontal="left"/>
    </xf>
    <xf numFmtId="165" fontId="4" fillId="0" borderId="1" xfId="2" applyNumberFormat="1" applyFont="1" applyBorder="1"/>
    <xf numFmtId="43" fontId="4" fillId="0" borderId="0" xfId="2" applyFont="1"/>
    <xf numFmtId="43" fontId="4" fillId="0" borderId="1" xfId="2" applyFont="1" applyBorder="1"/>
    <xf numFmtId="43" fontId="5" fillId="0" borderId="1" xfId="2" applyFont="1" applyBorder="1"/>
    <xf numFmtId="165" fontId="5" fillId="0" borderId="1" xfId="2" applyNumberFormat="1" applyFont="1" applyBorder="1"/>
    <xf numFmtId="0" fontId="5" fillId="0" borderId="1" xfId="0" applyFont="1" applyBorder="1" applyAlignment="1">
      <alignment horizontal="center"/>
    </xf>
    <xf numFmtId="0" fontId="0" fillId="0" borderId="0" xfId="0" applyAlignment="1">
      <alignment horizontal="center"/>
    </xf>
    <xf numFmtId="1" fontId="5" fillId="0" borderId="1" xfId="2" applyNumberFormat="1" applyFont="1" applyBorder="1" applyAlignment="1">
      <alignment horizontal="center"/>
    </xf>
    <xf numFmtId="43" fontId="5" fillId="0" borderId="0" xfId="2" applyFont="1"/>
    <xf numFmtId="43" fontId="5" fillId="0" borderId="1" xfId="2" applyFont="1" applyBorder="1" applyAlignment="1">
      <alignment horizontal="center"/>
    </xf>
    <xf numFmtId="43" fontId="6" fillId="0" borderId="0" xfId="2" applyFont="1" applyAlignment="1"/>
    <xf numFmtId="43" fontId="2" fillId="0" borderId="0" xfId="2" applyFont="1" applyAlignment="1">
      <alignment vertical="center" wrapText="1"/>
    </xf>
    <xf numFmtId="37" fontId="3" fillId="0" borderId="0" xfId="0" applyNumberFormat="1" applyFont="1" applyAlignment="1">
      <alignment horizontal="center" vertical="center" wrapText="1"/>
    </xf>
    <xf numFmtId="37" fontId="3" fillId="0" borderId="0" xfId="0" applyNumberFormat="1" applyFont="1" applyAlignment="1">
      <alignment vertical="center" wrapText="1"/>
    </xf>
    <xf numFmtId="43" fontId="3" fillId="0" borderId="0" xfId="2" applyFont="1" applyAlignment="1">
      <alignment vertical="center" wrapText="1"/>
    </xf>
    <xf numFmtId="0" fontId="2" fillId="0" borderId="0" xfId="0" applyFont="1" applyAlignment="1">
      <alignment vertical="center" wrapText="1"/>
    </xf>
    <xf numFmtId="14" fontId="3" fillId="0" borderId="0" xfId="0" applyNumberFormat="1" applyFont="1" applyAlignment="1">
      <alignment horizontal="center" vertical="center" wrapText="1"/>
    </xf>
    <xf numFmtId="0" fontId="7" fillId="0" borderId="0" xfId="0" applyFont="1" applyAlignment="1">
      <alignment horizontal="right"/>
    </xf>
    <xf numFmtId="165" fontId="3" fillId="2" borderId="0" xfId="2" applyNumberFormat="1" applyFont="1" applyFill="1" applyAlignment="1">
      <alignment horizontal="center" vertical="center" wrapText="1"/>
    </xf>
    <xf numFmtId="43" fontId="3" fillId="0" borderId="0" xfId="2"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vertical="center" wrapText="1"/>
    </xf>
    <xf numFmtId="14" fontId="2" fillId="0" borderId="0" xfId="0" applyNumberFormat="1" applyFont="1" applyAlignment="1">
      <alignment vertical="center" wrapText="1"/>
    </xf>
    <xf numFmtId="41" fontId="2" fillId="0" borderId="0" xfId="3" applyFont="1" applyAlignment="1">
      <alignment horizontal="right" vertical="center" wrapText="1"/>
    </xf>
    <xf numFmtId="165" fontId="3" fillId="0" borderId="0" xfId="2" applyNumberFormat="1" applyFont="1" applyFill="1" applyBorder="1" applyAlignment="1">
      <alignment horizontal="center" vertical="center" wrapText="1"/>
    </xf>
    <xf numFmtId="165" fontId="8" fillId="0" borderId="0" xfId="2" applyNumberFormat="1" applyFont="1" applyFill="1" applyBorder="1" applyAlignment="1">
      <alignment horizontal="center" vertical="center" wrapText="1"/>
    </xf>
    <xf numFmtId="166" fontId="8" fillId="0" borderId="0" xfId="4" applyNumberFormat="1" applyFont="1" applyFill="1" applyBorder="1" applyAlignment="1">
      <alignment horizontal="center" vertical="center" wrapText="1"/>
    </xf>
    <xf numFmtId="166" fontId="2" fillId="0" borderId="0" xfId="0" applyNumberFormat="1" applyFont="1" applyAlignment="1">
      <alignment vertical="center" wrapText="1"/>
    </xf>
    <xf numFmtId="0" fontId="3" fillId="0" borderId="2" xfId="2" applyNumberFormat="1" applyFont="1" applyFill="1" applyBorder="1" applyAlignment="1">
      <alignment horizontal="center" vertical="center" wrapText="1"/>
    </xf>
    <xf numFmtId="14" fontId="3" fillId="0" borderId="2" xfId="2" applyNumberFormat="1" applyFont="1" applyFill="1" applyBorder="1" applyAlignment="1">
      <alignment horizontal="center" vertical="center" wrapText="1"/>
    </xf>
    <xf numFmtId="165" fontId="3" fillId="0" borderId="2" xfId="2" applyNumberFormat="1" applyFont="1" applyFill="1" applyBorder="1" applyAlignment="1">
      <alignment horizontal="center" vertical="center" wrapText="1"/>
    </xf>
    <xf numFmtId="43" fontId="8" fillId="0" borderId="0" xfId="2" applyFont="1"/>
    <xf numFmtId="0" fontId="8" fillId="0" borderId="0" xfId="0" applyFont="1" applyAlignment="1">
      <alignment horizontal="center"/>
    </xf>
    <xf numFmtId="0" fontId="8" fillId="0" borderId="0" xfId="0" applyFont="1"/>
    <xf numFmtId="165" fontId="8" fillId="0" borderId="0" xfId="2" applyNumberFormat="1" applyFont="1"/>
    <xf numFmtId="1" fontId="3"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 fontId="3" fillId="0" borderId="2" xfId="2" applyNumberFormat="1" applyFont="1" applyFill="1" applyBorder="1" applyAlignment="1">
      <alignment horizontal="center" vertical="center" wrapText="1"/>
    </xf>
    <xf numFmtId="1" fontId="8" fillId="0" borderId="0" xfId="0" applyNumberFormat="1" applyFont="1"/>
    <xf numFmtId="43" fontId="2" fillId="0" borderId="0" xfId="2" applyFont="1" applyFill="1"/>
    <xf numFmtId="165" fontId="2" fillId="0" borderId="0" xfId="2" applyNumberFormat="1" applyFont="1" applyFill="1" applyBorder="1" applyAlignment="1">
      <alignment horizontal="center" vertical="center" wrapText="1"/>
    </xf>
    <xf numFmtId="43" fontId="8" fillId="0" borderId="0" xfId="2" applyFont="1" applyFill="1"/>
    <xf numFmtId="0" fontId="8" fillId="0" borderId="1" xfId="2" applyNumberFormat="1" applyFont="1" applyFill="1" applyBorder="1" applyAlignment="1">
      <alignment horizontal="center" vertical="center" wrapText="1"/>
    </xf>
    <xf numFmtId="44" fontId="8" fillId="0" borderId="1" xfId="1" applyFont="1" applyFill="1" applyBorder="1" applyAlignment="1">
      <alignment horizontal="center" vertical="center" wrapText="1"/>
    </xf>
    <xf numFmtId="14" fontId="8" fillId="0" borderId="1" xfId="4" applyNumberFormat="1" applyFont="1" applyFill="1" applyBorder="1" applyAlignment="1">
      <alignment horizontal="center" vertical="center" wrapText="1"/>
    </xf>
    <xf numFmtId="1" fontId="8" fillId="0" borderId="1" xfId="2" applyNumberFormat="1" applyFont="1" applyFill="1" applyBorder="1" applyAlignment="1">
      <alignment horizontal="center" vertical="center"/>
    </xf>
    <xf numFmtId="165" fontId="8" fillId="0" borderId="1" xfId="2" applyNumberFormat="1" applyFont="1" applyFill="1" applyBorder="1" applyAlignment="1">
      <alignment horizontal="center" vertical="center" wrapText="1"/>
    </xf>
    <xf numFmtId="167" fontId="8" fillId="0" borderId="1" xfId="2" applyNumberFormat="1" applyFont="1" applyFill="1" applyBorder="1" applyAlignment="1">
      <alignment horizontal="center" vertical="center"/>
    </xf>
    <xf numFmtId="0" fontId="8" fillId="0" borderId="2" xfId="2" applyNumberFormat="1" applyFont="1" applyFill="1" applyBorder="1" applyAlignment="1">
      <alignment horizontal="center" vertical="center" wrapText="1"/>
    </xf>
    <xf numFmtId="0" fontId="3" fillId="0" borderId="3" xfId="2"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5"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6" applyFont="1" applyBorder="1" applyAlignment="1">
      <alignment horizontal="center" vertical="center" wrapText="1"/>
    </xf>
    <xf numFmtId="49" fontId="8" fillId="0" borderId="1" xfId="1" applyNumberFormat="1" applyFont="1" applyFill="1" applyBorder="1" applyAlignment="1">
      <alignment horizontal="center" vertical="center" wrapText="1"/>
    </xf>
    <xf numFmtId="14" fontId="8" fillId="0" borderId="1" xfId="6" applyNumberFormat="1" applyFont="1" applyBorder="1" applyAlignment="1">
      <alignment horizontal="center" vertical="center" wrapText="1"/>
    </xf>
    <xf numFmtId="1" fontId="8" fillId="0" borderId="1" xfId="2" applyNumberFormat="1" applyFont="1" applyFill="1" applyBorder="1" applyAlignment="1">
      <alignment horizontal="center" vertical="center" wrapText="1"/>
    </xf>
    <xf numFmtId="0" fontId="2" fillId="0" borderId="0" xfId="0" applyFont="1"/>
    <xf numFmtId="165" fontId="2" fillId="0" borderId="0" xfId="0" applyNumberFormat="1" applyFont="1"/>
    <xf numFmtId="0" fontId="8" fillId="3" borderId="1" xfId="2" applyNumberFormat="1" applyFont="1" applyFill="1" applyBorder="1" applyAlignment="1">
      <alignment horizontal="center" vertical="center" wrapText="1"/>
    </xf>
    <xf numFmtId="44" fontId="8" fillId="3"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5" applyFont="1" applyFill="1" applyBorder="1" applyAlignment="1">
      <alignment horizontal="center" vertical="center" wrapText="1"/>
    </xf>
    <xf numFmtId="14" fontId="8" fillId="3" borderId="1" xfId="4"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 fontId="8" fillId="3" borderId="1" xfId="2" applyNumberFormat="1" applyFont="1" applyFill="1" applyBorder="1" applyAlignment="1">
      <alignment horizontal="center" vertical="center"/>
    </xf>
    <xf numFmtId="165" fontId="8" fillId="3" borderId="1" xfId="2" applyNumberFormat="1" applyFont="1" applyFill="1" applyBorder="1" applyAlignment="1">
      <alignment horizontal="center" vertical="center" wrapText="1"/>
    </xf>
    <xf numFmtId="0" fontId="8" fillId="3" borderId="1" xfId="6" applyFont="1" applyFill="1" applyBorder="1" applyAlignment="1">
      <alignment horizontal="center" vertical="center" wrapText="1"/>
    </xf>
    <xf numFmtId="49" fontId="8" fillId="3" borderId="1" xfId="1" applyNumberFormat="1" applyFont="1" applyFill="1" applyBorder="1" applyAlignment="1">
      <alignment horizontal="center" vertical="center" wrapText="1"/>
    </xf>
    <xf numFmtId="14" fontId="8" fillId="3" borderId="1" xfId="6" applyNumberFormat="1" applyFont="1" applyFill="1" applyBorder="1" applyAlignment="1">
      <alignment horizontal="center" vertical="center" wrapText="1"/>
    </xf>
    <xf numFmtId="1" fontId="8" fillId="3" borderId="1" xfId="2" applyNumberFormat="1" applyFont="1" applyFill="1" applyBorder="1" applyAlignment="1">
      <alignment horizontal="center" vertical="center" wrapText="1"/>
    </xf>
    <xf numFmtId="0" fontId="2" fillId="3" borderId="1" xfId="2" applyNumberFormat="1" applyFont="1" applyFill="1" applyBorder="1" applyAlignment="1">
      <alignment horizontal="center" vertical="center" wrapText="1"/>
    </xf>
    <xf numFmtId="44" fontId="2" fillId="3"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5" applyFont="1" applyFill="1" applyBorder="1" applyAlignment="1">
      <alignment horizontal="center" vertical="center" wrapText="1"/>
    </xf>
    <xf numFmtId="14" fontId="2" fillId="3" borderId="1" xfId="4"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 fontId="2" fillId="3" borderId="1" xfId="2" applyNumberFormat="1" applyFont="1" applyFill="1" applyBorder="1" applyAlignment="1">
      <alignment horizontal="center" vertical="center"/>
    </xf>
    <xf numFmtId="165" fontId="2" fillId="3" borderId="1" xfId="2" applyNumberFormat="1" applyFont="1" applyFill="1" applyBorder="1" applyAlignment="1">
      <alignment horizontal="center" vertical="center" wrapText="1"/>
    </xf>
    <xf numFmtId="0" fontId="2" fillId="3" borderId="1" xfId="6" applyFont="1" applyFill="1" applyBorder="1" applyAlignment="1">
      <alignment horizontal="center" vertical="center" wrapText="1"/>
    </xf>
    <xf numFmtId="167" fontId="8" fillId="3" borderId="1" xfId="2" applyNumberFormat="1" applyFont="1" applyFill="1" applyBorder="1" applyAlignment="1">
      <alignment horizontal="center" vertical="center"/>
    </xf>
    <xf numFmtId="37" fontId="3" fillId="0" borderId="0" xfId="0" applyNumberFormat="1" applyFont="1" applyAlignment="1">
      <alignment horizontal="center" vertical="center" wrapText="1"/>
    </xf>
    <xf numFmtId="0" fontId="0" fillId="0" borderId="1" xfId="0"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43" fontId="6" fillId="0" borderId="0" xfId="2" applyFont="1" applyBorder="1" applyAlignment="1">
      <alignment horizontal="center"/>
    </xf>
    <xf numFmtId="0" fontId="0" fillId="0" borderId="1" xfId="0" applyBorder="1" applyAlignment="1">
      <alignment horizontal="left"/>
    </xf>
    <xf numFmtId="0" fontId="5" fillId="0" borderId="6" xfId="0" applyFont="1" applyBorder="1" applyAlignment="1">
      <alignment horizontal="center"/>
    </xf>
    <xf numFmtId="43" fontId="6" fillId="0" borderId="0" xfId="2" applyFont="1" applyAlignment="1">
      <alignment horizontal="center"/>
    </xf>
    <xf numFmtId="43" fontId="5" fillId="0" borderId="1" xfId="2" applyFont="1" applyBorder="1" applyAlignment="1">
      <alignment horizontal="center"/>
    </xf>
  </cellXfs>
  <cellStyles count="7">
    <cellStyle name="Currency" xfId="1" xr:uid="{00000000-0005-0000-0000-000000000000}"/>
    <cellStyle name="Millares" xfId="2" builtinId="3"/>
    <cellStyle name="Millares [0]" xfId="3" builtinId="6"/>
    <cellStyle name="Moneda" xfId="4" builtinId="4"/>
    <cellStyle name="Normal" xfId="0" builtinId="0"/>
    <cellStyle name="Normal 2" xfId="5" xr:uid="{00000000-0005-0000-0000-000005000000}"/>
    <cellStyle name="Normal 2 10" xfId="6" xr:uid="{00000000-0005-0000-0000-000006000000}"/>
  </cellStyles>
  <dxfs count="63">
    <dxf>
      <fill>
        <patternFill patternType="solid">
          <fgColor rgb="FFF4B084"/>
          <bgColor rgb="FF000000"/>
        </patternFill>
      </fill>
    </dxf>
    <dxf>
      <fill>
        <patternFill patternType="solid">
          <fgColor rgb="FFF4B084"/>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5.xml"/><Relationship Id="rId18" Type="http://schemas.microsoft.com/office/2017/10/relationships/person" Target="persons/person10.xml"/><Relationship Id="rId26" Type="http://schemas.microsoft.com/office/2017/10/relationships/person" Target="persons/person17.xml"/><Relationship Id="rId39" Type="http://schemas.microsoft.com/office/2017/10/relationships/person" Target="persons/person30.xml"/><Relationship Id="rId21" Type="http://schemas.microsoft.com/office/2017/10/relationships/person" Target="persons/person1.xml"/><Relationship Id="rId34" Type="http://schemas.microsoft.com/office/2017/10/relationships/person" Target="persons/person25.xml"/><Relationship Id="rId42" Type="http://schemas.microsoft.com/office/2017/10/relationships/person" Target="persons/person33.xml"/><Relationship Id="rId47" Type="http://schemas.microsoft.com/office/2017/10/relationships/person" Target="persons/person36.xml"/><Relationship Id="rId50" Type="http://schemas.microsoft.com/office/2017/10/relationships/person" Target="persons/person40.xml"/><Relationship Id="rId2" Type="http://schemas.openxmlformats.org/officeDocument/2006/relationships/worksheet" Target="worksheets/sheet2.xml"/><Relationship Id="rId16" Type="http://schemas.microsoft.com/office/2017/10/relationships/person" Target="persons/person7.xml"/><Relationship Id="rId29" Type="http://schemas.microsoft.com/office/2017/10/relationships/person" Target="persons/person19.xml"/><Relationship Id="rId40" Type="http://schemas.microsoft.com/office/2017/10/relationships/person" Target="persons/person32.xml"/><Relationship Id="rId11" Type="http://schemas.microsoft.com/office/2017/10/relationships/person" Target="persons/person2.xml"/><Relationship Id="rId24" Type="http://schemas.microsoft.com/office/2017/10/relationships/person" Target="persons/person14.xml"/><Relationship Id="rId32" Type="http://schemas.microsoft.com/office/2017/10/relationships/person" Target="persons/person22.xml"/><Relationship Id="rId37" Type="http://schemas.microsoft.com/office/2017/10/relationships/person" Target="persons/person27.xml"/><Relationship Id="rId45" Type="http://schemas.microsoft.com/office/2017/10/relationships/person" Target="persons/person35.xml"/><Relationship Id="rId5" Type="http://schemas.openxmlformats.org/officeDocument/2006/relationships/sharedStrings" Target="sharedStrings.xml"/><Relationship Id="rId15" Type="http://schemas.microsoft.com/office/2017/10/relationships/person" Target="persons/person6.xml"/><Relationship Id="rId23" Type="http://schemas.microsoft.com/office/2017/10/relationships/person" Target="persons/person4.xml"/><Relationship Id="rId28" Type="http://schemas.microsoft.com/office/2017/10/relationships/person" Target="persons/person18.xml"/><Relationship Id="rId36" Type="http://schemas.microsoft.com/office/2017/10/relationships/person" Target="persons/person26.xml"/><Relationship Id="rId49" Type="http://schemas.microsoft.com/office/2017/10/relationships/person" Target="persons/person39.xml"/><Relationship Id="rId10" Type="http://schemas.microsoft.com/office/2017/10/relationships/person" Target="persons/person13.xml"/><Relationship Id="rId19" Type="http://schemas.microsoft.com/office/2017/10/relationships/person" Target="persons/person12.xml"/><Relationship Id="rId31" Type="http://schemas.microsoft.com/office/2017/10/relationships/person" Target="persons/person21.xml"/><Relationship Id="rId44" Type="http://schemas.microsoft.com/office/2017/10/relationships/person" Target="persons/person34.xml"/><Relationship Id="rId4" Type="http://schemas.openxmlformats.org/officeDocument/2006/relationships/styles" Target="styles.xml"/><Relationship Id="rId48" Type="http://schemas.microsoft.com/office/2017/10/relationships/person" Target="persons/person41.xml"/><Relationship Id="rId43" Type="http://schemas.microsoft.com/office/2017/10/relationships/person" Target="persons/person38.xml"/><Relationship Id="rId35" Type="http://schemas.microsoft.com/office/2017/10/relationships/person" Target="persons/person29.xml"/><Relationship Id="rId30" Type="http://schemas.microsoft.com/office/2017/10/relationships/person" Target="persons/person24.xml"/><Relationship Id="rId27" Type="http://schemas.microsoft.com/office/2017/10/relationships/person" Target="persons/person20.xml"/><Relationship Id="rId22" Type="http://schemas.microsoft.com/office/2017/10/relationships/person" Target="persons/person16.xml"/><Relationship Id="rId14" Type="http://schemas.microsoft.com/office/2017/10/relationships/person" Target="persons/person8.xml"/><Relationship Id="rId8" Type="http://schemas.microsoft.com/office/2017/10/relationships/person" Target="persons/person15.xml"/><Relationship Id="rId51" Type="http://schemas.microsoft.com/office/2017/10/relationships/person" Target="persons/person.xml"/><Relationship Id="rId3" Type="http://schemas.openxmlformats.org/officeDocument/2006/relationships/theme" Target="theme/theme1.xml"/><Relationship Id="rId46" Type="http://schemas.microsoft.com/office/2017/10/relationships/person" Target="persons/person37.xml"/><Relationship Id="rId12" Type="http://schemas.microsoft.com/office/2017/10/relationships/person" Target="persons/person3.xml"/><Relationship Id="rId17" Type="http://schemas.microsoft.com/office/2017/10/relationships/person" Target="persons/person9.xml"/><Relationship Id="rId25" Type="http://schemas.microsoft.com/office/2017/10/relationships/person" Target="persons/person0.xml"/><Relationship Id="rId33" Type="http://schemas.microsoft.com/office/2017/10/relationships/person" Target="persons/person23.xml"/><Relationship Id="rId38" Type="http://schemas.microsoft.com/office/2017/10/relationships/person" Target="persons/person28.xml"/><Relationship Id="rId20" Type="http://schemas.microsoft.com/office/2017/10/relationships/person" Target="persons/person11.xml"/><Relationship Id="rId41" Type="http://schemas.microsoft.com/office/2017/10/relationships/person" Target="persons/person31.xml"/><Relationship Id="rId1" Type="http://schemas.openxmlformats.org/officeDocument/2006/relationships/worksheet" Target="worksheets/sheet1.xml"/><Relationship Id="rId6"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16.xml><?xml version="1.0" encoding="utf-8"?>
<personList xmlns="http://schemas.microsoft.com/office/spreadsheetml/2018/threadedcomments" xmlns:x="http://schemas.openxmlformats.org/spreadsheetml/2006/main"/>
</file>

<file path=xl/persons/person17.xml><?xml version="1.0" encoding="utf-8"?>
<personList xmlns="http://schemas.microsoft.com/office/spreadsheetml/2018/threadedcomments" xmlns:x="http://schemas.openxmlformats.org/spreadsheetml/2006/main"/>
</file>

<file path=xl/persons/person18.xml><?xml version="1.0" encoding="utf-8"?>
<personList xmlns="http://schemas.microsoft.com/office/spreadsheetml/2018/threadedcomments" xmlns:x="http://schemas.openxmlformats.org/spreadsheetml/2006/main"/>
</file>

<file path=xl/persons/person19.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20.xml><?xml version="1.0" encoding="utf-8"?>
<personList xmlns="http://schemas.microsoft.com/office/spreadsheetml/2018/threadedcomments" xmlns:x="http://schemas.openxmlformats.org/spreadsheetml/2006/main"/>
</file>

<file path=xl/persons/person21.xml><?xml version="1.0" encoding="utf-8"?>
<personList xmlns="http://schemas.microsoft.com/office/spreadsheetml/2018/threadedcomments" xmlns:x="http://schemas.openxmlformats.org/spreadsheetml/2006/main"/>
</file>

<file path=xl/persons/person22.xml><?xml version="1.0" encoding="utf-8"?>
<personList xmlns="http://schemas.microsoft.com/office/spreadsheetml/2018/threadedcomments" xmlns:x="http://schemas.openxmlformats.org/spreadsheetml/2006/main"/>
</file>

<file path=xl/persons/person23.xml><?xml version="1.0" encoding="utf-8"?>
<personList xmlns="http://schemas.microsoft.com/office/spreadsheetml/2018/threadedcomments" xmlns:x="http://schemas.openxmlformats.org/spreadsheetml/2006/main"/>
</file>

<file path=xl/persons/person24.xml><?xml version="1.0" encoding="utf-8"?>
<personList xmlns="http://schemas.microsoft.com/office/spreadsheetml/2018/threadedcomments" xmlns:x="http://schemas.openxmlformats.org/spreadsheetml/2006/main"/>
</file>

<file path=xl/persons/person25.xml><?xml version="1.0" encoding="utf-8"?>
<personList xmlns="http://schemas.microsoft.com/office/spreadsheetml/2018/threadedcomments" xmlns:x="http://schemas.openxmlformats.org/spreadsheetml/2006/main"/>
</file>

<file path=xl/persons/person26.xml><?xml version="1.0" encoding="utf-8"?>
<personList xmlns="http://schemas.microsoft.com/office/spreadsheetml/2018/threadedcomments" xmlns:x="http://schemas.openxmlformats.org/spreadsheetml/2006/main"/>
</file>

<file path=xl/persons/person27.xml><?xml version="1.0" encoding="utf-8"?>
<personList xmlns="http://schemas.microsoft.com/office/spreadsheetml/2018/threadedcomments" xmlns:x="http://schemas.openxmlformats.org/spreadsheetml/2006/main"/>
</file>

<file path=xl/persons/person28.xml><?xml version="1.0" encoding="utf-8"?>
<personList xmlns="http://schemas.microsoft.com/office/spreadsheetml/2018/threadedcomments" xmlns:x="http://schemas.openxmlformats.org/spreadsheetml/2006/main"/>
</file>

<file path=xl/persons/person29.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30.xml><?xml version="1.0" encoding="utf-8"?>
<personList xmlns="http://schemas.microsoft.com/office/spreadsheetml/2018/threadedcomments" xmlns:x="http://schemas.openxmlformats.org/spreadsheetml/2006/main"/>
</file>

<file path=xl/persons/person31.xml><?xml version="1.0" encoding="utf-8"?>
<personList xmlns="http://schemas.microsoft.com/office/spreadsheetml/2018/threadedcomments" xmlns:x="http://schemas.openxmlformats.org/spreadsheetml/2006/main"/>
</file>

<file path=xl/persons/person32.xml><?xml version="1.0" encoding="utf-8"?>
<personList xmlns="http://schemas.microsoft.com/office/spreadsheetml/2018/threadedcomments" xmlns:x="http://schemas.openxmlformats.org/spreadsheetml/2006/main"/>
</file>

<file path=xl/persons/person33.xml><?xml version="1.0" encoding="utf-8"?>
<personList xmlns="http://schemas.microsoft.com/office/spreadsheetml/2018/threadedcomments" xmlns:x="http://schemas.openxmlformats.org/spreadsheetml/2006/main"/>
</file>

<file path=xl/persons/person34.xml><?xml version="1.0" encoding="utf-8"?>
<personList xmlns="http://schemas.microsoft.com/office/spreadsheetml/2018/threadedcomments" xmlns:x="http://schemas.openxmlformats.org/spreadsheetml/2006/main"/>
</file>

<file path=xl/persons/person35.xml><?xml version="1.0" encoding="utf-8"?>
<personList xmlns="http://schemas.microsoft.com/office/spreadsheetml/2018/threadedcomments" xmlns:x="http://schemas.openxmlformats.org/spreadsheetml/2006/main"/>
</file>

<file path=xl/persons/person36.xml><?xml version="1.0" encoding="utf-8"?>
<personList xmlns="http://schemas.microsoft.com/office/spreadsheetml/2018/threadedcomments" xmlns:x="http://schemas.openxmlformats.org/spreadsheetml/2006/main"/>
</file>

<file path=xl/persons/person37.xml><?xml version="1.0" encoding="utf-8"?>
<personList xmlns="http://schemas.microsoft.com/office/spreadsheetml/2018/threadedcomments" xmlns:x="http://schemas.openxmlformats.org/spreadsheetml/2006/main"/>
</file>

<file path=xl/persons/person38.xml><?xml version="1.0" encoding="utf-8"?>
<personList xmlns="http://schemas.microsoft.com/office/spreadsheetml/2018/threadedcomments" xmlns:x="http://schemas.openxmlformats.org/spreadsheetml/2006/main"/>
</file>

<file path=xl/persons/person39.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40.xml><?xml version="1.0" encoding="utf-8"?>
<personList xmlns="http://schemas.microsoft.com/office/spreadsheetml/2018/threadedcomments" xmlns:x="http://schemas.openxmlformats.org/spreadsheetml/2006/main"/>
</file>

<file path=xl/persons/person41.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09"/>
  <sheetViews>
    <sheetView tabSelected="1" topLeftCell="A181" zoomScale="70" zoomScaleNormal="70" workbookViewId="0">
      <selection activeCell="A7" sqref="A7:A185"/>
    </sheetView>
  </sheetViews>
  <sheetFormatPr baseColWidth="10" defaultColWidth="29.81640625" defaultRowHeight="14" x14ac:dyDescent="0.3"/>
  <cols>
    <col min="1" max="1" width="15.81640625" style="38" customWidth="1"/>
    <col min="2" max="2" width="12.81640625" style="39" customWidth="1"/>
    <col min="3" max="3" width="32.453125" style="40" customWidth="1"/>
    <col min="4" max="4" width="24.1796875" style="40" customWidth="1"/>
    <col min="5" max="5" width="25" style="40" customWidth="1"/>
    <col min="6" max="6" width="56.08984375" style="40" customWidth="1"/>
    <col min="7" max="7" width="17.1796875" style="40" customWidth="1"/>
    <col min="8" max="8" width="16.81640625" style="40" customWidth="1"/>
    <col min="9" max="9" width="14.54296875" style="45" customWidth="1"/>
    <col min="10" max="11" width="17.54296875" style="40" customWidth="1"/>
    <col min="12" max="12" width="28.453125" style="40" customWidth="1"/>
    <col min="13" max="13" width="21.7265625" style="41" customWidth="1"/>
    <col min="14" max="14" width="34.453125" style="40" customWidth="1"/>
    <col min="15" max="15" width="40.7265625" style="40" customWidth="1"/>
    <col min="16" max="16" width="19.453125" style="40" customWidth="1"/>
    <col min="17" max="17" width="17.81640625" style="40" customWidth="1"/>
    <col min="18" max="18" width="18.1796875" style="38" customWidth="1"/>
    <col min="19" max="16384" width="29.81640625" style="40"/>
  </cols>
  <sheetData>
    <row r="1" spans="1:18" s="19" customFormat="1" ht="14.15" customHeight="1" x14ac:dyDescent="0.35">
      <c r="A1" s="88" t="s">
        <v>0</v>
      </c>
      <c r="B1" s="88"/>
      <c r="C1" s="88"/>
      <c r="D1" s="88"/>
      <c r="E1" s="88"/>
      <c r="F1" s="88"/>
      <c r="G1" s="88"/>
      <c r="H1" s="88"/>
      <c r="I1" s="88"/>
      <c r="J1" s="88"/>
      <c r="K1" s="88"/>
      <c r="L1" s="88"/>
      <c r="M1" s="88"/>
      <c r="N1" s="88"/>
      <c r="O1" s="88"/>
      <c r="P1" s="88"/>
      <c r="Q1" s="17"/>
      <c r="R1" s="18"/>
    </row>
    <row r="2" spans="1:18" s="19" customFormat="1" ht="14.15" customHeight="1" x14ac:dyDescent="0.35">
      <c r="A2" s="88" t="s">
        <v>1</v>
      </c>
      <c r="B2" s="88"/>
      <c r="C2" s="88"/>
      <c r="D2" s="88"/>
      <c r="E2" s="88"/>
      <c r="F2" s="88"/>
      <c r="G2" s="88"/>
      <c r="H2" s="88"/>
      <c r="I2" s="88"/>
      <c r="J2" s="88"/>
      <c r="K2" s="88"/>
      <c r="L2" s="88"/>
      <c r="M2" s="88"/>
      <c r="N2" s="88"/>
      <c r="O2" s="88"/>
      <c r="P2" s="88"/>
      <c r="Q2" s="17"/>
      <c r="R2" s="18"/>
    </row>
    <row r="3" spans="1:18" s="19" customFormat="1" ht="14.15" customHeight="1" x14ac:dyDescent="0.35">
      <c r="A3" s="88" t="s">
        <v>726</v>
      </c>
      <c r="B3" s="88"/>
      <c r="C3" s="88"/>
      <c r="D3" s="88"/>
      <c r="E3" s="88"/>
      <c r="F3" s="88"/>
      <c r="G3" s="88"/>
      <c r="H3" s="88"/>
      <c r="I3" s="88"/>
      <c r="J3" s="88"/>
      <c r="K3" s="88"/>
      <c r="L3" s="88"/>
      <c r="M3" s="88"/>
      <c r="N3" s="88"/>
      <c r="O3" s="88"/>
      <c r="P3" s="88"/>
      <c r="Q3" s="17"/>
      <c r="R3" s="18"/>
    </row>
    <row r="4" spans="1:18" s="19" customFormat="1" x14ac:dyDescent="0.3">
      <c r="A4" s="15"/>
      <c r="B4" s="16"/>
      <c r="C4" s="16"/>
      <c r="D4" s="16"/>
      <c r="E4" s="16"/>
      <c r="F4" s="16"/>
      <c r="G4" s="16"/>
      <c r="H4" s="20"/>
      <c r="I4" s="42"/>
      <c r="J4" s="16"/>
      <c r="K4" s="16"/>
      <c r="L4" s="21" t="s">
        <v>2</v>
      </c>
      <c r="M4" s="22">
        <v>44520010000</v>
      </c>
      <c r="N4" s="16" t="s">
        <v>91</v>
      </c>
      <c r="O4" s="16">
        <f>+M4-M5</f>
        <v>-11815950000</v>
      </c>
      <c r="P4" s="17"/>
      <c r="Q4" s="16"/>
      <c r="R4" s="23"/>
    </row>
    <row r="5" spans="1:18" s="19" customFormat="1" x14ac:dyDescent="0.35">
      <c r="A5" s="15"/>
      <c r="B5" s="24"/>
      <c r="C5" s="25"/>
      <c r="D5" s="26"/>
      <c r="E5" s="27"/>
      <c r="G5" s="28"/>
      <c r="H5" s="29"/>
      <c r="I5" s="43"/>
      <c r="K5" s="30"/>
      <c r="L5" s="31" t="s">
        <v>769</v>
      </c>
      <c r="M5" s="32">
        <f>+SUBTOTAL(9,M7:M65502)</f>
        <v>56335960000</v>
      </c>
      <c r="N5" s="33"/>
      <c r="O5" s="33"/>
      <c r="P5" s="34"/>
      <c r="Q5" s="34"/>
      <c r="R5" s="15"/>
    </row>
    <row r="6" spans="1:18" s="19" customFormat="1" ht="70" x14ac:dyDescent="0.35">
      <c r="A6" s="35" t="s">
        <v>410</v>
      </c>
      <c r="B6" s="35" t="s">
        <v>3</v>
      </c>
      <c r="C6" s="35" t="s">
        <v>4</v>
      </c>
      <c r="D6" s="35" t="s">
        <v>5</v>
      </c>
      <c r="E6" s="35" t="s">
        <v>6</v>
      </c>
      <c r="F6" s="35" t="s">
        <v>7</v>
      </c>
      <c r="G6" s="35" t="s">
        <v>8</v>
      </c>
      <c r="H6" s="36" t="s">
        <v>9</v>
      </c>
      <c r="I6" s="44" t="s">
        <v>10</v>
      </c>
      <c r="J6" s="35" t="s">
        <v>11</v>
      </c>
      <c r="K6" s="35" t="s">
        <v>12</v>
      </c>
      <c r="L6" s="56" t="s">
        <v>13</v>
      </c>
      <c r="M6" s="37" t="s">
        <v>14</v>
      </c>
      <c r="N6" s="35" t="s">
        <v>15</v>
      </c>
      <c r="O6" s="35" t="s">
        <v>16</v>
      </c>
      <c r="P6" s="35" t="s">
        <v>17</v>
      </c>
    </row>
    <row r="7" spans="1:18" s="19" customFormat="1" ht="56" x14ac:dyDescent="0.35">
      <c r="A7" s="66">
        <v>20240030</v>
      </c>
      <c r="B7" s="66">
        <v>7655</v>
      </c>
      <c r="C7" s="67" t="s">
        <v>18</v>
      </c>
      <c r="D7" s="68" t="s">
        <v>184</v>
      </c>
      <c r="E7" s="69">
        <v>80111600</v>
      </c>
      <c r="F7" s="68" t="s">
        <v>306</v>
      </c>
      <c r="G7" s="70">
        <v>45347</v>
      </c>
      <c r="H7" s="71">
        <v>45351</v>
      </c>
      <c r="I7" s="72">
        <v>8</v>
      </c>
      <c r="J7" s="68" t="s">
        <v>21</v>
      </c>
      <c r="K7" s="68" t="s">
        <v>22</v>
      </c>
      <c r="L7" s="68" t="s">
        <v>23</v>
      </c>
      <c r="M7" s="73">
        <f>52000000-5200000-38000000+47200000-23755200</f>
        <v>32244800</v>
      </c>
      <c r="N7" s="69" t="s">
        <v>24</v>
      </c>
      <c r="O7" s="69" t="s">
        <v>80</v>
      </c>
      <c r="P7" s="69" t="s">
        <v>26</v>
      </c>
    </row>
    <row r="8" spans="1:18" s="19" customFormat="1" ht="56" x14ac:dyDescent="0.35">
      <c r="A8" s="66">
        <v>20240032</v>
      </c>
      <c r="B8" s="66">
        <v>7655</v>
      </c>
      <c r="C8" s="67" t="s">
        <v>18</v>
      </c>
      <c r="D8" s="68" t="s">
        <v>146</v>
      </c>
      <c r="E8" s="69">
        <v>80111600</v>
      </c>
      <c r="F8" s="68" t="s">
        <v>147</v>
      </c>
      <c r="G8" s="70">
        <v>45292</v>
      </c>
      <c r="H8" s="71">
        <v>45309</v>
      </c>
      <c r="I8" s="72">
        <v>12</v>
      </c>
      <c r="J8" s="68" t="s">
        <v>148</v>
      </c>
      <c r="K8" s="68" t="s">
        <v>22</v>
      </c>
      <c r="L8" s="68" t="s">
        <v>23</v>
      </c>
      <c r="M8" s="73">
        <f>79350996-13225166</f>
        <v>66125830</v>
      </c>
      <c r="N8" s="69" t="s">
        <v>24</v>
      </c>
      <c r="O8" s="69" t="s">
        <v>80</v>
      </c>
      <c r="P8" s="69" t="s">
        <v>26</v>
      </c>
    </row>
    <row r="9" spans="1:18" s="19" customFormat="1" ht="56" x14ac:dyDescent="0.35">
      <c r="A9" s="66">
        <v>20240033</v>
      </c>
      <c r="B9" s="66">
        <v>7655</v>
      </c>
      <c r="C9" s="67" t="s">
        <v>18</v>
      </c>
      <c r="D9" s="68" t="s">
        <v>146</v>
      </c>
      <c r="E9" s="69">
        <v>80111600</v>
      </c>
      <c r="F9" s="68" t="s">
        <v>149</v>
      </c>
      <c r="G9" s="70">
        <v>45292</v>
      </c>
      <c r="H9" s="71">
        <v>45309</v>
      </c>
      <c r="I9" s="72">
        <v>12</v>
      </c>
      <c r="J9" s="68" t="s">
        <v>148</v>
      </c>
      <c r="K9" s="68" t="s">
        <v>22</v>
      </c>
      <c r="L9" s="68" t="s">
        <v>23</v>
      </c>
      <c r="M9" s="73">
        <f>79130577-13225166</f>
        <v>65905411</v>
      </c>
      <c r="N9" s="69" t="s">
        <v>24</v>
      </c>
      <c r="O9" s="69" t="s">
        <v>80</v>
      </c>
      <c r="P9" s="69" t="s">
        <v>26</v>
      </c>
    </row>
    <row r="10" spans="1:18" s="19" customFormat="1" ht="56" x14ac:dyDescent="0.35">
      <c r="A10" s="66">
        <v>20240035</v>
      </c>
      <c r="B10" s="66">
        <v>7655</v>
      </c>
      <c r="C10" s="67" t="s">
        <v>18</v>
      </c>
      <c r="D10" s="68" t="s">
        <v>146</v>
      </c>
      <c r="E10" s="69">
        <v>80111600</v>
      </c>
      <c r="F10" s="68" t="s">
        <v>150</v>
      </c>
      <c r="G10" s="70">
        <v>45292</v>
      </c>
      <c r="H10" s="71">
        <v>45309</v>
      </c>
      <c r="I10" s="72">
        <v>12</v>
      </c>
      <c r="J10" s="68" t="s">
        <v>148</v>
      </c>
      <c r="K10" s="68" t="s">
        <v>22</v>
      </c>
      <c r="L10" s="68" t="s">
        <v>23</v>
      </c>
      <c r="M10" s="73">
        <f>45696996-7616166</f>
        <v>38080830</v>
      </c>
      <c r="N10" s="69" t="s">
        <v>24</v>
      </c>
      <c r="O10" s="69" t="s">
        <v>80</v>
      </c>
      <c r="P10" s="69" t="s">
        <v>26</v>
      </c>
    </row>
    <row r="11" spans="1:18" s="19" customFormat="1" ht="56" x14ac:dyDescent="0.35">
      <c r="A11" s="66">
        <v>20240036</v>
      </c>
      <c r="B11" s="66">
        <v>7655</v>
      </c>
      <c r="C11" s="67" t="s">
        <v>18</v>
      </c>
      <c r="D11" s="68" t="s">
        <v>146</v>
      </c>
      <c r="E11" s="69">
        <v>80111600</v>
      </c>
      <c r="F11" s="68" t="s">
        <v>151</v>
      </c>
      <c r="G11" s="70">
        <v>45292</v>
      </c>
      <c r="H11" s="71">
        <v>45309</v>
      </c>
      <c r="I11" s="72">
        <v>12</v>
      </c>
      <c r="J11" s="68" t="s">
        <v>148</v>
      </c>
      <c r="K11" s="68" t="s">
        <v>22</v>
      </c>
      <c r="L11" s="68" t="s">
        <v>23</v>
      </c>
      <c r="M11" s="73">
        <f>39476435-6579404</f>
        <v>32897031</v>
      </c>
      <c r="N11" s="69" t="s">
        <v>24</v>
      </c>
      <c r="O11" s="69" t="s">
        <v>80</v>
      </c>
      <c r="P11" s="69" t="s">
        <v>26</v>
      </c>
    </row>
    <row r="12" spans="1:18" s="19" customFormat="1" ht="56" x14ac:dyDescent="0.35">
      <c r="A12" s="66">
        <v>20240058</v>
      </c>
      <c r="B12" s="66">
        <v>7655</v>
      </c>
      <c r="C12" s="67" t="s">
        <v>18</v>
      </c>
      <c r="D12" s="68" t="s">
        <v>237</v>
      </c>
      <c r="E12" s="69">
        <v>80111600</v>
      </c>
      <c r="F12" s="68" t="s">
        <v>238</v>
      </c>
      <c r="G12" s="70">
        <v>45293</v>
      </c>
      <c r="H12" s="71">
        <v>45306</v>
      </c>
      <c r="I12" s="72">
        <v>8</v>
      </c>
      <c r="J12" s="68" t="s">
        <v>21</v>
      </c>
      <c r="K12" s="68" t="s">
        <v>22</v>
      </c>
      <c r="L12" s="68" t="s">
        <v>23</v>
      </c>
      <c r="M12" s="73">
        <f>60000000-15000000</f>
        <v>45000000</v>
      </c>
      <c r="N12" s="69" t="s">
        <v>24</v>
      </c>
      <c r="O12" s="69" t="s">
        <v>80</v>
      </c>
      <c r="P12" s="69" t="s">
        <v>26</v>
      </c>
    </row>
    <row r="13" spans="1:18" s="19" customFormat="1" ht="70" x14ac:dyDescent="0.35">
      <c r="A13" s="66">
        <v>20240059</v>
      </c>
      <c r="B13" s="66">
        <v>7655</v>
      </c>
      <c r="C13" s="67" t="s">
        <v>18</v>
      </c>
      <c r="D13" s="68" t="s">
        <v>237</v>
      </c>
      <c r="E13" s="69">
        <v>80111600</v>
      </c>
      <c r="F13" s="68" t="s">
        <v>239</v>
      </c>
      <c r="G13" s="70">
        <v>45293</v>
      </c>
      <c r="H13" s="71">
        <v>45306</v>
      </c>
      <c r="I13" s="72">
        <v>9</v>
      </c>
      <c r="J13" s="68" t="s">
        <v>21</v>
      </c>
      <c r="K13" s="68" t="s">
        <v>22</v>
      </c>
      <c r="L13" s="68" t="s">
        <v>23</v>
      </c>
      <c r="M13" s="73">
        <f>63000000-14000000</f>
        <v>49000000</v>
      </c>
      <c r="N13" s="69" t="s">
        <v>24</v>
      </c>
      <c r="O13" s="69" t="s">
        <v>80</v>
      </c>
      <c r="P13" s="69" t="s">
        <v>26</v>
      </c>
    </row>
    <row r="14" spans="1:18" s="19" customFormat="1" ht="56" x14ac:dyDescent="0.35">
      <c r="A14" s="66">
        <v>20240061</v>
      </c>
      <c r="B14" s="66">
        <v>7655</v>
      </c>
      <c r="C14" s="67" t="s">
        <v>18</v>
      </c>
      <c r="D14" s="68" t="s">
        <v>237</v>
      </c>
      <c r="E14" s="69">
        <v>80111600</v>
      </c>
      <c r="F14" s="68" t="s">
        <v>240</v>
      </c>
      <c r="G14" s="70">
        <v>45293</v>
      </c>
      <c r="H14" s="71">
        <v>45306</v>
      </c>
      <c r="I14" s="72">
        <v>8</v>
      </c>
      <c r="J14" s="68" t="s">
        <v>21</v>
      </c>
      <c r="K14" s="68" t="s">
        <v>22</v>
      </c>
      <c r="L14" s="68" t="s">
        <v>23</v>
      </c>
      <c r="M14" s="73">
        <f>48000000-12000000</f>
        <v>36000000</v>
      </c>
      <c r="N14" s="69" t="s">
        <v>24</v>
      </c>
      <c r="O14" s="69" t="s">
        <v>80</v>
      </c>
      <c r="P14" s="69" t="s">
        <v>26</v>
      </c>
    </row>
    <row r="15" spans="1:18" s="19" customFormat="1" ht="56" x14ac:dyDescent="0.35">
      <c r="A15" s="66">
        <v>20240062</v>
      </c>
      <c r="B15" s="66">
        <v>7655</v>
      </c>
      <c r="C15" s="67" t="s">
        <v>18</v>
      </c>
      <c r="D15" s="68" t="s">
        <v>237</v>
      </c>
      <c r="E15" s="69">
        <v>80111600</v>
      </c>
      <c r="F15" s="68" t="s">
        <v>240</v>
      </c>
      <c r="G15" s="70">
        <v>45293</v>
      </c>
      <c r="H15" s="71">
        <v>45306</v>
      </c>
      <c r="I15" s="72">
        <v>8</v>
      </c>
      <c r="J15" s="68" t="s">
        <v>21</v>
      </c>
      <c r="K15" s="68" t="s">
        <v>22</v>
      </c>
      <c r="L15" s="68" t="s">
        <v>23</v>
      </c>
      <c r="M15" s="73">
        <f>48000000-12000000</f>
        <v>36000000</v>
      </c>
      <c r="N15" s="69" t="s">
        <v>24</v>
      </c>
      <c r="O15" s="69" t="s">
        <v>80</v>
      </c>
      <c r="P15" s="69" t="s">
        <v>26</v>
      </c>
    </row>
    <row r="16" spans="1:18" s="19" customFormat="1" ht="56" x14ac:dyDescent="0.35">
      <c r="A16" s="66">
        <v>20240063</v>
      </c>
      <c r="B16" s="66">
        <v>7655</v>
      </c>
      <c r="C16" s="67" t="s">
        <v>18</v>
      </c>
      <c r="D16" s="68" t="s">
        <v>237</v>
      </c>
      <c r="E16" s="69">
        <v>80111600</v>
      </c>
      <c r="F16" s="68" t="s">
        <v>240</v>
      </c>
      <c r="G16" s="70">
        <v>45293</v>
      </c>
      <c r="H16" s="71">
        <v>45306</v>
      </c>
      <c r="I16" s="72">
        <v>8</v>
      </c>
      <c r="J16" s="68" t="s">
        <v>21</v>
      </c>
      <c r="K16" s="68" t="s">
        <v>22</v>
      </c>
      <c r="L16" s="68" t="s">
        <v>23</v>
      </c>
      <c r="M16" s="73">
        <f>48000000-12000000</f>
        <v>36000000</v>
      </c>
      <c r="N16" s="69" t="s">
        <v>24</v>
      </c>
      <c r="O16" s="69" t="s">
        <v>80</v>
      </c>
      <c r="P16" s="69" t="s">
        <v>26</v>
      </c>
    </row>
    <row r="17" spans="1:16" s="19" customFormat="1" ht="56" x14ac:dyDescent="0.35">
      <c r="A17" s="66">
        <v>20240064</v>
      </c>
      <c r="B17" s="66">
        <v>7655</v>
      </c>
      <c r="C17" s="67" t="s">
        <v>18</v>
      </c>
      <c r="D17" s="68" t="s">
        <v>237</v>
      </c>
      <c r="E17" s="69">
        <v>80111600</v>
      </c>
      <c r="F17" s="68" t="s">
        <v>299</v>
      </c>
      <c r="G17" s="70">
        <v>45293</v>
      </c>
      <c r="H17" s="71">
        <v>45306</v>
      </c>
      <c r="I17" s="72">
        <v>9</v>
      </c>
      <c r="J17" s="68" t="s">
        <v>21</v>
      </c>
      <c r="K17" s="68" t="s">
        <v>22</v>
      </c>
      <c r="L17" s="68" t="s">
        <v>23</v>
      </c>
      <c r="M17" s="73">
        <f>45000000-10000000</f>
        <v>35000000</v>
      </c>
      <c r="N17" s="69" t="s">
        <v>24</v>
      </c>
      <c r="O17" s="69" t="s">
        <v>80</v>
      </c>
      <c r="P17" s="69" t="s">
        <v>26</v>
      </c>
    </row>
    <row r="18" spans="1:16" s="19" customFormat="1" ht="70" x14ac:dyDescent="0.35">
      <c r="A18" s="66">
        <v>20240065</v>
      </c>
      <c r="B18" s="66">
        <v>7655</v>
      </c>
      <c r="C18" s="67" t="s">
        <v>18</v>
      </c>
      <c r="D18" s="68" t="s">
        <v>237</v>
      </c>
      <c r="E18" s="69">
        <v>80111600</v>
      </c>
      <c r="F18" s="68" t="s">
        <v>300</v>
      </c>
      <c r="G18" s="70">
        <v>45293</v>
      </c>
      <c r="H18" s="71">
        <v>45306</v>
      </c>
      <c r="I18" s="72">
        <v>8</v>
      </c>
      <c r="J18" s="68" t="s">
        <v>21</v>
      </c>
      <c r="K18" s="68" t="s">
        <v>22</v>
      </c>
      <c r="L18" s="68" t="s">
        <v>23</v>
      </c>
      <c r="M18" s="73">
        <f>26400000-6600000</f>
        <v>19800000</v>
      </c>
      <c r="N18" s="69" t="s">
        <v>24</v>
      </c>
      <c r="O18" s="69" t="s">
        <v>80</v>
      </c>
      <c r="P18" s="69" t="s">
        <v>26</v>
      </c>
    </row>
    <row r="19" spans="1:16" s="19" customFormat="1" ht="84" x14ac:dyDescent="0.35">
      <c r="A19" s="66">
        <v>20240068</v>
      </c>
      <c r="B19" s="66">
        <v>7658</v>
      </c>
      <c r="C19" s="67" t="s">
        <v>82</v>
      </c>
      <c r="D19" s="68" t="s">
        <v>92</v>
      </c>
      <c r="E19" s="69">
        <v>25172500</v>
      </c>
      <c r="F19" s="68" t="s">
        <v>311</v>
      </c>
      <c r="G19" s="70">
        <v>45361</v>
      </c>
      <c r="H19" s="71">
        <v>45397</v>
      </c>
      <c r="I19" s="72">
        <v>12</v>
      </c>
      <c r="J19" s="68" t="s">
        <v>97</v>
      </c>
      <c r="K19" s="68" t="s">
        <v>22</v>
      </c>
      <c r="L19" s="68" t="s">
        <v>497</v>
      </c>
      <c r="M19" s="73">
        <f>300000000-40000000-10000000</f>
        <v>250000000</v>
      </c>
      <c r="N19" s="69" t="s">
        <v>94</v>
      </c>
      <c r="O19" s="69" t="s">
        <v>25</v>
      </c>
      <c r="P19" s="69" t="s">
        <v>26</v>
      </c>
    </row>
    <row r="20" spans="1:16" s="19" customFormat="1" ht="84" x14ac:dyDescent="0.35">
      <c r="A20" s="66">
        <v>20240075</v>
      </c>
      <c r="B20" s="66">
        <v>7658</v>
      </c>
      <c r="C20" s="67" t="s">
        <v>82</v>
      </c>
      <c r="D20" s="68" t="s">
        <v>92</v>
      </c>
      <c r="E20" s="69">
        <v>24111808</v>
      </c>
      <c r="F20" s="68" t="s">
        <v>102</v>
      </c>
      <c r="G20" s="70">
        <v>45301</v>
      </c>
      <c r="H20" s="71">
        <v>45306</v>
      </c>
      <c r="I20" s="72">
        <v>12</v>
      </c>
      <c r="J20" s="68" t="s">
        <v>36</v>
      </c>
      <c r="K20" s="68" t="s">
        <v>22</v>
      </c>
      <c r="L20" s="68" t="s">
        <v>497</v>
      </c>
      <c r="M20" s="73">
        <f>30000000-5635667-20000000</f>
        <v>4364333</v>
      </c>
      <c r="N20" s="69" t="s">
        <v>96</v>
      </c>
      <c r="O20" s="69" t="s">
        <v>25</v>
      </c>
      <c r="P20" s="69" t="s">
        <v>26</v>
      </c>
    </row>
    <row r="21" spans="1:16" s="19" customFormat="1" ht="84" x14ac:dyDescent="0.35">
      <c r="A21" s="66">
        <v>20240078</v>
      </c>
      <c r="B21" s="66">
        <v>7658</v>
      </c>
      <c r="C21" s="67" t="s">
        <v>82</v>
      </c>
      <c r="D21" s="68" t="s">
        <v>92</v>
      </c>
      <c r="E21" s="69" t="s">
        <v>424</v>
      </c>
      <c r="F21" s="68" t="s">
        <v>319</v>
      </c>
      <c r="G21" s="70">
        <v>45361</v>
      </c>
      <c r="H21" s="71">
        <v>45397</v>
      </c>
      <c r="I21" s="72">
        <v>8</v>
      </c>
      <c r="J21" s="68" t="s">
        <v>97</v>
      </c>
      <c r="K21" s="68" t="s">
        <v>22</v>
      </c>
      <c r="L21" s="68" t="s">
        <v>98</v>
      </c>
      <c r="M21" s="73">
        <f>360000000-50000000+27045429-57045429-20000000</f>
        <v>260000000</v>
      </c>
      <c r="N21" s="69" t="s">
        <v>96</v>
      </c>
      <c r="O21" s="69" t="s">
        <v>25</v>
      </c>
      <c r="P21" s="69" t="s">
        <v>26</v>
      </c>
    </row>
    <row r="22" spans="1:16" s="19" customFormat="1" ht="84" x14ac:dyDescent="0.35">
      <c r="A22" s="66">
        <v>20240081</v>
      </c>
      <c r="B22" s="66">
        <v>7658</v>
      </c>
      <c r="C22" s="67" t="s">
        <v>82</v>
      </c>
      <c r="D22" s="68" t="s">
        <v>92</v>
      </c>
      <c r="E22" s="69">
        <v>81141504</v>
      </c>
      <c r="F22" s="68" t="s">
        <v>103</v>
      </c>
      <c r="G22" s="70">
        <v>45301</v>
      </c>
      <c r="H22" s="71">
        <v>45306</v>
      </c>
      <c r="I22" s="72">
        <v>12</v>
      </c>
      <c r="J22" s="68" t="s">
        <v>36</v>
      </c>
      <c r="K22" s="68" t="s">
        <v>22</v>
      </c>
      <c r="L22" s="68" t="s">
        <v>23</v>
      </c>
      <c r="M22" s="73">
        <f>30000000-28000000</f>
        <v>2000000</v>
      </c>
      <c r="N22" s="69" t="s">
        <v>96</v>
      </c>
      <c r="O22" s="69" t="s">
        <v>25</v>
      </c>
      <c r="P22" s="69" t="s">
        <v>26</v>
      </c>
    </row>
    <row r="23" spans="1:16" s="19" customFormat="1" ht="84" x14ac:dyDescent="0.35">
      <c r="A23" s="66">
        <v>20240089</v>
      </c>
      <c r="B23" s="66">
        <v>7658</v>
      </c>
      <c r="C23" s="67" t="s">
        <v>82</v>
      </c>
      <c r="D23" s="68" t="s">
        <v>92</v>
      </c>
      <c r="E23" s="69">
        <v>80111600</v>
      </c>
      <c r="F23" s="68" t="s">
        <v>326</v>
      </c>
      <c r="G23" s="70">
        <v>45301</v>
      </c>
      <c r="H23" s="71">
        <v>45306</v>
      </c>
      <c r="I23" s="72">
        <v>9</v>
      </c>
      <c r="J23" s="68" t="s">
        <v>21</v>
      </c>
      <c r="K23" s="68" t="s">
        <v>22</v>
      </c>
      <c r="L23" s="68" t="s">
        <v>23</v>
      </c>
      <c r="M23" s="73">
        <f>76050000-17000000</f>
        <v>59050000</v>
      </c>
      <c r="N23" s="69" t="s">
        <v>94</v>
      </c>
      <c r="O23" s="69" t="s">
        <v>25</v>
      </c>
      <c r="P23" s="69" t="s">
        <v>26</v>
      </c>
    </row>
    <row r="24" spans="1:16" s="19" customFormat="1" ht="84" x14ac:dyDescent="0.35">
      <c r="A24" s="66">
        <v>20240092</v>
      </c>
      <c r="B24" s="66">
        <v>7658</v>
      </c>
      <c r="C24" s="67" t="s">
        <v>82</v>
      </c>
      <c r="D24" s="68" t="s">
        <v>92</v>
      </c>
      <c r="E24" s="69">
        <v>80111600</v>
      </c>
      <c r="F24" s="68" t="s">
        <v>329</v>
      </c>
      <c r="G24" s="70">
        <v>45301</v>
      </c>
      <c r="H24" s="71">
        <v>45306</v>
      </c>
      <c r="I24" s="72">
        <v>10</v>
      </c>
      <c r="J24" s="68" t="s">
        <v>21</v>
      </c>
      <c r="K24" s="68" t="s">
        <v>22</v>
      </c>
      <c r="L24" s="68" t="s">
        <v>23</v>
      </c>
      <c r="M24" s="73">
        <f>47000000-9400000</f>
        <v>37600000</v>
      </c>
      <c r="N24" s="69" t="s">
        <v>94</v>
      </c>
      <c r="O24" s="69" t="s">
        <v>25</v>
      </c>
      <c r="P24" s="69" t="s">
        <v>26</v>
      </c>
    </row>
    <row r="25" spans="1:16" s="19" customFormat="1" ht="84" x14ac:dyDescent="0.35">
      <c r="A25" s="66">
        <v>20240094</v>
      </c>
      <c r="B25" s="66">
        <v>7658</v>
      </c>
      <c r="C25" s="67" t="s">
        <v>82</v>
      </c>
      <c r="D25" s="68" t="s">
        <v>92</v>
      </c>
      <c r="E25" s="69">
        <v>80111600</v>
      </c>
      <c r="F25" s="68" t="s">
        <v>330</v>
      </c>
      <c r="G25" s="70">
        <v>45301</v>
      </c>
      <c r="H25" s="71">
        <v>45306</v>
      </c>
      <c r="I25" s="72">
        <v>10</v>
      </c>
      <c r="J25" s="68" t="s">
        <v>21</v>
      </c>
      <c r="K25" s="68" t="s">
        <v>22</v>
      </c>
      <c r="L25" s="68" t="s">
        <v>23</v>
      </c>
      <c r="M25" s="73">
        <f>31000000-6200000</f>
        <v>24800000</v>
      </c>
      <c r="N25" s="69" t="s">
        <v>94</v>
      </c>
      <c r="O25" s="69" t="s">
        <v>25</v>
      </c>
      <c r="P25" s="69" t="s">
        <v>26</v>
      </c>
    </row>
    <row r="26" spans="1:16" s="19" customFormat="1" ht="84" x14ac:dyDescent="0.35">
      <c r="A26" s="66">
        <v>20240095</v>
      </c>
      <c r="B26" s="66">
        <v>7658</v>
      </c>
      <c r="C26" s="67" t="s">
        <v>82</v>
      </c>
      <c r="D26" s="68" t="s">
        <v>92</v>
      </c>
      <c r="E26" s="69">
        <v>80111600</v>
      </c>
      <c r="F26" s="68" t="s">
        <v>331</v>
      </c>
      <c r="G26" s="70">
        <v>45301</v>
      </c>
      <c r="H26" s="71">
        <v>45306</v>
      </c>
      <c r="I26" s="72">
        <v>10</v>
      </c>
      <c r="J26" s="68" t="s">
        <v>21</v>
      </c>
      <c r="K26" s="68" t="s">
        <v>22</v>
      </c>
      <c r="L26" s="68" t="s">
        <v>23</v>
      </c>
      <c r="M26" s="73">
        <f>31000000-6200000</f>
        <v>24800000</v>
      </c>
      <c r="N26" s="69" t="s">
        <v>94</v>
      </c>
      <c r="O26" s="69" t="s">
        <v>25</v>
      </c>
      <c r="P26" s="69" t="s">
        <v>26</v>
      </c>
    </row>
    <row r="27" spans="1:16" s="19" customFormat="1" ht="84" x14ac:dyDescent="0.35">
      <c r="A27" s="66">
        <v>20240096</v>
      </c>
      <c r="B27" s="66">
        <v>7658</v>
      </c>
      <c r="C27" s="67" t="s">
        <v>82</v>
      </c>
      <c r="D27" s="68" t="s">
        <v>92</v>
      </c>
      <c r="E27" s="69">
        <v>80111600</v>
      </c>
      <c r="F27" s="68" t="s">
        <v>332</v>
      </c>
      <c r="G27" s="70">
        <v>45301</v>
      </c>
      <c r="H27" s="71">
        <v>45306</v>
      </c>
      <c r="I27" s="72">
        <v>10</v>
      </c>
      <c r="J27" s="68" t="s">
        <v>21</v>
      </c>
      <c r="K27" s="68" t="s">
        <v>22</v>
      </c>
      <c r="L27" s="68" t="s">
        <v>23</v>
      </c>
      <c r="M27" s="73">
        <f>61800000-12400000</f>
        <v>49400000</v>
      </c>
      <c r="N27" s="69" t="s">
        <v>94</v>
      </c>
      <c r="O27" s="69" t="s">
        <v>25</v>
      </c>
      <c r="P27" s="69" t="s">
        <v>26</v>
      </c>
    </row>
    <row r="28" spans="1:16" s="19" customFormat="1" ht="84" x14ac:dyDescent="0.35">
      <c r="A28" s="66">
        <v>20240098</v>
      </c>
      <c r="B28" s="66">
        <v>7658</v>
      </c>
      <c r="C28" s="67" t="s">
        <v>82</v>
      </c>
      <c r="D28" s="68" t="s">
        <v>92</v>
      </c>
      <c r="E28" s="69">
        <v>80111600</v>
      </c>
      <c r="F28" s="68" t="s">
        <v>334</v>
      </c>
      <c r="G28" s="70">
        <v>45301</v>
      </c>
      <c r="H28" s="71">
        <v>45306</v>
      </c>
      <c r="I28" s="72">
        <v>6</v>
      </c>
      <c r="J28" s="68" t="s">
        <v>21</v>
      </c>
      <c r="K28" s="68" t="s">
        <v>22</v>
      </c>
      <c r="L28" s="68" t="s">
        <v>23</v>
      </c>
      <c r="M28" s="73">
        <f>54000000-16920000</f>
        <v>37080000</v>
      </c>
      <c r="N28" s="69" t="s">
        <v>94</v>
      </c>
      <c r="O28" s="69" t="s">
        <v>25</v>
      </c>
      <c r="P28" s="69" t="s">
        <v>26</v>
      </c>
    </row>
    <row r="29" spans="1:16" s="19" customFormat="1" ht="84" x14ac:dyDescent="0.35">
      <c r="A29" s="66">
        <v>20240099</v>
      </c>
      <c r="B29" s="66">
        <v>7658</v>
      </c>
      <c r="C29" s="67" t="s">
        <v>82</v>
      </c>
      <c r="D29" s="68" t="s">
        <v>92</v>
      </c>
      <c r="E29" s="69">
        <v>80111600</v>
      </c>
      <c r="F29" s="68" t="s">
        <v>335</v>
      </c>
      <c r="G29" s="70">
        <v>45301</v>
      </c>
      <c r="H29" s="71">
        <v>45306</v>
      </c>
      <c r="I29" s="72">
        <v>10</v>
      </c>
      <c r="J29" s="68" t="s">
        <v>21</v>
      </c>
      <c r="K29" s="68" t="s">
        <v>22</v>
      </c>
      <c r="L29" s="68" t="s">
        <v>23</v>
      </c>
      <c r="M29" s="73">
        <f>76400000-14860000</f>
        <v>61540000</v>
      </c>
      <c r="N29" s="69" t="s">
        <v>94</v>
      </c>
      <c r="O29" s="69" t="s">
        <v>25</v>
      </c>
      <c r="P29" s="69" t="s">
        <v>26</v>
      </c>
    </row>
    <row r="30" spans="1:16" s="19" customFormat="1" ht="84" x14ac:dyDescent="0.35">
      <c r="A30" s="66">
        <v>20240100</v>
      </c>
      <c r="B30" s="66">
        <v>7658</v>
      </c>
      <c r="C30" s="67" t="s">
        <v>82</v>
      </c>
      <c r="D30" s="68" t="s">
        <v>92</v>
      </c>
      <c r="E30" s="69">
        <v>80111600</v>
      </c>
      <c r="F30" s="68" t="s">
        <v>336</v>
      </c>
      <c r="G30" s="70">
        <v>45301</v>
      </c>
      <c r="H30" s="71">
        <v>45306</v>
      </c>
      <c r="I30" s="72">
        <v>10</v>
      </c>
      <c r="J30" s="68" t="s">
        <v>21</v>
      </c>
      <c r="K30" s="68" t="s">
        <v>22</v>
      </c>
      <c r="L30" s="68" t="s">
        <v>23</v>
      </c>
      <c r="M30" s="73">
        <f>75000000-16000000</f>
        <v>59000000</v>
      </c>
      <c r="N30" s="69" t="s">
        <v>94</v>
      </c>
      <c r="O30" s="69" t="s">
        <v>25</v>
      </c>
      <c r="P30" s="69" t="s">
        <v>26</v>
      </c>
    </row>
    <row r="31" spans="1:16" s="19" customFormat="1" ht="84" x14ac:dyDescent="0.35">
      <c r="A31" s="66">
        <v>20240101</v>
      </c>
      <c r="B31" s="66">
        <v>7658</v>
      </c>
      <c r="C31" s="67" t="s">
        <v>82</v>
      </c>
      <c r="D31" s="68" t="s">
        <v>92</v>
      </c>
      <c r="E31" s="69">
        <v>80111600</v>
      </c>
      <c r="F31" s="68" t="s">
        <v>337</v>
      </c>
      <c r="G31" s="70">
        <v>45301</v>
      </c>
      <c r="H31" s="71">
        <v>45306</v>
      </c>
      <c r="I31" s="72">
        <v>9</v>
      </c>
      <c r="J31" s="68" t="s">
        <v>21</v>
      </c>
      <c r="K31" s="68" t="s">
        <v>22</v>
      </c>
      <c r="L31" s="68" t="s">
        <v>23</v>
      </c>
      <c r="M31" s="73">
        <f>55350000-24000000+24000000-12360000</f>
        <v>42990000</v>
      </c>
      <c r="N31" s="69" t="s">
        <v>96</v>
      </c>
      <c r="O31" s="69" t="s">
        <v>25</v>
      </c>
      <c r="P31" s="69" t="s">
        <v>26</v>
      </c>
    </row>
    <row r="32" spans="1:16" s="19" customFormat="1" ht="84" x14ac:dyDescent="0.35">
      <c r="A32" s="66">
        <v>20240102</v>
      </c>
      <c r="B32" s="66">
        <v>7658</v>
      </c>
      <c r="C32" s="67" t="s">
        <v>82</v>
      </c>
      <c r="D32" s="68" t="s">
        <v>92</v>
      </c>
      <c r="E32" s="69">
        <v>80111600</v>
      </c>
      <c r="F32" s="68" t="s">
        <v>338</v>
      </c>
      <c r="G32" s="70">
        <v>45301</v>
      </c>
      <c r="H32" s="71">
        <v>45306</v>
      </c>
      <c r="I32" s="72">
        <v>10</v>
      </c>
      <c r="J32" s="68" t="s">
        <v>21</v>
      </c>
      <c r="K32" s="68" t="s">
        <v>22</v>
      </c>
      <c r="L32" s="68" t="s">
        <v>23</v>
      </c>
      <c r="M32" s="73">
        <f>49500000-9900000</f>
        <v>39600000</v>
      </c>
      <c r="N32" s="69" t="s">
        <v>94</v>
      </c>
      <c r="O32" s="69" t="s">
        <v>25</v>
      </c>
      <c r="P32" s="69" t="s">
        <v>26</v>
      </c>
    </row>
    <row r="33" spans="1:16" s="19" customFormat="1" ht="84" x14ac:dyDescent="0.35">
      <c r="A33" s="66">
        <v>20240104</v>
      </c>
      <c r="B33" s="66">
        <v>7658</v>
      </c>
      <c r="C33" s="67" t="s">
        <v>82</v>
      </c>
      <c r="D33" s="68" t="s">
        <v>92</v>
      </c>
      <c r="E33" s="69">
        <v>80111600</v>
      </c>
      <c r="F33" s="68" t="s">
        <v>478</v>
      </c>
      <c r="G33" s="70">
        <v>45301</v>
      </c>
      <c r="H33" s="71">
        <v>45306</v>
      </c>
      <c r="I33" s="72">
        <v>6</v>
      </c>
      <c r="J33" s="68" t="s">
        <v>21</v>
      </c>
      <c r="K33" s="68" t="s">
        <v>22</v>
      </c>
      <c r="L33" s="68" t="s">
        <v>23</v>
      </c>
      <c r="M33" s="73">
        <f>33000000-22000000+22000000-11000000</f>
        <v>22000000</v>
      </c>
      <c r="N33" s="69" t="s">
        <v>94</v>
      </c>
      <c r="O33" s="69" t="s">
        <v>25</v>
      </c>
      <c r="P33" s="69" t="s">
        <v>26</v>
      </c>
    </row>
    <row r="34" spans="1:16" s="19" customFormat="1" ht="84" x14ac:dyDescent="0.35">
      <c r="A34" s="66">
        <v>20240106</v>
      </c>
      <c r="B34" s="66">
        <v>7658</v>
      </c>
      <c r="C34" s="67" t="s">
        <v>82</v>
      </c>
      <c r="D34" s="68" t="s">
        <v>92</v>
      </c>
      <c r="E34" s="69">
        <v>80111600</v>
      </c>
      <c r="F34" s="68" t="s">
        <v>412</v>
      </c>
      <c r="G34" s="70">
        <v>45301</v>
      </c>
      <c r="H34" s="71">
        <v>45306</v>
      </c>
      <c r="I34" s="72">
        <v>10</v>
      </c>
      <c r="J34" s="68" t="s">
        <v>21</v>
      </c>
      <c r="K34" s="68" t="s">
        <v>22</v>
      </c>
      <c r="L34" s="68" t="s">
        <v>23</v>
      </c>
      <c r="M34" s="73">
        <f>37800000-7400000</f>
        <v>30400000</v>
      </c>
      <c r="N34" s="69" t="s">
        <v>96</v>
      </c>
      <c r="O34" s="69" t="s">
        <v>25</v>
      </c>
      <c r="P34" s="69" t="s">
        <v>26</v>
      </c>
    </row>
    <row r="35" spans="1:16" s="19" customFormat="1" ht="84" x14ac:dyDescent="0.35">
      <c r="A35" s="66">
        <v>20240107</v>
      </c>
      <c r="B35" s="66">
        <v>7658</v>
      </c>
      <c r="C35" s="67" t="s">
        <v>82</v>
      </c>
      <c r="D35" s="68" t="s">
        <v>92</v>
      </c>
      <c r="E35" s="69">
        <v>80111600</v>
      </c>
      <c r="F35" s="68" t="s">
        <v>339</v>
      </c>
      <c r="G35" s="70">
        <v>45301</v>
      </c>
      <c r="H35" s="71">
        <v>45306</v>
      </c>
      <c r="I35" s="72">
        <v>10</v>
      </c>
      <c r="J35" s="68" t="s">
        <v>21</v>
      </c>
      <c r="K35" s="68" t="s">
        <v>22</v>
      </c>
      <c r="L35" s="68" t="s">
        <v>23</v>
      </c>
      <c r="M35" s="73">
        <f>28000000-5600000</f>
        <v>22400000</v>
      </c>
      <c r="N35" s="69" t="s">
        <v>96</v>
      </c>
      <c r="O35" s="69" t="s">
        <v>25</v>
      </c>
      <c r="P35" s="69" t="s">
        <v>26</v>
      </c>
    </row>
    <row r="36" spans="1:16" s="19" customFormat="1" ht="71.150000000000006" customHeight="1" x14ac:dyDescent="0.35">
      <c r="A36" s="66">
        <v>20240108</v>
      </c>
      <c r="B36" s="66">
        <v>7658</v>
      </c>
      <c r="C36" s="67" t="s">
        <v>82</v>
      </c>
      <c r="D36" s="68" t="s">
        <v>92</v>
      </c>
      <c r="E36" s="69">
        <v>80111600</v>
      </c>
      <c r="F36" s="68" t="s">
        <v>340</v>
      </c>
      <c r="G36" s="70">
        <v>45301</v>
      </c>
      <c r="H36" s="71">
        <v>45306</v>
      </c>
      <c r="I36" s="72">
        <v>10</v>
      </c>
      <c r="J36" s="68" t="s">
        <v>21</v>
      </c>
      <c r="K36" s="68" t="s">
        <v>22</v>
      </c>
      <c r="L36" s="68" t="s">
        <v>23</v>
      </c>
      <c r="M36" s="73">
        <f>32000000-4830000</f>
        <v>27170000</v>
      </c>
      <c r="N36" s="69" t="s">
        <v>96</v>
      </c>
      <c r="O36" s="69" t="s">
        <v>25</v>
      </c>
      <c r="P36" s="69" t="s">
        <v>26</v>
      </c>
    </row>
    <row r="37" spans="1:16" s="19" customFormat="1" ht="84" x14ac:dyDescent="0.35">
      <c r="A37" s="66">
        <v>20240109</v>
      </c>
      <c r="B37" s="66">
        <v>7658</v>
      </c>
      <c r="C37" s="67" t="s">
        <v>82</v>
      </c>
      <c r="D37" s="68" t="s">
        <v>92</v>
      </c>
      <c r="E37" s="69">
        <v>80111600</v>
      </c>
      <c r="F37" s="68" t="s">
        <v>341</v>
      </c>
      <c r="G37" s="70">
        <v>45301</v>
      </c>
      <c r="H37" s="71">
        <v>45306</v>
      </c>
      <c r="I37" s="72">
        <v>7</v>
      </c>
      <c r="J37" s="68" t="s">
        <v>21</v>
      </c>
      <c r="K37" s="68" t="s">
        <v>22</v>
      </c>
      <c r="L37" s="68" t="s">
        <v>23</v>
      </c>
      <c r="M37" s="73">
        <f>42000000-18000000+18000000-12000000</f>
        <v>30000000</v>
      </c>
      <c r="N37" s="69" t="s">
        <v>96</v>
      </c>
      <c r="O37" s="69" t="s">
        <v>25</v>
      </c>
      <c r="P37" s="69" t="s">
        <v>26</v>
      </c>
    </row>
    <row r="38" spans="1:16" s="19" customFormat="1" ht="84" x14ac:dyDescent="0.35">
      <c r="A38" s="66">
        <v>20240110</v>
      </c>
      <c r="B38" s="66">
        <v>7658</v>
      </c>
      <c r="C38" s="67" t="s">
        <v>82</v>
      </c>
      <c r="D38" s="68" t="s">
        <v>92</v>
      </c>
      <c r="E38" s="69">
        <v>80111600</v>
      </c>
      <c r="F38" s="68" t="s">
        <v>342</v>
      </c>
      <c r="G38" s="70">
        <v>45301</v>
      </c>
      <c r="H38" s="71">
        <v>45306</v>
      </c>
      <c r="I38" s="72">
        <v>10</v>
      </c>
      <c r="J38" s="68" t="s">
        <v>21</v>
      </c>
      <c r="K38" s="68" t="s">
        <v>22</v>
      </c>
      <c r="L38" s="68" t="s">
        <v>23</v>
      </c>
      <c r="M38" s="73">
        <f>32000000-6220000</f>
        <v>25780000</v>
      </c>
      <c r="N38" s="69" t="s">
        <v>96</v>
      </c>
      <c r="O38" s="69" t="s">
        <v>25</v>
      </c>
      <c r="P38" s="69" t="s">
        <v>26</v>
      </c>
    </row>
    <row r="39" spans="1:16" s="19" customFormat="1" ht="84" x14ac:dyDescent="0.35">
      <c r="A39" s="66">
        <v>20240111</v>
      </c>
      <c r="B39" s="66">
        <v>7658</v>
      </c>
      <c r="C39" s="67" t="s">
        <v>82</v>
      </c>
      <c r="D39" s="68" t="s">
        <v>92</v>
      </c>
      <c r="E39" s="69">
        <v>80111600</v>
      </c>
      <c r="F39" s="68" t="s">
        <v>343</v>
      </c>
      <c r="G39" s="70">
        <v>45301</v>
      </c>
      <c r="H39" s="71">
        <v>45306</v>
      </c>
      <c r="I39" s="72">
        <v>9</v>
      </c>
      <c r="J39" s="68" t="s">
        <v>21</v>
      </c>
      <c r="K39" s="68" t="s">
        <v>22</v>
      </c>
      <c r="L39" s="68" t="s">
        <v>23</v>
      </c>
      <c r="M39" s="73">
        <f>46350000-10000000</f>
        <v>36350000</v>
      </c>
      <c r="N39" s="69" t="s">
        <v>96</v>
      </c>
      <c r="O39" s="69" t="s">
        <v>25</v>
      </c>
      <c r="P39" s="69" t="s">
        <v>26</v>
      </c>
    </row>
    <row r="40" spans="1:16" s="19" customFormat="1" ht="84" x14ac:dyDescent="0.35">
      <c r="A40" s="66">
        <v>20240112</v>
      </c>
      <c r="B40" s="66">
        <v>7658</v>
      </c>
      <c r="C40" s="67" t="s">
        <v>82</v>
      </c>
      <c r="D40" s="68" t="s">
        <v>92</v>
      </c>
      <c r="E40" s="69">
        <v>80111600</v>
      </c>
      <c r="F40" s="68" t="s">
        <v>344</v>
      </c>
      <c r="G40" s="70">
        <v>45301</v>
      </c>
      <c r="H40" s="71">
        <v>45306</v>
      </c>
      <c r="I40" s="72">
        <v>10</v>
      </c>
      <c r="J40" s="68" t="s">
        <v>21</v>
      </c>
      <c r="K40" s="68" t="s">
        <v>22</v>
      </c>
      <c r="L40" s="68" t="s">
        <v>23</v>
      </c>
      <c r="M40" s="73">
        <f>42200000-8240000</f>
        <v>33960000</v>
      </c>
      <c r="N40" s="69" t="s">
        <v>96</v>
      </c>
      <c r="O40" s="69" t="s">
        <v>25</v>
      </c>
      <c r="P40" s="69" t="s">
        <v>26</v>
      </c>
    </row>
    <row r="41" spans="1:16" s="19" customFormat="1" ht="84" x14ac:dyDescent="0.35">
      <c r="A41" s="66">
        <v>20240113</v>
      </c>
      <c r="B41" s="66">
        <v>7658</v>
      </c>
      <c r="C41" s="67" t="s">
        <v>82</v>
      </c>
      <c r="D41" s="68" t="s">
        <v>92</v>
      </c>
      <c r="E41" s="69">
        <v>80111600</v>
      </c>
      <c r="F41" s="68" t="s">
        <v>345</v>
      </c>
      <c r="G41" s="70">
        <v>45301</v>
      </c>
      <c r="H41" s="71">
        <v>45306</v>
      </c>
      <c r="I41" s="72">
        <v>10</v>
      </c>
      <c r="J41" s="68" t="s">
        <v>21</v>
      </c>
      <c r="K41" s="68" t="s">
        <v>22</v>
      </c>
      <c r="L41" s="68" t="s">
        <v>23</v>
      </c>
      <c r="M41" s="73">
        <f>31673600-12669440-3100000</f>
        <v>15904160</v>
      </c>
      <c r="N41" s="69" t="s">
        <v>96</v>
      </c>
      <c r="O41" s="69" t="s">
        <v>25</v>
      </c>
      <c r="P41" s="69" t="s">
        <v>26</v>
      </c>
    </row>
    <row r="42" spans="1:16" s="19" customFormat="1" ht="84" x14ac:dyDescent="0.35">
      <c r="A42" s="66">
        <v>20240114</v>
      </c>
      <c r="B42" s="66">
        <v>7658</v>
      </c>
      <c r="C42" s="67" t="s">
        <v>82</v>
      </c>
      <c r="D42" s="68" t="s">
        <v>92</v>
      </c>
      <c r="E42" s="69">
        <v>80111600</v>
      </c>
      <c r="F42" s="68" t="s">
        <v>346</v>
      </c>
      <c r="G42" s="70">
        <v>45301</v>
      </c>
      <c r="H42" s="71">
        <v>45306</v>
      </c>
      <c r="I42" s="72">
        <v>9</v>
      </c>
      <c r="J42" s="68" t="s">
        <v>21</v>
      </c>
      <c r="K42" s="68" t="s">
        <v>22</v>
      </c>
      <c r="L42" s="68" t="s">
        <v>23</v>
      </c>
      <c r="M42" s="73">
        <f>66600000-15200000</f>
        <v>51400000</v>
      </c>
      <c r="N42" s="69" t="s">
        <v>96</v>
      </c>
      <c r="O42" s="69" t="s">
        <v>25</v>
      </c>
      <c r="P42" s="69" t="s">
        <v>26</v>
      </c>
    </row>
    <row r="43" spans="1:16" s="19" customFormat="1" ht="84" x14ac:dyDescent="0.35">
      <c r="A43" s="66">
        <v>20240115</v>
      </c>
      <c r="B43" s="66">
        <v>7658</v>
      </c>
      <c r="C43" s="67" t="s">
        <v>82</v>
      </c>
      <c r="D43" s="68" t="s">
        <v>92</v>
      </c>
      <c r="E43" s="69">
        <v>80111600</v>
      </c>
      <c r="F43" s="68" t="s">
        <v>480</v>
      </c>
      <c r="G43" s="70">
        <v>45301</v>
      </c>
      <c r="H43" s="71">
        <v>45306</v>
      </c>
      <c r="I43" s="72">
        <v>10</v>
      </c>
      <c r="J43" s="68" t="s">
        <v>21</v>
      </c>
      <c r="K43" s="68" t="s">
        <v>22</v>
      </c>
      <c r="L43" s="68" t="s">
        <v>23</v>
      </c>
      <c r="M43" s="73">
        <f>40000000-7600000</f>
        <v>32400000</v>
      </c>
      <c r="N43" s="69" t="s">
        <v>96</v>
      </c>
      <c r="O43" s="69" t="s">
        <v>25</v>
      </c>
      <c r="P43" s="69" t="s">
        <v>26</v>
      </c>
    </row>
    <row r="44" spans="1:16" s="19" customFormat="1" ht="84" x14ac:dyDescent="0.35">
      <c r="A44" s="66">
        <v>20240116</v>
      </c>
      <c r="B44" s="66">
        <v>7658</v>
      </c>
      <c r="C44" s="67" t="s">
        <v>82</v>
      </c>
      <c r="D44" s="68" t="s">
        <v>92</v>
      </c>
      <c r="E44" s="69">
        <v>80111600</v>
      </c>
      <c r="F44" s="68" t="s">
        <v>413</v>
      </c>
      <c r="G44" s="70">
        <v>45301</v>
      </c>
      <c r="H44" s="71">
        <v>45306</v>
      </c>
      <c r="I44" s="72">
        <v>10</v>
      </c>
      <c r="J44" s="68" t="s">
        <v>21</v>
      </c>
      <c r="K44" s="68" t="s">
        <v>22</v>
      </c>
      <c r="L44" s="68" t="s">
        <v>23</v>
      </c>
      <c r="M44" s="73">
        <f>42200000-8440000</f>
        <v>33760000</v>
      </c>
      <c r="N44" s="69" t="s">
        <v>94</v>
      </c>
      <c r="O44" s="69" t="s">
        <v>25</v>
      </c>
      <c r="P44" s="69" t="s">
        <v>26</v>
      </c>
    </row>
    <row r="45" spans="1:16" s="19" customFormat="1" ht="84" x14ac:dyDescent="0.35">
      <c r="A45" s="66">
        <v>20240117</v>
      </c>
      <c r="B45" s="66">
        <v>7658</v>
      </c>
      <c r="C45" s="67" t="s">
        <v>82</v>
      </c>
      <c r="D45" s="68" t="s">
        <v>92</v>
      </c>
      <c r="E45" s="69">
        <v>80111600</v>
      </c>
      <c r="F45" s="68" t="s">
        <v>347</v>
      </c>
      <c r="G45" s="70">
        <v>45301</v>
      </c>
      <c r="H45" s="71">
        <v>45306</v>
      </c>
      <c r="I45" s="72">
        <v>10</v>
      </c>
      <c r="J45" s="68" t="s">
        <v>21</v>
      </c>
      <c r="K45" s="68" t="s">
        <v>22</v>
      </c>
      <c r="L45" s="68" t="s">
        <v>23</v>
      </c>
      <c r="M45" s="73">
        <f>46300000-9260000</f>
        <v>37040000</v>
      </c>
      <c r="N45" s="69" t="s">
        <v>96</v>
      </c>
      <c r="O45" s="69" t="s">
        <v>25</v>
      </c>
      <c r="P45" s="69" t="s">
        <v>26</v>
      </c>
    </row>
    <row r="46" spans="1:16" s="19" customFormat="1" ht="84" x14ac:dyDescent="0.35">
      <c r="A46" s="66">
        <v>20240118</v>
      </c>
      <c r="B46" s="66">
        <v>7658</v>
      </c>
      <c r="C46" s="67" t="s">
        <v>82</v>
      </c>
      <c r="D46" s="68" t="s">
        <v>92</v>
      </c>
      <c r="E46" s="69">
        <v>80111600</v>
      </c>
      <c r="F46" s="68" t="s">
        <v>348</v>
      </c>
      <c r="G46" s="70">
        <v>45301</v>
      </c>
      <c r="H46" s="71">
        <v>45306</v>
      </c>
      <c r="I46" s="72">
        <v>10</v>
      </c>
      <c r="J46" s="68" t="s">
        <v>21</v>
      </c>
      <c r="K46" s="68" t="s">
        <v>22</v>
      </c>
      <c r="L46" s="68" t="s">
        <v>23</v>
      </c>
      <c r="M46" s="73">
        <f>61800000-12360000</f>
        <v>49440000</v>
      </c>
      <c r="N46" s="69" t="s">
        <v>96</v>
      </c>
      <c r="O46" s="69" t="s">
        <v>25</v>
      </c>
      <c r="P46" s="69" t="s">
        <v>26</v>
      </c>
    </row>
    <row r="47" spans="1:16" s="19" customFormat="1" ht="84" x14ac:dyDescent="0.35">
      <c r="A47" s="66">
        <v>20240119</v>
      </c>
      <c r="B47" s="66">
        <v>7658</v>
      </c>
      <c r="C47" s="67" t="s">
        <v>82</v>
      </c>
      <c r="D47" s="68" t="s">
        <v>92</v>
      </c>
      <c r="E47" s="69">
        <v>80111600</v>
      </c>
      <c r="F47" s="68" t="s">
        <v>349</v>
      </c>
      <c r="G47" s="70">
        <v>45301</v>
      </c>
      <c r="H47" s="71">
        <v>45306</v>
      </c>
      <c r="I47" s="72">
        <v>10</v>
      </c>
      <c r="J47" s="68" t="s">
        <v>21</v>
      </c>
      <c r="K47" s="68" t="s">
        <v>22</v>
      </c>
      <c r="L47" s="68" t="s">
        <v>23</v>
      </c>
      <c r="M47" s="73">
        <f>32000000-6600000</f>
        <v>25400000</v>
      </c>
      <c r="N47" s="69" t="s">
        <v>96</v>
      </c>
      <c r="O47" s="69" t="s">
        <v>25</v>
      </c>
      <c r="P47" s="69" t="s">
        <v>26</v>
      </c>
    </row>
    <row r="48" spans="1:16" s="19" customFormat="1" ht="84" x14ac:dyDescent="0.35">
      <c r="A48" s="66">
        <v>20240122</v>
      </c>
      <c r="B48" s="66">
        <v>7658</v>
      </c>
      <c r="C48" s="67" t="s">
        <v>82</v>
      </c>
      <c r="D48" s="68" t="s">
        <v>92</v>
      </c>
      <c r="E48" s="69">
        <v>80111600</v>
      </c>
      <c r="F48" s="68" t="s">
        <v>479</v>
      </c>
      <c r="G48" s="70">
        <v>45301</v>
      </c>
      <c r="H48" s="71">
        <v>45306</v>
      </c>
      <c r="I48" s="72">
        <v>9</v>
      </c>
      <c r="J48" s="68" t="s">
        <v>21</v>
      </c>
      <c r="K48" s="68" t="s">
        <v>22</v>
      </c>
      <c r="L48" s="68" t="s">
        <v>23</v>
      </c>
      <c r="M48" s="73">
        <f>34200000-18200000</f>
        <v>16000000</v>
      </c>
      <c r="N48" s="69" t="s">
        <v>96</v>
      </c>
      <c r="O48" s="69" t="s">
        <v>25</v>
      </c>
      <c r="P48" s="69" t="s">
        <v>26</v>
      </c>
    </row>
    <row r="49" spans="1:16" s="19" customFormat="1" ht="84" x14ac:dyDescent="0.35">
      <c r="A49" s="66">
        <v>20240124</v>
      </c>
      <c r="B49" s="66">
        <v>7658</v>
      </c>
      <c r="C49" s="67" t="s">
        <v>82</v>
      </c>
      <c r="D49" s="68" t="s">
        <v>92</v>
      </c>
      <c r="E49" s="69">
        <v>80111600</v>
      </c>
      <c r="F49" s="68" t="s">
        <v>415</v>
      </c>
      <c r="G49" s="70">
        <v>45301</v>
      </c>
      <c r="H49" s="71">
        <v>45306</v>
      </c>
      <c r="I49" s="72">
        <v>4</v>
      </c>
      <c r="J49" s="68" t="s">
        <v>21</v>
      </c>
      <c r="K49" s="68" t="s">
        <v>22</v>
      </c>
      <c r="L49" s="68" t="s">
        <v>23</v>
      </c>
      <c r="M49" s="73">
        <f>12400000-3100000</f>
        <v>9300000</v>
      </c>
      <c r="N49" s="69" t="s">
        <v>96</v>
      </c>
      <c r="O49" s="69" t="s">
        <v>25</v>
      </c>
      <c r="P49" s="69" t="s">
        <v>26</v>
      </c>
    </row>
    <row r="50" spans="1:16" s="19" customFormat="1" ht="70" x14ac:dyDescent="0.35">
      <c r="A50" s="66">
        <v>20240185</v>
      </c>
      <c r="B50" s="66">
        <v>7655</v>
      </c>
      <c r="C50" s="67" t="s">
        <v>18</v>
      </c>
      <c r="D50" s="68" t="s">
        <v>222</v>
      </c>
      <c r="E50" s="69">
        <v>80111600</v>
      </c>
      <c r="F50" s="68" t="s">
        <v>226</v>
      </c>
      <c r="G50" s="70">
        <v>45306</v>
      </c>
      <c r="H50" s="71">
        <v>45323</v>
      </c>
      <c r="I50" s="72">
        <v>11</v>
      </c>
      <c r="J50" s="68" t="s">
        <v>21</v>
      </c>
      <c r="K50" s="68" t="s">
        <v>22</v>
      </c>
      <c r="L50" s="68" t="s">
        <v>23</v>
      </c>
      <c r="M50" s="73">
        <f>77000000+8500000+275000+8000000+7000000-3500000-9600000-3800000-6000000-5000000-5000000-5000000-2000000-5000000-3350000-24000000</f>
        <v>28525000</v>
      </c>
      <c r="N50" s="69" t="s">
        <v>24</v>
      </c>
      <c r="O50" s="69" t="s">
        <v>80</v>
      </c>
      <c r="P50" s="69" t="s">
        <v>26</v>
      </c>
    </row>
    <row r="51" spans="1:16" s="19" customFormat="1" ht="56" x14ac:dyDescent="0.35">
      <c r="A51" s="66">
        <v>20240198</v>
      </c>
      <c r="B51" s="66">
        <v>7655</v>
      </c>
      <c r="C51" s="67" t="s">
        <v>18</v>
      </c>
      <c r="D51" s="68" t="s">
        <v>106</v>
      </c>
      <c r="E51" s="69">
        <v>80111600</v>
      </c>
      <c r="F51" s="68" t="s">
        <v>109</v>
      </c>
      <c r="G51" s="70">
        <v>45306</v>
      </c>
      <c r="H51" s="71">
        <v>45311</v>
      </c>
      <c r="I51" s="72">
        <v>11</v>
      </c>
      <c r="J51" s="68" t="s">
        <v>21</v>
      </c>
      <c r="K51" s="68" t="s">
        <v>22</v>
      </c>
      <c r="L51" s="68" t="s">
        <v>29</v>
      </c>
      <c r="M51" s="73">
        <f>74575000+11775000-14000000</f>
        <v>72350000</v>
      </c>
      <c r="N51" s="69" t="s">
        <v>24</v>
      </c>
      <c r="O51" s="69" t="s">
        <v>80</v>
      </c>
      <c r="P51" s="69" t="s">
        <v>26</v>
      </c>
    </row>
    <row r="52" spans="1:16" s="19" customFormat="1" ht="56" x14ac:dyDescent="0.35">
      <c r="A52" s="66">
        <v>20240202</v>
      </c>
      <c r="B52" s="66">
        <v>7655</v>
      </c>
      <c r="C52" s="67" t="s">
        <v>18</v>
      </c>
      <c r="D52" s="68" t="s">
        <v>106</v>
      </c>
      <c r="E52" s="69">
        <v>80111600</v>
      </c>
      <c r="F52" s="68" t="s">
        <v>518</v>
      </c>
      <c r="G52" s="70">
        <v>45306</v>
      </c>
      <c r="H52" s="71">
        <v>45306</v>
      </c>
      <c r="I52" s="87">
        <v>9.5</v>
      </c>
      <c r="J52" s="68" t="s">
        <v>21</v>
      </c>
      <c r="K52" s="68" t="s">
        <v>22</v>
      </c>
      <c r="L52" s="68" t="s">
        <v>29</v>
      </c>
      <c r="M52" s="73">
        <f>35625000+2375000-11400000</f>
        <v>26600000</v>
      </c>
      <c r="N52" s="69" t="s">
        <v>24</v>
      </c>
      <c r="O52" s="69" t="s">
        <v>80</v>
      </c>
      <c r="P52" s="69" t="s">
        <v>26</v>
      </c>
    </row>
    <row r="53" spans="1:16" s="19" customFormat="1" ht="56" x14ac:dyDescent="0.35">
      <c r="A53" s="66">
        <v>20240204</v>
      </c>
      <c r="B53" s="66">
        <v>7655</v>
      </c>
      <c r="C53" s="67" t="s">
        <v>18</v>
      </c>
      <c r="D53" s="68" t="s">
        <v>106</v>
      </c>
      <c r="E53" s="69">
        <v>80111600</v>
      </c>
      <c r="F53" s="68" t="s">
        <v>115</v>
      </c>
      <c r="G53" s="70">
        <v>45306</v>
      </c>
      <c r="H53" s="71">
        <v>45306</v>
      </c>
      <c r="I53" s="87">
        <v>10.5</v>
      </c>
      <c r="J53" s="68" t="s">
        <v>21</v>
      </c>
      <c r="K53" s="68" t="s">
        <v>22</v>
      </c>
      <c r="L53" s="68" t="s">
        <v>23</v>
      </c>
      <c r="M53" s="73">
        <f>29450000+3100000-9300000</f>
        <v>23250000</v>
      </c>
      <c r="N53" s="69" t="s">
        <v>24</v>
      </c>
      <c r="O53" s="69" t="s">
        <v>80</v>
      </c>
      <c r="P53" s="69" t="s">
        <v>26</v>
      </c>
    </row>
    <row r="54" spans="1:16" s="19" customFormat="1" ht="56" x14ac:dyDescent="0.35">
      <c r="A54" s="66">
        <v>20240215</v>
      </c>
      <c r="B54" s="66">
        <v>7655</v>
      </c>
      <c r="C54" s="67" t="s">
        <v>18</v>
      </c>
      <c r="D54" s="68" t="s">
        <v>19</v>
      </c>
      <c r="E54" s="69">
        <v>80111600</v>
      </c>
      <c r="F54" s="68" t="s">
        <v>79</v>
      </c>
      <c r="G54" s="70">
        <v>45306</v>
      </c>
      <c r="H54" s="71">
        <v>45311</v>
      </c>
      <c r="I54" s="72">
        <v>4</v>
      </c>
      <c r="J54" s="68" t="s">
        <v>21</v>
      </c>
      <c r="K54" s="68" t="s">
        <v>22</v>
      </c>
      <c r="L54" s="68" t="s">
        <v>23</v>
      </c>
      <c r="M54" s="73">
        <f>27714400-5542880-11085760</f>
        <v>11085760</v>
      </c>
      <c r="N54" s="69" t="s">
        <v>24</v>
      </c>
      <c r="O54" s="69" t="s">
        <v>80</v>
      </c>
      <c r="P54" s="69" t="s">
        <v>26</v>
      </c>
    </row>
    <row r="55" spans="1:16" s="19" customFormat="1" ht="56" x14ac:dyDescent="0.35">
      <c r="A55" s="66">
        <v>20240216</v>
      </c>
      <c r="B55" s="66">
        <v>7655</v>
      </c>
      <c r="C55" s="67" t="s">
        <v>18</v>
      </c>
      <c r="D55" s="68" t="s">
        <v>19</v>
      </c>
      <c r="E55" s="69">
        <v>80111600</v>
      </c>
      <c r="F55" s="68" t="s">
        <v>535</v>
      </c>
      <c r="G55" s="70">
        <v>45306</v>
      </c>
      <c r="H55" s="71">
        <v>45311</v>
      </c>
      <c r="I55" s="72">
        <v>10</v>
      </c>
      <c r="J55" s="68" t="s">
        <v>21</v>
      </c>
      <c r="K55" s="68" t="s">
        <v>22</v>
      </c>
      <c r="L55" s="68" t="s">
        <v>23</v>
      </c>
      <c r="M55" s="73">
        <f>43551200-5542880</f>
        <v>38008320</v>
      </c>
      <c r="N55" s="69" t="s">
        <v>24</v>
      </c>
      <c r="O55" s="69" t="s">
        <v>80</v>
      </c>
      <c r="P55" s="69" t="s">
        <v>26</v>
      </c>
    </row>
    <row r="56" spans="1:16" s="19" customFormat="1" ht="56" x14ac:dyDescent="0.35">
      <c r="A56" s="66">
        <v>20240233</v>
      </c>
      <c r="B56" s="66">
        <v>7655</v>
      </c>
      <c r="C56" s="67" t="s">
        <v>18</v>
      </c>
      <c r="D56" s="68" t="s">
        <v>19</v>
      </c>
      <c r="E56" s="69">
        <v>80111600</v>
      </c>
      <c r="F56" s="68" t="s">
        <v>71</v>
      </c>
      <c r="G56" s="70">
        <v>45306</v>
      </c>
      <c r="H56" s="71">
        <v>45311</v>
      </c>
      <c r="I56" s="72">
        <v>10</v>
      </c>
      <c r="J56" s="68" t="s">
        <v>21</v>
      </c>
      <c r="K56" s="68" t="s">
        <v>22</v>
      </c>
      <c r="L56" s="68" t="s">
        <v>23</v>
      </c>
      <c r="M56" s="73">
        <f>32239200-7000000</f>
        <v>25239200</v>
      </c>
      <c r="N56" s="69" t="s">
        <v>24</v>
      </c>
      <c r="O56" s="69" t="s">
        <v>80</v>
      </c>
      <c r="P56" s="69" t="s">
        <v>26</v>
      </c>
    </row>
    <row r="57" spans="1:16" s="19" customFormat="1" ht="56" x14ac:dyDescent="0.35">
      <c r="A57" s="66">
        <v>20240237</v>
      </c>
      <c r="B57" s="66">
        <v>7655</v>
      </c>
      <c r="C57" s="67" t="s">
        <v>18</v>
      </c>
      <c r="D57" s="68" t="s">
        <v>19</v>
      </c>
      <c r="E57" s="69">
        <v>80111600</v>
      </c>
      <c r="F57" s="68" t="s">
        <v>69</v>
      </c>
      <c r="G57" s="70">
        <v>45306</v>
      </c>
      <c r="H57" s="71">
        <v>45311</v>
      </c>
      <c r="I57" s="72">
        <v>8</v>
      </c>
      <c r="J57" s="68" t="s">
        <v>21</v>
      </c>
      <c r="K57" s="68" t="s">
        <v>22</v>
      </c>
      <c r="L57" s="68" t="s">
        <v>23</v>
      </c>
      <c r="M57" s="73">
        <f>22171520-5542880</f>
        <v>16628640</v>
      </c>
      <c r="N57" s="69" t="s">
        <v>24</v>
      </c>
      <c r="O57" s="69" t="s">
        <v>80</v>
      </c>
      <c r="P57" s="69" t="s">
        <v>26</v>
      </c>
    </row>
    <row r="58" spans="1:16" s="19" customFormat="1" ht="70" x14ac:dyDescent="0.35">
      <c r="A58" s="66">
        <v>20240247</v>
      </c>
      <c r="B58" s="66">
        <v>7655</v>
      </c>
      <c r="C58" s="67" t="s">
        <v>18</v>
      </c>
      <c r="D58" s="68" t="s">
        <v>19</v>
      </c>
      <c r="E58" s="69">
        <v>80111600</v>
      </c>
      <c r="F58" s="68" t="s">
        <v>77</v>
      </c>
      <c r="G58" s="70">
        <v>45306</v>
      </c>
      <c r="H58" s="71">
        <v>45311</v>
      </c>
      <c r="I58" s="72">
        <v>10</v>
      </c>
      <c r="J58" s="68" t="s">
        <v>21</v>
      </c>
      <c r="K58" s="68" t="s">
        <v>22</v>
      </c>
      <c r="L58" s="68" t="s">
        <v>23</v>
      </c>
      <c r="M58" s="73">
        <f>43351200-8670240</f>
        <v>34680960</v>
      </c>
      <c r="N58" s="69" t="s">
        <v>24</v>
      </c>
      <c r="O58" s="69" t="s">
        <v>80</v>
      </c>
      <c r="P58" s="69" t="s">
        <v>26</v>
      </c>
    </row>
    <row r="59" spans="1:16" s="19" customFormat="1" ht="84" x14ac:dyDescent="0.35">
      <c r="A59" s="66">
        <v>20240262</v>
      </c>
      <c r="B59" s="66">
        <v>7658</v>
      </c>
      <c r="C59" s="67" t="s">
        <v>82</v>
      </c>
      <c r="D59" s="68" t="s">
        <v>19</v>
      </c>
      <c r="E59" s="69">
        <v>80111600</v>
      </c>
      <c r="F59" s="68" t="s">
        <v>60</v>
      </c>
      <c r="G59" s="70">
        <v>45306</v>
      </c>
      <c r="H59" s="71">
        <v>45311</v>
      </c>
      <c r="I59" s="72">
        <v>10</v>
      </c>
      <c r="J59" s="68" t="s">
        <v>21</v>
      </c>
      <c r="K59" s="68" t="s">
        <v>22</v>
      </c>
      <c r="L59" s="68" t="s">
        <v>23</v>
      </c>
      <c r="M59" s="73">
        <f>76921600-15384320</f>
        <v>61537280</v>
      </c>
      <c r="N59" s="69" t="s">
        <v>38</v>
      </c>
      <c r="O59" s="69" t="s">
        <v>25</v>
      </c>
      <c r="P59" s="69" t="s">
        <v>26</v>
      </c>
    </row>
    <row r="60" spans="1:16" s="19" customFormat="1" ht="84" x14ac:dyDescent="0.35">
      <c r="A60" s="66">
        <v>20240263</v>
      </c>
      <c r="B60" s="66">
        <v>7658</v>
      </c>
      <c r="C60" s="67" t="s">
        <v>82</v>
      </c>
      <c r="D60" s="68" t="s">
        <v>19</v>
      </c>
      <c r="E60" s="69">
        <v>80111600</v>
      </c>
      <c r="F60" s="68" t="s">
        <v>60</v>
      </c>
      <c r="G60" s="70">
        <v>45306</v>
      </c>
      <c r="H60" s="71">
        <v>45311</v>
      </c>
      <c r="I60" s="72">
        <v>10</v>
      </c>
      <c r="J60" s="68" t="s">
        <v>21</v>
      </c>
      <c r="K60" s="68" t="s">
        <v>22</v>
      </c>
      <c r="L60" s="68" t="s">
        <v>23</v>
      </c>
      <c r="M60" s="73">
        <f>82577600-16515520</f>
        <v>66062080</v>
      </c>
      <c r="N60" s="69" t="s">
        <v>38</v>
      </c>
      <c r="O60" s="69" t="s">
        <v>25</v>
      </c>
      <c r="P60" s="69" t="s">
        <v>26</v>
      </c>
    </row>
    <row r="61" spans="1:16" s="19" customFormat="1" ht="70" customHeight="1" x14ac:dyDescent="0.35">
      <c r="A61" s="66">
        <v>20240264</v>
      </c>
      <c r="B61" s="66">
        <v>7658</v>
      </c>
      <c r="C61" s="67" t="s">
        <v>82</v>
      </c>
      <c r="D61" s="68" t="s">
        <v>19</v>
      </c>
      <c r="E61" s="69">
        <v>80111600</v>
      </c>
      <c r="F61" s="68" t="s">
        <v>60</v>
      </c>
      <c r="G61" s="70">
        <v>45306</v>
      </c>
      <c r="H61" s="71">
        <v>45311</v>
      </c>
      <c r="I61" s="72">
        <v>10</v>
      </c>
      <c r="J61" s="68" t="s">
        <v>21</v>
      </c>
      <c r="K61" s="68" t="s">
        <v>22</v>
      </c>
      <c r="L61" s="68" t="s">
        <v>23</v>
      </c>
      <c r="M61" s="73">
        <f>76921600-15384320</f>
        <v>61537280</v>
      </c>
      <c r="N61" s="69" t="s">
        <v>38</v>
      </c>
      <c r="O61" s="69" t="s">
        <v>25</v>
      </c>
      <c r="P61" s="69" t="s">
        <v>26</v>
      </c>
    </row>
    <row r="62" spans="1:16" s="19" customFormat="1" ht="56" customHeight="1" x14ac:dyDescent="0.35">
      <c r="A62" s="66">
        <v>20240266</v>
      </c>
      <c r="B62" s="66">
        <v>7658</v>
      </c>
      <c r="C62" s="67" t="s">
        <v>82</v>
      </c>
      <c r="D62" s="68" t="s">
        <v>19</v>
      </c>
      <c r="E62" s="69">
        <v>80111600</v>
      </c>
      <c r="F62" s="68" t="s">
        <v>62</v>
      </c>
      <c r="G62" s="70">
        <v>45306</v>
      </c>
      <c r="H62" s="71">
        <v>45311</v>
      </c>
      <c r="I62" s="72">
        <v>10</v>
      </c>
      <c r="J62" s="68" t="s">
        <v>21</v>
      </c>
      <c r="K62" s="68" t="s">
        <v>22</v>
      </c>
      <c r="L62" s="68" t="s">
        <v>23</v>
      </c>
      <c r="M62" s="73">
        <f>43551200-12000000</f>
        <v>31551200</v>
      </c>
      <c r="N62" s="69" t="s">
        <v>38</v>
      </c>
      <c r="O62" s="69" t="s">
        <v>25</v>
      </c>
      <c r="P62" s="69" t="s">
        <v>26</v>
      </c>
    </row>
    <row r="63" spans="1:16" s="19" customFormat="1" ht="56" customHeight="1" x14ac:dyDescent="0.35">
      <c r="A63" s="66">
        <v>20240269</v>
      </c>
      <c r="B63" s="66">
        <v>7658</v>
      </c>
      <c r="C63" s="67" t="s">
        <v>82</v>
      </c>
      <c r="D63" s="68" t="s">
        <v>19</v>
      </c>
      <c r="E63" s="69">
        <v>80111600</v>
      </c>
      <c r="F63" s="68" t="s">
        <v>60</v>
      </c>
      <c r="G63" s="70">
        <v>45306</v>
      </c>
      <c r="H63" s="71">
        <v>45311</v>
      </c>
      <c r="I63" s="72">
        <v>10</v>
      </c>
      <c r="J63" s="68" t="s">
        <v>21</v>
      </c>
      <c r="K63" s="68" t="s">
        <v>22</v>
      </c>
      <c r="L63" s="68" t="s">
        <v>23</v>
      </c>
      <c r="M63" s="73">
        <f>76921600-15384320</f>
        <v>61537280</v>
      </c>
      <c r="N63" s="69" t="s">
        <v>38</v>
      </c>
      <c r="O63" s="69" t="s">
        <v>25</v>
      </c>
      <c r="P63" s="69" t="s">
        <v>26</v>
      </c>
    </row>
    <row r="64" spans="1:16" s="19" customFormat="1" ht="56" customHeight="1" x14ac:dyDescent="0.35">
      <c r="A64" s="66">
        <v>20240284</v>
      </c>
      <c r="B64" s="66">
        <v>7658</v>
      </c>
      <c r="C64" s="67" t="s">
        <v>82</v>
      </c>
      <c r="D64" s="68" t="s">
        <v>19</v>
      </c>
      <c r="E64" s="69">
        <v>80111600</v>
      </c>
      <c r="F64" s="68" t="s">
        <v>365</v>
      </c>
      <c r="G64" s="70">
        <v>45306</v>
      </c>
      <c r="H64" s="71">
        <v>45311</v>
      </c>
      <c r="I64" s="72">
        <v>10</v>
      </c>
      <c r="J64" s="68" t="s">
        <v>21</v>
      </c>
      <c r="K64" s="68" t="s">
        <v>22</v>
      </c>
      <c r="L64" s="68" t="s">
        <v>23</v>
      </c>
      <c r="M64" s="73">
        <f>76921600-13600000</f>
        <v>63321600</v>
      </c>
      <c r="N64" s="69" t="s">
        <v>38</v>
      </c>
      <c r="O64" s="69" t="s">
        <v>25</v>
      </c>
      <c r="P64" s="69" t="s">
        <v>26</v>
      </c>
    </row>
    <row r="65" spans="1:16" s="19" customFormat="1" ht="56" customHeight="1" x14ac:dyDescent="0.35">
      <c r="A65" s="66">
        <v>20240285</v>
      </c>
      <c r="B65" s="66">
        <v>7658</v>
      </c>
      <c r="C65" s="67" t="s">
        <v>82</v>
      </c>
      <c r="D65" s="68" t="s">
        <v>19</v>
      </c>
      <c r="E65" s="69">
        <v>80111600</v>
      </c>
      <c r="F65" s="68" t="s">
        <v>366</v>
      </c>
      <c r="G65" s="70">
        <v>45306</v>
      </c>
      <c r="H65" s="71">
        <v>45311</v>
      </c>
      <c r="I65" s="72">
        <v>10</v>
      </c>
      <c r="J65" s="68" t="s">
        <v>21</v>
      </c>
      <c r="K65" s="68" t="s">
        <v>22</v>
      </c>
      <c r="L65" s="68" t="s">
        <v>23</v>
      </c>
      <c r="M65" s="73">
        <f>76921600-10700000</f>
        <v>66221600</v>
      </c>
      <c r="N65" s="69" t="s">
        <v>38</v>
      </c>
      <c r="O65" s="69" t="s">
        <v>25</v>
      </c>
      <c r="P65" s="69" t="s">
        <v>26</v>
      </c>
    </row>
    <row r="66" spans="1:16" s="19" customFormat="1" ht="56" customHeight="1" x14ac:dyDescent="0.35">
      <c r="A66" s="66">
        <v>20240294</v>
      </c>
      <c r="B66" s="66">
        <v>7655</v>
      </c>
      <c r="C66" s="67" t="s">
        <v>18</v>
      </c>
      <c r="D66" s="68" t="s">
        <v>152</v>
      </c>
      <c r="E66" s="69">
        <v>80111600</v>
      </c>
      <c r="F66" s="68" t="s">
        <v>473</v>
      </c>
      <c r="G66" s="70">
        <v>45306</v>
      </c>
      <c r="H66" s="71">
        <v>45314</v>
      </c>
      <c r="I66" s="72">
        <v>9</v>
      </c>
      <c r="J66" s="68" t="s">
        <v>21</v>
      </c>
      <c r="K66" s="68" t="s">
        <v>22</v>
      </c>
      <c r="L66" s="68" t="s">
        <v>23</v>
      </c>
      <c r="M66" s="73">
        <f>30502000+11748000</f>
        <v>42250000</v>
      </c>
      <c r="N66" s="69" t="s">
        <v>24</v>
      </c>
      <c r="O66" s="69" t="s">
        <v>80</v>
      </c>
      <c r="P66" s="69" t="s">
        <v>26</v>
      </c>
    </row>
    <row r="67" spans="1:16" s="19" customFormat="1" ht="70" customHeight="1" x14ac:dyDescent="0.35">
      <c r="A67" s="66">
        <v>20240301</v>
      </c>
      <c r="B67" s="66">
        <v>7655</v>
      </c>
      <c r="C67" s="67" t="s">
        <v>18</v>
      </c>
      <c r="D67" s="68" t="s">
        <v>152</v>
      </c>
      <c r="E67" s="69">
        <v>80111600</v>
      </c>
      <c r="F67" s="68" t="s">
        <v>181</v>
      </c>
      <c r="G67" s="70">
        <v>45306</v>
      </c>
      <c r="H67" s="71">
        <v>45314</v>
      </c>
      <c r="I67" s="72">
        <v>9</v>
      </c>
      <c r="J67" s="68" t="s">
        <v>21</v>
      </c>
      <c r="K67" s="68" t="s">
        <v>22</v>
      </c>
      <c r="L67" s="68" t="s">
        <v>23</v>
      </c>
      <c r="M67" s="73">
        <f>25600000-11748000</f>
        <v>13852000</v>
      </c>
      <c r="N67" s="69" t="s">
        <v>24</v>
      </c>
      <c r="O67" s="69" t="s">
        <v>80</v>
      </c>
      <c r="P67" s="69" t="s">
        <v>26</v>
      </c>
    </row>
    <row r="68" spans="1:16" s="19" customFormat="1" ht="70" customHeight="1" x14ac:dyDescent="0.35">
      <c r="A68" s="66">
        <v>20240326</v>
      </c>
      <c r="B68" s="66">
        <v>7655</v>
      </c>
      <c r="C68" s="67" t="s">
        <v>18</v>
      </c>
      <c r="D68" s="68" t="s">
        <v>106</v>
      </c>
      <c r="E68" s="69">
        <v>80111600</v>
      </c>
      <c r="F68" s="68" t="s">
        <v>114</v>
      </c>
      <c r="G68" s="70">
        <v>45313</v>
      </c>
      <c r="H68" s="71">
        <v>45313</v>
      </c>
      <c r="I68" s="72">
        <v>10</v>
      </c>
      <c r="J68" s="68" t="s">
        <v>21</v>
      </c>
      <c r="K68" s="68" t="s">
        <v>22</v>
      </c>
      <c r="L68" s="68" t="s">
        <v>29</v>
      </c>
      <c r="M68" s="73">
        <f>38500000-4500000-3600000</f>
        <v>30400000</v>
      </c>
      <c r="N68" s="69" t="s">
        <v>24</v>
      </c>
      <c r="O68" s="69" t="s">
        <v>80</v>
      </c>
      <c r="P68" s="69" t="s">
        <v>26</v>
      </c>
    </row>
    <row r="69" spans="1:16" s="19" customFormat="1" ht="70" customHeight="1" x14ac:dyDescent="0.35">
      <c r="A69" s="78">
        <v>20240333</v>
      </c>
      <c r="B69" s="78">
        <v>7658</v>
      </c>
      <c r="C69" s="79" t="s">
        <v>82</v>
      </c>
      <c r="D69" s="80" t="s">
        <v>116</v>
      </c>
      <c r="E69" s="81">
        <v>80111600</v>
      </c>
      <c r="F69" s="80" t="s">
        <v>128</v>
      </c>
      <c r="G69" s="82">
        <v>45322</v>
      </c>
      <c r="H69" s="83">
        <v>45322</v>
      </c>
      <c r="I69" s="84">
        <v>10</v>
      </c>
      <c r="J69" s="80" t="s">
        <v>21</v>
      </c>
      <c r="K69" s="80" t="s">
        <v>22</v>
      </c>
      <c r="L69" s="80" t="s">
        <v>23</v>
      </c>
      <c r="M69" s="85">
        <f>74400000-21600000-31200000</f>
        <v>21600000</v>
      </c>
      <c r="N69" s="81" t="s">
        <v>118</v>
      </c>
      <c r="O69" s="81" t="s">
        <v>119</v>
      </c>
      <c r="P69" s="81" t="s">
        <v>26</v>
      </c>
    </row>
    <row r="70" spans="1:16" s="19" customFormat="1" ht="70" customHeight="1" x14ac:dyDescent="0.35">
      <c r="A70" s="78">
        <v>20240335</v>
      </c>
      <c r="B70" s="78">
        <v>7658</v>
      </c>
      <c r="C70" s="79" t="s">
        <v>82</v>
      </c>
      <c r="D70" s="80" t="s">
        <v>116</v>
      </c>
      <c r="E70" s="81">
        <v>80111600</v>
      </c>
      <c r="F70" s="80" t="s">
        <v>130</v>
      </c>
      <c r="G70" s="82">
        <v>45322</v>
      </c>
      <c r="H70" s="83">
        <v>45322</v>
      </c>
      <c r="I70" s="84">
        <v>10</v>
      </c>
      <c r="J70" s="80" t="s">
        <v>21</v>
      </c>
      <c r="K70" s="80" t="s">
        <v>22</v>
      </c>
      <c r="L70" s="80" t="s">
        <v>23</v>
      </c>
      <c r="M70" s="85">
        <f>50000000-8250000</f>
        <v>41750000</v>
      </c>
      <c r="N70" s="81" t="s">
        <v>118</v>
      </c>
      <c r="O70" s="81" t="s">
        <v>119</v>
      </c>
      <c r="P70" s="81" t="s">
        <v>26</v>
      </c>
    </row>
    <row r="71" spans="1:16" s="19" customFormat="1" ht="70" customHeight="1" x14ac:dyDescent="0.35">
      <c r="A71" s="78">
        <v>20240337</v>
      </c>
      <c r="B71" s="78">
        <v>7658</v>
      </c>
      <c r="C71" s="79" t="s">
        <v>82</v>
      </c>
      <c r="D71" s="80" t="s">
        <v>116</v>
      </c>
      <c r="E71" s="81">
        <v>80111600</v>
      </c>
      <c r="F71" s="80" t="s">
        <v>133</v>
      </c>
      <c r="G71" s="82">
        <v>45322</v>
      </c>
      <c r="H71" s="83">
        <v>45322</v>
      </c>
      <c r="I71" s="84">
        <v>10</v>
      </c>
      <c r="J71" s="80" t="s">
        <v>21</v>
      </c>
      <c r="K71" s="80" t="s">
        <v>22</v>
      </c>
      <c r="L71" s="80" t="s">
        <v>23</v>
      </c>
      <c r="M71" s="85">
        <f>60000000-6000000</f>
        <v>54000000</v>
      </c>
      <c r="N71" s="81" t="s">
        <v>118</v>
      </c>
      <c r="O71" s="81" t="s">
        <v>119</v>
      </c>
      <c r="P71" s="81" t="s">
        <v>26</v>
      </c>
    </row>
    <row r="72" spans="1:16" s="19" customFormat="1" ht="70" customHeight="1" x14ac:dyDescent="0.35">
      <c r="A72" s="78">
        <v>20240340</v>
      </c>
      <c r="B72" s="78">
        <v>7658</v>
      </c>
      <c r="C72" s="79" t="s">
        <v>82</v>
      </c>
      <c r="D72" s="80" t="s">
        <v>116</v>
      </c>
      <c r="E72" s="81">
        <v>80111600</v>
      </c>
      <c r="F72" s="80" t="s">
        <v>140</v>
      </c>
      <c r="G72" s="82">
        <v>45322</v>
      </c>
      <c r="H72" s="83">
        <v>45322</v>
      </c>
      <c r="I72" s="84">
        <v>10</v>
      </c>
      <c r="J72" s="80" t="s">
        <v>21</v>
      </c>
      <c r="K72" s="80" t="s">
        <v>22</v>
      </c>
      <c r="L72" s="80" t="s">
        <v>23</v>
      </c>
      <c r="M72" s="85">
        <f>30000000-21000000</f>
        <v>9000000</v>
      </c>
      <c r="N72" s="81" t="s">
        <v>118</v>
      </c>
      <c r="O72" s="81" t="s">
        <v>119</v>
      </c>
      <c r="P72" s="81" t="s">
        <v>26</v>
      </c>
    </row>
    <row r="73" spans="1:16" s="19" customFormat="1" ht="70" customHeight="1" x14ac:dyDescent="0.35">
      <c r="A73" s="78">
        <v>20240341</v>
      </c>
      <c r="B73" s="78">
        <v>7658</v>
      </c>
      <c r="C73" s="79" t="s">
        <v>82</v>
      </c>
      <c r="D73" s="80" t="s">
        <v>116</v>
      </c>
      <c r="E73" s="81">
        <v>80111600</v>
      </c>
      <c r="F73" s="80" t="s">
        <v>140</v>
      </c>
      <c r="G73" s="82">
        <v>45322</v>
      </c>
      <c r="H73" s="83">
        <v>45322</v>
      </c>
      <c r="I73" s="84">
        <v>10</v>
      </c>
      <c r="J73" s="80" t="s">
        <v>21</v>
      </c>
      <c r="K73" s="80" t="s">
        <v>22</v>
      </c>
      <c r="L73" s="80" t="s">
        <v>23</v>
      </c>
      <c r="M73" s="85">
        <f>30000000-21000000</f>
        <v>9000000</v>
      </c>
      <c r="N73" s="81" t="s">
        <v>118</v>
      </c>
      <c r="O73" s="81" t="s">
        <v>119</v>
      </c>
      <c r="P73" s="81" t="s">
        <v>26</v>
      </c>
    </row>
    <row r="74" spans="1:16" s="19" customFormat="1" ht="70" customHeight="1" x14ac:dyDescent="0.35">
      <c r="A74" s="78">
        <v>20240342</v>
      </c>
      <c r="B74" s="78">
        <v>7658</v>
      </c>
      <c r="C74" s="79" t="s">
        <v>82</v>
      </c>
      <c r="D74" s="80" t="s">
        <v>116</v>
      </c>
      <c r="E74" s="81">
        <v>80111600</v>
      </c>
      <c r="F74" s="80" t="s">
        <v>140</v>
      </c>
      <c r="G74" s="82">
        <v>45322</v>
      </c>
      <c r="H74" s="83">
        <v>45322</v>
      </c>
      <c r="I74" s="84">
        <v>10</v>
      </c>
      <c r="J74" s="80" t="s">
        <v>21</v>
      </c>
      <c r="K74" s="80" t="s">
        <v>22</v>
      </c>
      <c r="L74" s="80" t="s">
        <v>23</v>
      </c>
      <c r="M74" s="85">
        <f>30000000-21000000</f>
        <v>9000000</v>
      </c>
      <c r="N74" s="81" t="s">
        <v>118</v>
      </c>
      <c r="O74" s="81" t="s">
        <v>119</v>
      </c>
      <c r="P74" s="81" t="s">
        <v>26</v>
      </c>
    </row>
    <row r="75" spans="1:16" s="19" customFormat="1" ht="70" customHeight="1" x14ac:dyDescent="0.35">
      <c r="A75" s="78">
        <v>20240343</v>
      </c>
      <c r="B75" s="78">
        <v>7658</v>
      </c>
      <c r="C75" s="79" t="s">
        <v>82</v>
      </c>
      <c r="D75" s="80" t="s">
        <v>116</v>
      </c>
      <c r="E75" s="81">
        <v>80111600</v>
      </c>
      <c r="F75" s="80" t="s">
        <v>140</v>
      </c>
      <c r="G75" s="82">
        <v>45322</v>
      </c>
      <c r="H75" s="83">
        <v>45322</v>
      </c>
      <c r="I75" s="84">
        <v>10</v>
      </c>
      <c r="J75" s="80" t="s">
        <v>21</v>
      </c>
      <c r="K75" s="80" t="s">
        <v>22</v>
      </c>
      <c r="L75" s="80" t="s">
        <v>23</v>
      </c>
      <c r="M75" s="85">
        <f>30000000-21000000</f>
        <v>9000000</v>
      </c>
      <c r="N75" s="81" t="s">
        <v>118</v>
      </c>
      <c r="O75" s="81" t="s">
        <v>119</v>
      </c>
      <c r="P75" s="81" t="s">
        <v>26</v>
      </c>
    </row>
    <row r="76" spans="1:16" s="19" customFormat="1" ht="70" customHeight="1" x14ac:dyDescent="0.35">
      <c r="A76" s="78">
        <v>20240344</v>
      </c>
      <c r="B76" s="78">
        <v>7658</v>
      </c>
      <c r="C76" s="79" t="s">
        <v>82</v>
      </c>
      <c r="D76" s="80" t="s">
        <v>116</v>
      </c>
      <c r="E76" s="81">
        <v>80111600</v>
      </c>
      <c r="F76" s="80" t="s">
        <v>140</v>
      </c>
      <c r="G76" s="82">
        <v>45322</v>
      </c>
      <c r="H76" s="83">
        <v>45322</v>
      </c>
      <c r="I76" s="84">
        <v>10</v>
      </c>
      <c r="J76" s="80" t="s">
        <v>21</v>
      </c>
      <c r="K76" s="80" t="s">
        <v>22</v>
      </c>
      <c r="L76" s="80" t="s">
        <v>23</v>
      </c>
      <c r="M76" s="85">
        <f>30000000-21000000</f>
        <v>9000000</v>
      </c>
      <c r="N76" s="81" t="s">
        <v>118</v>
      </c>
      <c r="O76" s="81" t="s">
        <v>119</v>
      </c>
      <c r="P76" s="81" t="s">
        <v>26</v>
      </c>
    </row>
    <row r="77" spans="1:16" s="19" customFormat="1" ht="70" customHeight="1" x14ac:dyDescent="0.35">
      <c r="A77" s="78">
        <v>20240352</v>
      </c>
      <c r="B77" s="78">
        <v>7658</v>
      </c>
      <c r="C77" s="79" t="s">
        <v>82</v>
      </c>
      <c r="D77" s="80" t="s">
        <v>116</v>
      </c>
      <c r="E77" s="81">
        <v>80111600</v>
      </c>
      <c r="F77" s="80" t="s">
        <v>141</v>
      </c>
      <c r="G77" s="82">
        <v>45322</v>
      </c>
      <c r="H77" s="83">
        <v>45322</v>
      </c>
      <c r="I77" s="84">
        <v>10</v>
      </c>
      <c r="J77" s="80" t="s">
        <v>21</v>
      </c>
      <c r="K77" s="80" t="s">
        <v>22</v>
      </c>
      <c r="L77" s="80" t="s">
        <v>23</v>
      </c>
      <c r="M77" s="85">
        <f>30000000-8550000+4050000</f>
        <v>25500000</v>
      </c>
      <c r="N77" s="81" t="s">
        <v>118</v>
      </c>
      <c r="O77" s="81" t="s">
        <v>119</v>
      </c>
      <c r="P77" s="81" t="s">
        <v>26</v>
      </c>
    </row>
    <row r="78" spans="1:16" s="19" customFormat="1" ht="70" customHeight="1" x14ac:dyDescent="0.35">
      <c r="A78" s="78">
        <v>20240354</v>
      </c>
      <c r="B78" s="78">
        <v>7658</v>
      </c>
      <c r="C78" s="79" t="s">
        <v>82</v>
      </c>
      <c r="D78" s="80" t="s">
        <v>116</v>
      </c>
      <c r="E78" s="81">
        <v>80111600</v>
      </c>
      <c r="F78" s="80" t="s">
        <v>145</v>
      </c>
      <c r="G78" s="82">
        <v>45322</v>
      </c>
      <c r="H78" s="83">
        <v>45322</v>
      </c>
      <c r="I78" s="84">
        <v>10</v>
      </c>
      <c r="J78" s="80" t="s">
        <v>21</v>
      </c>
      <c r="K78" s="80" t="s">
        <v>22</v>
      </c>
      <c r="L78" s="80" t="s">
        <v>23</v>
      </c>
      <c r="M78" s="85">
        <f>25000000-17500000</f>
        <v>7500000</v>
      </c>
      <c r="N78" s="81" t="s">
        <v>118</v>
      </c>
      <c r="O78" s="81" t="s">
        <v>119</v>
      </c>
      <c r="P78" s="81" t="s">
        <v>26</v>
      </c>
    </row>
    <row r="79" spans="1:16" s="19" customFormat="1" ht="84" customHeight="1" x14ac:dyDescent="0.35">
      <c r="A79" s="78">
        <v>20240355</v>
      </c>
      <c r="B79" s="78">
        <v>7658</v>
      </c>
      <c r="C79" s="79" t="s">
        <v>82</v>
      </c>
      <c r="D79" s="80" t="s">
        <v>116</v>
      </c>
      <c r="E79" s="81">
        <v>80111600</v>
      </c>
      <c r="F79" s="80" t="s">
        <v>121</v>
      </c>
      <c r="G79" s="82">
        <v>45322</v>
      </c>
      <c r="H79" s="83">
        <v>45351</v>
      </c>
      <c r="I79" s="84">
        <v>8</v>
      </c>
      <c r="J79" s="80" t="s">
        <v>97</v>
      </c>
      <c r="K79" s="80" t="s">
        <v>22</v>
      </c>
      <c r="L79" s="80" t="s">
        <v>23</v>
      </c>
      <c r="M79" s="85">
        <f>80000000-39215000</f>
        <v>40785000</v>
      </c>
      <c r="N79" s="81" t="s">
        <v>118</v>
      </c>
      <c r="O79" s="81" t="s">
        <v>119</v>
      </c>
      <c r="P79" s="81" t="s">
        <v>26</v>
      </c>
    </row>
    <row r="80" spans="1:16" s="19" customFormat="1" ht="84" customHeight="1" x14ac:dyDescent="0.35">
      <c r="A80" s="66">
        <v>20240365</v>
      </c>
      <c r="B80" s="66">
        <v>7655</v>
      </c>
      <c r="C80" s="67" t="s">
        <v>18</v>
      </c>
      <c r="D80" s="68" t="s">
        <v>106</v>
      </c>
      <c r="E80" s="69">
        <v>80111600</v>
      </c>
      <c r="F80" s="68" t="s">
        <v>519</v>
      </c>
      <c r="G80" s="70">
        <v>45327</v>
      </c>
      <c r="H80" s="71">
        <v>45327</v>
      </c>
      <c r="I80" s="87">
        <v>8.5</v>
      </c>
      <c r="J80" s="68" t="s">
        <v>21</v>
      </c>
      <c r="K80" s="68" t="s">
        <v>22</v>
      </c>
      <c r="L80" s="68" t="s">
        <v>29</v>
      </c>
      <c r="M80" s="73">
        <f>38475000-4050000-5775000</f>
        <v>28650000</v>
      </c>
      <c r="N80" s="69" t="s">
        <v>24</v>
      </c>
      <c r="O80" s="69" t="s">
        <v>80</v>
      </c>
      <c r="P80" s="69" t="s">
        <v>26</v>
      </c>
    </row>
    <row r="81" spans="1:16" s="19" customFormat="1" ht="84" customHeight="1" x14ac:dyDescent="0.35">
      <c r="A81" s="66">
        <v>20240378</v>
      </c>
      <c r="B81" s="66">
        <v>131</v>
      </c>
      <c r="C81" s="67" t="s">
        <v>403</v>
      </c>
      <c r="D81" s="68" t="s">
        <v>19</v>
      </c>
      <c r="E81" s="69" t="s">
        <v>439</v>
      </c>
      <c r="F81" s="68" t="s">
        <v>732</v>
      </c>
      <c r="G81" s="70">
        <v>45337</v>
      </c>
      <c r="H81" s="71">
        <v>45350</v>
      </c>
      <c r="I81" s="72">
        <v>10</v>
      </c>
      <c r="J81" s="68" t="s">
        <v>358</v>
      </c>
      <c r="K81" s="68" t="s">
        <v>22</v>
      </c>
      <c r="L81" s="68" t="s">
        <v>66</v>
      </c>
      <c r="M81" s="73">
        <v>34000000</v>
      </c>
      <c r="N81" s="69" t="s">
        <v>598</v>
      </c>
      <c r="O81" s="69" t="s">
        <v>598</v>
      </c>
      <c r="P81" s="69" t="s">
        <v>26</v>
      </c>
    </row>
    <row r="82" spans="1:16" s="19" customFormat="1" ht="84" customHeight="1" x14ac:dyDescent="0.35">
      <c r="A82" s="66">
        <v>20240380</v>
      </c>
      <c r="B82" s="66">
        <v>7658</v>
      </c>
      <c r="C82" s="67" t="s">
        <v>82</v>
      </c>
      <c r="D82" s="68" t="s">
        <v>19</v>
      </c>
      <c r="E82" s="69" t="s">
        <v>733</v>
      </c>
      <c r="F82" s="68" t="s">
        <v>40</v>
      </c>
      <c r="G82" s="70">
        <v>45337</v>
      </c>
      <c r="H82" s="71">
        <v>45350</v>
      </c>
      <c r="I82" s="72">
        <v>11</v>
      </c>
      <c r="J82" s="68" t="s">
        <v>36</v>
      </c>
      <c r="K82" s="68" t="s">
        <v>22</v>
      </c>
      <c r="L82" s="68" t="s">
        <v>37</v>
      </c>
      <c r="M82" s="73">
        <f>41600000+10400000</f>
        <v>52000000</v>
      </c>
      <c r="N82" s="69" t="s">
        <v>38</v>
      </c>
      <c r="O82" s="69" t="s">
        <v>25</v>
      </c>
      <c r="P82" s="69" t="s">
        <v>26</v>
      </c>
    </row>
    <row r="83" spans="1:16" s="19" customFormat="1" ht="84" customHeight="1" x14ac:dyDescent="0.35">
      <c r="A83" s="78">
        <v>20240403</v>
      </c>
      <c r="B83" s="78">
        <v>7658</v>
      </c>
      <c r="C83" s="79" t="s">
        <v>82</v>
      </c>
      <c r="D83" s="80" t="s">
        <v>116</v>
      </c>
      <c r="E83" s="81">
        <v>80111600</v>
      </c>
      <c r="F83" s="80" t="s">
        <v>125</v>
      </c>
      <c r="G83" s="82">
        <v>45351</v>
      </c>
      <c r="H83" s="83">
        <v>45351</v>
      </c>
      <c r="I83" s="84">
        <v>10</v>
      </c>
      <c r="J83" s="80" t="s">
        <v>21</v>
      </c>
      <c r="K83" s="80" t="s">
        <v>22</v>
      </c>
      <c r="L83" s="80" t="s">
        <v>23</v>
      </c>
      <c r="M83" s="85">
        <f>50000000-11100000+4575000</f>
        <v>43475000</v>
      </c>
      <c r="N83" s="81" t="s">
        <v>118</v>
      </c>
      <c r="O83" s="81" t="s">
        <v>119</v>
      </c>
      <c r="P83" s="81" t="s">
        <v>26</v>
      </c>
    </row>
    <row r="84" spans="1:16" s="19" customFormat="1" ht="84" customHeight="1" x14ac:dyDescent="0.35">
      <c r="A84" s="78">
        <v>20240404</v>
      </c>
      <c r="B84" s="78">
        <v>7658</v>
      </c>
      <c r="C84" s="79" t="s">
        <v>82</v>
      </c>
      <c r="D84" s="80" t="s">
        <v>116</v>
      </c>
      <c r="E84" s="81">
        <v>80111600</v>
      </c>
      <c r="F84" s="80" t="s">
        <v>126</v>
      </c>
      <c r="G84" s="82">
        <v>45351</v>
      </c>
      <c r="H84" s="83">
        <v>45351</v>
      </c>
      <c r="I84" s="84">
        <v>10</v>
      </c>
      <c r="J84" s="80" t="s">
        <v>21</v>
      </c>
      <c r="K84" s="80" t="s">
        <v>22</v>
      </c>
      <c r="L84" s="80" t="s">
        <v>23</v>
      </c>
      <c r="M84" s="85">
        <f>60000000-18000000+9000000</f>
        <v>51000000</v>
      </c>
      <c r="N84" s="81" t="s">
        <v>118</v>
      </c>
      <c r="O84" s="81" t="s">
        <v>119</v>
      </c>
      <c r="P84" s="81" t="s">
        <v>26</v>
      </c>
    </row>
    <row r="85" spans="1:16" s="19" customFormat="1" ht="84" customHeight="1" x14ac:dyDescent="0.35">
      <c r="A85" s="78">
        <v>20240407</v>
      </c>
      <c r="B85" s="78">
        <v>7658</v>
      </c>
      <c r="C85" s="79" t="s">
        <v>82</v>
      </c>
      <c r="D85" s="80" t="s">
        <v>116</v>
      </c>
      <c r="E85" s="81">
        <v>80111600</v>
      </c>
      <c r="F85" s="80" t="s">
        <v>525</v>
      </c>
      <c r="G85" s="82">
        <v>45351</v>
      </c>
      <c r="H85" s="83">
        <v>45351</v>
      </c>
      <c r="I85" s="84">
        <v>10</v>
      </c>
      <c r="J85" s="80" t="s">
        <v>21</v>
      </c>
      <c r="K85" s="80" t="s">
        <v>22</v>
      </c>
      <c r="L85" s="80" t="s">
        <v>23</v>
      </c>
      <c r="M85" s="85">
        <f>50000000-35000000</f>
        <v>15000000</v>
      </c>
      <c r="N85" s="81" t="s">
        <v>118</v>
      </c>
      <c r="O85" s="81" t="s">
        <v>119</v>
      </c>
      <c r="P85" s="81" t="s">
        <v>26</v>
      </c>
    </row>
    <row r="86" spans="1:16" s="19" customFormat="1" ht="84" customHeight="1" x14ac:dyDescent="0.35">
      <c r="A86" s="78">
        <v>20240408</v>
      </c>
      <c r="B86" s="78">
        <v>7658</v>
      </c>
      <c r="C86" s="79" t="s">
        <v>82</v>
      </c>
      <c r="D86" s="80" t="s">
        <v>116</v>
      </c>
      <c r="E86" s="81">
        <v>80111600</v>
      </c>
      <c r="F86" s="80" t="s">
        <v>526</v>
      </c>
      <c r="G86" s="82">
        <v>45351</v>
      </c>
      <c r="H86" s="83">
        <v>45351</v>
      </c>
      <c r="I86" s="84">
        <v>10</v>
      </c>
      <c r="J86" s="80" t="s">
        <v>21</v>
      </c>
      <c r="K86" s="80" t="s">
        <v>22</v>
      </c>
      <c r="L86" s="80" t="s">
        <v>23</v>
      </c>
      <c r="M86" s="85">
        <f>50000000-9000000-5000000</f>
        <v>36000000</v>
      </c>
      <c r="N86" s="81" t="s">
        <v>118</v>
      </c>
      <c r="O86" s="81" t="s">
        <v>119</v>
      </c>
      <c r="P86" s="81" t="s">
        <v>26</v>
      </c>
    </row>
    <row r="87" spans="1:16" s="19" customFormat="1" ht="84" customHeight="1" x14ac:dyDescent="0.35">
      <c r="A87" s="78">
        <v>20240410</v>
      </c>
      <c r="B87" s="78">
        <v>7658</v>
      </c>
      <c r="C87" s="79" t="s">
        <v>82</v>
      </c>
      <c r="D87" s="80" t="s">
        <v>116</v>
      </c>
      <c r="E87" s="81">
        <v>80111600</v>
      </c>
      <c r="F87" s="80" t="s">
        <v>132</v>
      </c>
      <c r="G87" s="82">
        <v>45351</v>
      </c>
      <c r="H87" s="83">
        <v>45351</v>
      </c>
      <c r="I87" s="84">
        <v>10</v>
      </c>
      <c r="J87" s="80" t="s">
        <v>21</v>
      </c>
      <c r="K87" s="80" t="s">
        <v>22</v>
      </c>
      <c r="L87" s="80" t="s">
        <v>23</v>
      </c>
      <c r="M87" s="85">
        <f>55000000-14550000-5000000</f>
        <v>35450000</v>
      </c>
      <c r="N87" s="81" t="s">
        <v>118</v>
      </c>
      <c r="O87" s="81" t="s">
        <v>119</v>
      </c>
      <c r="P87" s="81" t="s">
        <v>26</v>
      </c>
    </row>
    <row r="88" spans="1:16" s="19" customFormat="1" ht="84" customHeight="1" x14ac:dyDescent="0.35">
      <c r="A88" s="78">
        <v>20240412</v>
      </c>
      <c r="B88" s="78">
        <v>7658</v>
      </c>
      <c r="C88" s="79" t="s">
        <v>82</v>
      </c>
      <c r="D88" s="80" t="s">
        <v>116</v>
      </c>
      <c r="E88" s="81">
        <v>80111600</v>
      </c>
      <c r="F88" s="80" t="s">
        <v>134</v>
      </c>
      <c r="G88" s="82">
        <v>45351</v>
      </c>
      <c r="H88" s="83">
        <v>45351</v>
      </c>
      <c r="I88" s="84">
        <v>10</v>
      </c>
      <c r="J88" s="80" t="s">
        <v>21</v>
      </c>
      <c r="K88" s="80" t="s">
        <v>22</v>
      </c>
      <c r="L88" s="80" t="s">
        <v>23</v>
      </c>
      <c r="M88" s="85">
        <f>55000000-8250000</f>
        <v>46750000</v>
      </c>
      <c r="N88" s="81" t="s">
        <v>118</v>
      </c>
      <c r="O88" s="81" t="s">
        <v>119</v>
      </c>
      <c r="P88" s="81" t="s">
        <v>26</v>
      </c>
    </row>
    <row r="89" spans="1:16" s="19" customFormat="1" ht="84" customHeight="1" x14ac:dyDescent="0.35">
      <c r="A89" s="78">
        <v>20240413</v>
      </c>
      <c r="B89" s="78">
        <v>7658</v>
      </c>
      <c r="C89" s="79" t="s">
        <v>82</v>
      </c>
      <c r="D89" s="80" t="s">
        <v>116</v>
      </c>
      <c r="E89" s="81">
        <v>80111600</v>
      </c>
      <c r="F89" s="80" t="s">
        <v>134</v>
      </c>
      <c r="G89" s="82">
        <v>45351</v>
      </c>
      <c r="H89" s="83">
        <v>45351</v>
      </c>
      <c r="I89" s="84">
        <v>10</v>
      </c>
      <c r="J89" s="80" t="s">
        <v>21</v>
      </c>
      <c r="K89" s="80" t="s">
        <v>22</v>
      </c>
      <c r="L89" s="80" t="s">
        <v>23</v>
      </c>
      <c r="M89" s="85">
        <f>55000000-16500000+8250000</f>
        <v>46750000</v>
      </c>
      <c r="N89" s="81" t="s">
        <v>118</v>
      </c>
      <c r="O89" s="81" t="s">
        <v>119</v>
      </c>
      <c r="P89" s="81" t="s">
        <v>26</v>
      </c>
    </row>
    <row r="90" spans="1:16" s="19" customFormat="1" ht="84" customHeight="1" x14ac:dyDescent="0.35">
      <c r="A90" s="78">
        <v>20240416</v>
      </c>
      <c r="B90" s="78">
        <v>7658</v>
      </c>
      <c r="C90" s="79" t="s">
        <v>82</v>
      </c>
      <c r="D90" s="80" t="s">
        <v>116</v>
      </c>
      <c r="E90" s="81">
        <v>80111600</v>
      </c>
      <c r="F90" s="80" t="s">
        <v>137</v>
      </c>
      <c r="G90" s="82">
        <v>45351</v>
      </c>
      <c r="H90" s="83">
        <v>45351</v>
      </c>
      <c r="I90" s="84">
        <v>10</v>
      </c>
      <c r="J90" s="80" t="s">
        <v>21</v>
      </c>
      <c r="K90" s="80" t="s">
        <v>22</v>
      </c>
      <c r="L90" s="80" t="s">
        <v>23</v>
      </c>
      <c r="M90" s="85">
        <f>40000000-10500000+4500000</f>
        <v>34000000</v>
      </c>
      <c r="N90" s="81" t="s">
        <v>118</v>
      </c>
      <c r="O90" s="81" t="s">
        <v>119</v>
      </c>
      <c r="P90" s="81" t="s">
        <v>26</v>
      </c>
    </row>
    <row r="91" spans="1:16" s="19" customFormat="1" ht="84" customHeight="1" x14ac:dyDescent="0.35">
      <c r="A91" s="78">
        <v>20240418</v>
      </c>
      <c r="B91" s="78">
        <v>7658</v>
      </c>
      <c r="C91" s="79" t="s">
        <v>82</v>
      </c>
      <c r="D91" s="80" t="s">
        <v>116</v>
      </c>
      <c r="E91" s="81">
        <v>80111600</v>
      </c>
      <c r="F91" s="80" t="s">
        <v>143</v>
      </c>
      <c r="G91" s="82">
        <v>45351</v>
      </c>
      <c r="H91" s="83">
        <v>45351</v>
      </c>
      <c r="I91" s="84">
        <v>10</v>
      </c>
      <c r="J91" s="80" t="s">
        <v>21</v>
      </c>
      <c r="K91" s="80" t="s">
        <v>22</v>
      </c>
      <c r="L91" s="80" t="s">
        <v>23</v>
      </c>
      <c r="M91" s="85">
        <f>30000000-4500000</f>
        <v>25500000</v>
      </c>
      <c r="N91" s="81" t="s">
        <v>118</v>
      </c>
      <c r="O91" s="81" t="s">
        <v>119</v>
      </c>
      <c r="P91" s="81" t="s">
        <v>26</v>
      </c>
    </row>
    <row r="92" spans="1:16" s="19" customFormat="1" ht="84" customHeight="1" x14ac:dyDescent="0.35">
      <c r="A92" s="78">
        <v>20240423</v>
      </c>
      <c r="B92" s="78">
        <v>7658</v>
      </c>
      <c r="C92" s="79" t="s">
        <v>82</v>
      </c>
      <c r="D92" s="80" t="s">
        <v>116</v>
      </c>
      <c r="E92" s="81">
        <v>80111600</v>
      </c>
      <c r="F92" s="80" t="s">
        <v>143</v>
      </c>
      <c r="G92" s="82">
        <v>45351</v>
      </c>
      <c r="H92" s="83">
        <v>45351</v>
      </c>
      <c r="I92" s="84">
        <v>10</v>
      </c>
      <c r="J92" s="80" t="s">
        <v>21</v>
      </c>
      <c r="K92" s="80" t="s">
        <v>22</v>
      </c>
      <c r="L92" s="80" t="s">
        <v>23</v>
      </c>
      <c r="M92" s="85">
        <f>30000000-4500000</f>
        <v>25500000</v>
      </c>
      <c r="N92" s="81" t="s">
        <v>118</v>
      </c>
      <c r="O92" s="81" t="s">
        <v>119</v>
      </c>
      <c r="P92" s="81" t="s">
        <v>26</v>
      </c>
    </row>
    <row r="93" spans="1:16" s="19" customFormat="1" ht="84" customHeight="1" x14ac:dyDescent="0.35">
      <c r="A93" s="78">
        <v>20240428</v>
      </c>
      <c r="B93" s="78">
        <v>7658</v>
      </c>
      <c r="C93" s="79" t="s">
        <v>82</v>
      </c>
      <c r="D93" s="80" t="s">
        <v>116</v>
      </c>
      <c r="E93" s="81">
        <v>80111600</v>
      </c>
      <c r="F93" s="80" t="s">
        <v>144</v>
      </c>
      <c r="G93" s="82">
        <v>45351</v>
      </c>
      <c r="H93" s="83">
        <v>45351</v>
      </c>
      <c r="I93" s="84">
        <v>10</v>
      </c>
      <c r="J93" s="80" t="s">
        <v>21</v>
      </c>
      <c r="K93" s="80" t="s">
        <v>22</v>
      </c>
      <c r="L93" s="80" t="s">
        <v>23</v>
      </c>
      <c r="M93" s="85">
        <f>25000000-17500000</f>
        <v>7500000</v>
      </c>
      <c r="N93" s="81" t="s">
        <v>118</v>
      </c>
      <c r="O93" s="81" t="s">
        <v>119</v>
      </c>
      <c r="P93" s="81" t="s">
        <v>26</v>
      </c>
    </row>
    <row r="94" spans="1:16" s="19" customFormat="1" ht="84" customHeight="1" x14ac:dyDescent="0.35">
      <c r="A94" s="78">
        <v>20240430</v>
      </c>
      <c r="B94" s="78">
        <v>7658</v>
      </c>
      <c r="C94" s="79" t="s">
        <v>82</v>
      </c>
      <c r="D94" s="80" t="s">
        <v>116</v>
      </c>
      <c r="E94" s="81">
        <v>80111600</v>
      </c>
      <c r="F94" s="80" t="s">
        <v>144</v>
      </c>
      <c r="G94" s="82">
        <v>45351</v>
      </c>
      <c r="H94" s="83">
        <v>45351</v>
      </c>
      <c r="I94" s="84">
        <v>10</v>
      </c>
      <c r="J94" s="80" t="s">
        <v>21</v>
      </c>
      <c r="K94" s="80" t="s">
        <v>22</v>
      </c>
      <c r="L94" s="80" t="s">
        <v>23</v>
      </c>
      <c r="M94" s="85">
        <f>25000000-2500000</f>
        <v>22500000</v>
      </c>
      <c r="N94" s="81" t="s">
        <v>118</v>
      </c>
      <c r="O94" s="81" t="s">
        <v>119</v>
      </c>
      <c r="P94" s="81" t="s">
        <v>26</v>
      </c>
    </row>
    <row r="95" spans="1:16" s="19" customFormat="1" ht="84" customHeight="1" x14ac:dyDescent="0.35">
      <c r="A95" s="66">
        <v>20240448</v>
      </c>
      <c r="B95" s="66">
        <v>7658</v>
      </c>
      <c r="C95" s="67" t="s">
        <v>82</v>
      </c>
      <c r="D95" s="68" t="s">
        <v>152</v>
      </c>
      <c r="E95" s="69" t="s">
        <v>454</v>
      </c>
      <c r="F95" s="68" t="s">
        <v>350</v>
      </c>
      <c r="G95" s="70">
        <v>45383</v>
      </c>
      <c r="H95" s="71">
        <v>45427</v>
      </c>
      <c r="I95" s="72">
        <v>4</v>
      </c>
      <c r="J95" s="68" t="s">
        <v>358</v>
      </c>
      <c r="K95" s="68" t="s">
        <v>22</v>
      </c>
      <c r="L95" s="68" t="s">
        <v>23</v>
      </c>
      <c r="M95" s="73">
        <f>100000000-20000000+10000000</f>
        <v>90000000</v>
      </c>
      <c r="N95" s="69" t="s">
        <v>154</v>
      </c>
      <c r="O95" s="69" t="s">
        <v>155</v>
      </c>
      <c r="P95" s="69" t="s">
        <v>26</v>
      </c>
    </row>
    <row r="96" spans="1:16" s="19" customFormat="1" ht="84" customHeight="1" x14ac:dyDescent="0.35">
      <c r="A96" s="66">
        <v>20240449</v>
      </c>
      <c r="B96" s="66">
        <v>7658</v>
      </c>
      <c r="C96" s="67" t="s">
        <v>82</v>
      </c>
      <c r="D96" s="68" t="s">
        <v>248</v>
      </c>
      <c r="E96" s="69" t="s">
        <v>455</v>
      </c>
      <c r="F96" s="68" t="s">
        <v>746</v>
      </c>
      <c r="G96" s="70">
        <v>45383</v>
      </c>
      <c r="H96" s="71">
        <v>45427</v>
      </c>
      <c r="I96" s="72">
        <v>6</v>
      </c>
      <c r="J96" s="68" t="s">
        <v>97</v>
      </c>
      <c r="K96" s="68" t="s">
        <v>22</v>
      </c>
      <c r="L96" s="68" t="s">
        <v>50</v>
      </c>
      <c r="M96" s="73">
        <f>3000000000+1446155279+108498773</f>
        <v>4554654052</v>
      </c>
      <c r="N96" s="69" t="s">
        <v>249</v>
      </c>
      <c r="O96" s="69" t="s">
        <v>25</v>
      </c>
      <c r="P96" s="69" t="s">
        <v>26</v>
      </c>
    </row>
    <row r="97" spans="1:18" s="19" customFormat="1" ht="84" customHeight="1" x14ac:dyDescent="0.35">
      <c r="A97" s="78">
        <v>20240488</v>
      </c>
      <c r="B97" s="78">
        <v>7658</v>
      </c>
      <c r="C97" s="79" t="s">
        <v>82</v>
      </c>
      <c r="D97" s="80" t="s">
        <v>116</v>
      </c>
      <c r="E97" s="81">
        <v>80111600</v>
      </c>
      <c r="F97" s="80" t="s">
        <v>757</v>
      </c>
      <c r="G97" s="82">
        <v>45322</v>
      </c>
      <c r="H97" s="83">
        <v>45322</v>
      </c>
      <c r="I97" s="84">
        <v>3</v>
      </c>
      <c r="J97" s="80" t="s">
        <v>21</v>
      </c>
      <c r="K97" s="80" t="s">
        <v>22</v>
      </c>
      <c r="L97" s="80" t="s">
        <v>23</v>
      </c>
      <c r="M97" s="85">
        <f>21600000+31200000</f>
        <v>52800000</v>
      </c>
      <c r="N97" s="81" t="s">
        <v>118</v>
      </c>
      <c r="O97" s="81" t="s">
        <v>119</v>
      </c>
      <c r="P97" s="81" t="s">
        <v>26</v>
      </c>
    </row>
    <row r="98" spans="1:18" s="19" customFormat="1" ht="84" customHeight="1" x14ac:dyDescent="0.3">
      <c r="A98" s="78">
        <v>20240490</v>
      </c>
      <c r="B98" s="78">
        <v>7658</v>
      </c>
      <c r="C98" s="79" t="s">
        <v>82</v>
      </c>
      <c r="D98" s="80" t="s">
        <v>116</v>
      </c>
      <c r="E98" s="86">
        <v>80111600</v>
      </c>
      <c r="F98" s="80" t="s">
        <v>758</v>
      </c>
      <c r="G98" s="82">
        <v>45322</v>
      </c>
      <c r="H98" s="83">
        <v>45322</v>
      </c>
      <c r="I98" s="84">
        <v>3</v>
      </c>
      <c r="J98" s="80" t="s">
        <v>21</v>
      </c>
      <c r="K98" s="80" t="s">
        <v>22</v>
      </c>
      <c r="L98" s="80" t="s">
        <v>23</v>
      </c>
      <c r="M98" s="85">
        <f>8550000-4050000</f>
        <v>4500000</v>
      </c>
      <c r="N98" s="86" t="s">
        <v>118</v>
      </c>
      <c r="O98" s="86" t="s">
        <v>119</v>
      </c>
      <c r="P98" s="81" t="s">
        <v>310</v>
      </c>
      <c r="Q98" s="64"/>
      <c r="R98" s="46"/>
    </row>
    <row r="99" spans="1:18" s="19" customFormat="1" ht="84" customHeight="1" x14ac:dyDescent="0.3">
      <c r="A99" s="78">
        <v>20240492</v>
      </c>
      <c r="B99" s="78">
        <v>7658</v>
      </c>
      <c r="C99" s="79" t="s">
        <v>82</v>
      </c>
      <c r="D99" s="80" t="s">
        <v>116</v>
      </c>
      <c r="E99" s="86">
        <v>80111600</v>
      </c>
      <c r="F99" s="80" t="s">
        <v>759</v>
      </c>
      <c r="G99" s="82">
        <v>45351</v>
      </c>
      <c r="H99" s="83">
        <v>45351</v>
      </c>
      <c r="I99" s="84">
        <v>3</v>
      </c>
      <c r="J99" s="80" t="s">
        <v>21</v>
      </c>
      <c r="K99" s="80" t="s">
        <v>22</v>
      </c>
      <c r="L99" s="80" t="s">
        <v>23</v>
      </c>
      <c r="M99" s="85">
        <f>11100000-4575000</f>
        <v>6525000</v>
      </c>
      <c r="N99" s="86" t="s">
        <v>118</v>
      </c>
      <c r="O99" s="86" t="s">
        <v>119</v>
      </c>
      <c r="P99" s="81" t="s">
        <v>310</v>
      </c>
      <c r="Q99" s="64"/>
      <c r="R99" s="46"/>
    </row>
    <row r="100" spans="1:18" s="19" customFormat="1" ht="84" customHeight="1" x14ac:dyDescent="0.3">
      <c r="A100" s="78">
        <v>20240493</v>
      </c>
      <c r="B100" s="78">
        <v>7658</v>
      </c>
      <c r="C100" s="79" t="s">
        <v>82</v>
      </c>
      <c r="D100" s="80" t="s">
        <v>116</v>
      </c>
      <c r="E100" s="86">
        <v>80111600</v>
      </c>
      <c r="F100" s="80" t="s">
        <v>760</v>
      </c>
      <c r="G100" s="82">
        <v>45351</v>
      </c>
      <c r="H100" s="83">
        <v>45351</v>
      </c>
      <c r="I100" s="84">
        <v>3</v>
      </c>
      <c r="J100" s="80" t="s">
        <v>21</v>
      </c>
      <c r="K100" s="80" t="s">
        <v>22</v>
      </c>
      <c r="L100" s="80" t="s">
        <v>23</v>
      </c>
      <c r="M100" s="85">
        <f>18000000-9000000</f>
        <v>9000000</v>
      </c>
      <c r="N100" s="86" t="s">
        <v>118</v>
      </c>
      <c r="O100" s="86" t="s">
        <v>119</v>
      </c>
      <c r="P100" s="81" t="s">
        <v>310</v>
      </c>
      <c r="Q100" s="64"/>
      <c r="R100" s="46"/>
    </row>
    <row r="101" spans="1:18" s="19" customFormat="1" ht="84" customHeight="1" x14ac:dyDescent="0.3">
      <c r="A101" s="78">
        <v>20240497</v>
      </c>
      <c r="B101" s="78">
        <v>7658</v>
      </c>
      <c r="C101" s="79" t="s">
        <v>82</v>
      </c>
      <c r="D101" s="80" t="s">
        <v>116</v>
      </c>
      <c r="E101" s="86">
        <v>80111600</v>
      </c>
      <c r="F101" s="80" t="s">
        <v>761</v>
      </c>
      <c r="G101" s="82">
        <v>45351</v>
      </c>
      <c r="H101" s="83">
        <v>45351</v>
      </c>
      <c r="I101" s="84">
        <v>3</v>
      </c>
      <c r="J101" s="80" t="s">
        <v>21</v>
      </c>
      <c r="K101" s="80" t="s">
        <v>22</v>
      </c>
      <c r="L101" s="80" t="s">
        <v>23</v>
      </c>
      <c r="M101" s="85">
        <f>16500000-8250000</f>
        <v>8250000</v>
      </c>
      <c r="N101" s="86" t="s">
        <v>118</v>
      </c>
      <c r="O101" s="86" t="s">
        <v>119</v>
      </c>
      <c r="P101" s="81" t="s">
        <v>310</v>
      </c>
      <c r="Q101" s="64"/>
      <c r="R101" s="46"/>
    </row>
    <row r="102" spans="1:18" s="19" customFormat="1" ht="84" customHeight="1" x14ac:dyDescent="0.3">
      <c r="A102" s="78">
        <v>20240499</v>
      </c>
      <c r="B102" s="78">
        <v>7658</v>
      </c>
      <c r="C102" s="79" t="s">
        <v>82</v>
      </c>
      <c r="D102" s="80" t="s">
        <v>116</v>
      </c>
      <c r="E102" s="86">
        <v>80111600</v>
      </c>
      <c r="F102" s="80" t="s">
        <v>762</v>
      </c>
      <c r="G102" s="82">
        <v>45351</v>
      </c>
      <c r="H102" s="83">
        <v>45351</v>
      </c>
      <c r="I102" s="84">
        <v>3</v>
      </c>
      <c r="J102" s="80" t="s">
        <v>21</v>
      </c>
      <c r="K102" s="80" t="s">
        <v>22</v>
      </c>
      <c r="L102" s="80" t="s">
        <v>23</v>
      </c>
      <c r="M102" s="85">
        <f>10500000-4500000</f>
        <v>6000000</v>
      </c>
      <c r="N102" s="86" t="s">
        <v>118</v>
      </c>
      <c r="O102" s="86" t="s">
        <v>119</v>
      </c>
      <c r="P102" s="81" t="s">
        <v>310</v>
      </c>
      <c r="Q102" s="64"/>
      <c r="R102" s="46"/>
    </row>
    <row r="103" spans="1:18" s="19" customFormat="1" ht="84" customHeight="1" x14ac:dyDescent="0.3">
      <c r="A103" s="66">
        <v>20240523</v>
      </c>
      <c r="B103" s="66">
        <v>7658</v>
      </c>
      <c r="C103" s="67" t="s">
        <v>82</v>
      </c>
      <c r="D103" s="68" t="s">
        <v>92</v>
      </c>
      <c r="E103" s="69">
        <v>80111600</v>
      </c>
      <c r="F103" s="68" t="s">
        <v>530</v>
      </c>
      <c r="G103" s="70">
        <v>45327</v>
      </c>
      <c r="H103" s="71">
        <v>45337</v>
      </c>
      <c r="I103" s="72">
        <v>4</v>
      </c>
      <c r="J103" s="68" t="s">
        <v>21</v>
      </c>
      <c r="K103" s="68" t="s">
        <v>22</v>
      </c>
      <c r="L103" s="68" t="s">
        <v>23</v>
      </c>
      <c r="M103" s="73">
        <f>(7210000*4)-40000</f>
        <v>28800000</v>
      </c>
      <c r="N103" s="69" t="s">
        <v>96</v>
      </c>
      <c r="O103" s="69" t="s">
        <v>25</v>
      </c>
      <c r="P103" s="69" t="s">
        <v>26</v>
      </c>
      <c r="Q103" s="64"/>
      <c r="R103" s="46"/>
    </row>
    <row r="104" spans="1:18" s="19" customFormat="1" ht="84" customHeight="1" x14ac:dyDescent="0.3">
      <c r="A104" s="78">
        <v>20240532</v>
      </c>
      <c r="B104" s="78">
        <v>7658</v>
      </c>
      <c r="C104" s="79" t="s">
        <v>82</v>
      </c>
      <c r="D104" s="80" t="s">
        <v>19</v>
      </c>
      <c r="E104" s="81" t="s">
        <v>546</v>
      </c>
      <c r="F104" s="80" t="s">
        <v>547</v>
      </c>
      <c r="G104" s="82">
        <v>45355</v>
      </c>
      <c r="H104" s="82">
        <v>45361</v>
      </c>
      <c r="I104" s="84">
        <v>4</v>
      </c>
      <c r="J104" s="80" t="s">
        <v>36</v>
      </c>
      <c r="K104" s="80" t="s">
        <v>22</v>
      </c>
      <c r="L104" s="80" t="s">
        <v>361</v>
      </c>
      <c r="M104" s="85">
        <v>50000000</v>
      </c>
      <c r="N104" s="81" t="s">
        <v>67</v>
      </c>
      <c r="O104" s="81" t="s">
        <v>68</v>
      </c>
      <c r="P104" s="81" t="s">
        <v>26</v>
      </c>
      <c r="Q104" s="47"/>
      <c r="R104" s="48"/>
    </row>
    <row r="105" spans="1:18" s="19" customFormat="1" ht="84" customHeight="1" x14ac:dyDescent="0.3">
      <c r="A105" s="66">
        <v>20240538</v>
      </c>
      <c r="B105" s="66">
        <v>7658</v>
      </c>
      <c r="C105" s="67" t="s">
        <v>82</v>
      </c>
      <c r="D105" s="68" t="s">
        <v>92</v>
      </c>
      <c r="E105" s="69">
        <v>78181500</v>
      </c>
      <c r="F105" s="68" t="s">
        <v>559</v>
      </c>
      <c r="G105" s="70">
        <v>45338</v>
      </c>
      <c r="H105" s="70">
        <v>45348</v>
      </c>
      <c r="I105" s="72">
        <v>2</v>
      </c>
      <c r="J105" s="68" t="s">
        <v>358</v>
      </c>
      <c r="K105" s="68" t="s">
        <v>22</v>
      </c>
      <c r="L105" s="68" t="s">
        <v>93</v>
      </c>
      <c r="M105" s="73">
        <f>100000000+40000000</f>
        <v>140000000</v>
      </c>
      <c r="N105" s="69" t="s">
        <v>94</v>
      </c>
      <c r="O105" s="69" t="s">
        <v>25</v>
      </c>
      <c r="P105" s="69" t="s">
        <v>310</v>
      </c>
      <c r="Q105" s="47"/>
      <c r="R105" s="48"/>
    </row>
    <row r="106" spans="1:18" s="19" customFormat="1" ht="84" customHeight="1" x14ac:dyDescent="0.3">
      <c r="A106" s="66">
        <v>20240543</v>
      </c>
      <c r="B106" s="66">
        <v>7658</v>
      </c>
      <c r="C106" s="67" t="s">
        <v>82</v>
      </c>
      <c r="D106" s="68" t="s">
        <v>152</v>
      </c>
      <c r="E106" s="69">
        <v>80111600</v>
      </c>
      <c r="F106" s="68" t="s">
        <v>586</v>
      </c>
      <c r="G106" s="70">
        <v>45345</v>
      </c>
      <c r="H106" s="70">
        <v>45348</v>
      </c>
      <c r="I106" s="72">
        <v>8</v>
      </c>
      <c r="J106" s="68" t="s">
        <v>21</v>
      </c>
      <c r="K106" s="68" t="s">
        <v>22</v>
      </c>
      <c r="L106" s="68" t="s">
        <v>23</v>
      </c>
      <c r="M106" s="73">
        <f>30135000-10000000</f>
        <v>20135000</v>
      </c>
      <c r="N106" s="69" t="s">
        <v>154</v>
      </c>
      <c r="O106" s="69" t="s">
        <v>155</v>
      </c>
      <c r="P106" s="69" t="s">
        <v>26</v>
      </c>
      <c r="Q106" s="47"/>
      <c r="R106" s="48"/>
    </row>
    <row r="107" spans="1:18" s="19" customFormat="1" ht="84" customHeight="1" x14ac:dyDescent="0.3">
      <c r="A107" s="66">
        <v>20240589</v>
      </c>
      <c r="B107" s="66">
        <v>7658</v>
      </c>
      <c r="C107" s="67" t="s">
        <v>82</v>
      </c>
      <c r="D107" s="68" t="s">
        <v>92</v>
      </c>
      <c r="E107" s="74">
        <v>78181500</v>
      </c>
      <c r="F107" s="68" t="s">
        <v>558</v>
      </c>
      <c r="G107" s="70">
        <v>45447</v>
      </c>
      <c r="H107" s="71">
        <v>45477</v>
      </c>
      <c r="I107" s="72">
        <v>1</v>
      </c>
      <c r="J107" s="68" t="s">
        <v>49</v>
      </c>
      <c r="K107" s="68" t="s">
        <v>22</v>
      </c>
      <c r="L107" s="68" t="s">
        <v>93</v>
      </c>
      <c r="M107" s="73">
        <f>100000000+18200000+20000000+28000000+13800000+14420000+6200000</f>
        <v>200620000</v>
      </c>
      <c r="N107" s="74" t="s">
        <v>94</v>
      </c>
      <c r="O107" s="74" t="s">
        <v>25</v>
      </c>
      <c r="P107" s="69" t="s">
        <v>310</v>
      </c>
      <c r="Q107" s="47"/>
      <c r="R107" s="48"/>
    </row>
    <row r="108" spans="1:18" s="19" customFormat="1" ht="56" customHeight="1" x14ac:dyDescent="0.3">
      <c r="A108" s="66">
        <v>20240638</v>
      </c>
      <c r="B108" s="66">
        <v>7658</v>
      </c>
      <c r="C108" s="67" t="s">
        <v>82</v>
      </c>
      <c r="D108" s="68" t="s">
        <v>248</v>
      </c>
      <c r="E108" s="74" t="s">
        <v>675</v>
      </c>
      <c r="F108" s="75" t="s">
        <v>747</v>
      </c>
      <c r="G108" s="71">
        <v>45397</v>
      </c>
      <c r="H108" s="76">
        <v>45427</v>
      </c>
      <c r="I108" s="68">
        <v>6</v>
      </c>
      <c r="J108" s="70" t="s">
        <v>97</v>
      </c>
      <c r="K108" s="71" t="s">
        <v>22</v>
      </c>
      <c r="L108" s="77" t="s">
        <v>50</v>
      </c>
      <c r="M108" s="73">
        <f>600000000-108498773</f>
        <v>491501227</v>
      </c>
      <c r="N108" s="68" t="s">
        <v>249</v>
      </c>
      <c r="O108" s="68" t="s">
        <v>25</v>
      </c>
      <c r="P108" s="73" t="s">
        <v>26</v>
      </c>
      <c r="Q108" s="47"/>
      <c r="R108" s="48"/>
    </row>
    <row r="109" spans="1:18" s="19" customFormat="1" ht="56" customHeight="1" x14ac:dyDescent="0.3">
      <c r="A109" s="66">
        <v>20240654</v>
      </c>
      <c r="B109" s="68">
        <v>7655</v>
      </c>
      <c r="C109" s="68" t="s">
        <v>18</v>
      </c>
      <c r="D109" s="68" t="s">
        <v>237</v>
      </c>
      <c r="E109" s="68">
        <v>80111600</v>
      </c>
      <c r="F109" s="68" t="s">
        <v>691</v>
      </c>
      <c r="G109" s="71">
        <v>45413</v>
      </c>
      <c r="H109" s="71">
        <v>45413</v>
      </c>
      <c r="I109" s="68">
        <v>1</v>
      </c>
      <c r="J109" s="68" t="s">
        <v>21</v>
      </c>
      <c r="K109" s="68" t="s">
        <v>22</v>
      </c>
      <c r="L109" s="68" t="s">
        <v>23</v>
      </c>
      <c r="M109" s="73">
        <v>15000000</v>
      </c>
      <c r="N109" s="68" t="s">
        <v>24</v>
      </c>
      <c r="O109" s="68" t="s">
        <v>80</v>
      </c>
      <c r="P109" s="73" t="s">
        <v>310</v>
      </c>
      <c r="Q109" s="40"/>
      <c r="R109" s="38"/>
    </row>
    <row r="110" spans="1:18" s="19" customFormat="1" ht="84" customHeight="1" x14ac:dyDescent="0.3">
      <c r="A110" s="66">
        <v>20240655</v>
      </c>
      <c r="B110" s="68">
        <v>7655</v>
      </c>
      <c r="C110" s="68" t="s">
        <v>18</v>
      </c>
      <c r="D110" s="68" t="s">
        <v>237</v>
      </c>
      <c r="E110" s="68">
        <v>80111600</v>
      </c>
      <c r="F110" s="68" t="s">
        <v>692</v>
      </c>
      <c r="G110" s="71">
        <v>45413</v>
      </c>
      <c r="H110" s="71">
        <v>45413</v>
      </c>
      <c r="I110" s="68">
        <v>1</v>
      </c>
      <c r="J110" s="68" t="s">
        <v>21</v>
      </c>
      <c r="K110" s="68" t="s">
        <v>22</v>
      </c>
      <c r="L110" s="68" t="s">
        <v>23</v>
      </c>
      <c r="M110" s="73">
        <v>14000000</v>
      </c>
      <c r="N110" s="68" t="s">
        <v>24</v>
      </c>
      <c r="O110" s="68" t="s">
        <v>80</v>
      </c>
      <c r="P110" s="73" t="s">
        <v>310</v>
      </c>
      <c r="Q110" s="40"/>
      <c r="R110" s="38"/>
    </row>
    <row r="111" spans="1:18" s="19" customFormat="1" ht="56" customHeight="1" x14ac:dyDescent="0.3">
      <c r="A111" s="66">
        <v>20240656</v>
      </c>
      <c r="B111" s="68">
        <v>7655</v>
      </c>
      <c r="C111" s="68" t="s">
        <v>18</v>
      </c>
      <c r="D111" s="68" t="s">
        <v>237</v>
      </c>
      <c r="E111" s="68">
        <v>80111600</v>
      </c>
      <c r="F111" s="68" t="s">
        <v>693</v>
      </c>
      <c r="G111" s="71">
        <v>45413</v>
      </c>
      <c r="H111" s="71">
        <v>45413</v>
      </c>
      <c r="I111" s="68">
        <v>1</v>
      </c>
      <c r="J111" s="68" t="s">
        <v>21</v>
      </c>
      <c r="K111" s="68" t="s">
        <v>22</v>
      </c>
      <c r="L111" s="68" t="s">
        <v>23</v>
      </c>
      <c r="M111" s="73">
        <v>12000000</v>
      </c>
      <c r="N111" s="68" t="s">
        <v>24</v>
      </c>
      <c r="O111" s="68" t="s">
        <v>80</v>
      </c>
      <c r="P111" s="73" t="s">
        <v>310</v>
      </c>
      <c r="Q111" s="40"/>
      <c r="R111" s="38"/>
    </row>
    <row r="112" spans="1:18" s="19" customFormat="1" ht="112" customHeight="1" x14ac:dyDescent="0.3">
      <c r="A112" s="66">
        <v>20240657</v>
      </c>
      <c r="B112" s="68">
        <v>7655</v>
      </c>
      <c r="C112" s="68" t="s">
        <v>18</v>
      </c>
      <c r="D112" s="68" t="s">
        <v>237</v>
      </c>
      <c r="E112" s="68">
        <v>80111600</v>
      </c>
      <c r="F112" s="68" t="s">
        <v>694</v>
      </c>
      <c r="G112" s="71">
        <v>45413</v>
      </c>
      <c r="H112" s="71">
        <v>45413</v>
      </c>
      <c r="I112" s="68">
        <v>1</v>
      </c>
      <c r="J112" s="68" t="s">
        <v>21</v>
      </c>
      <c r="K112" s="68" t="s">
        <v>22</v>
      </c>
      <c r="L112" s="68" t="s">
        <v>23</v>
      </c>
      <c r="M112" s="73">
        <v>12000000</v>
      </c>
      <c r="N112" s="68" t="s">
        <v>24</v>
      </c>
      <c r="O112" s="68" t="s">
        <v>80</v>
      </c>
      <c r="P112" s="73" t="s">
        <v>310</v>
      </c>
      <c r="Q112" s="40"/>
      <c r="R112" s="38"/>
    </row>
    <row r="113" spans="1:18" s="19" customFormat="1" ht="98" customHeight="1" x14ac:dyDescent="0.3">
      <c r="A113" s="66">
        <v>20240658</v>
      </c>
      <c r="B113" s="68">
        <v>7655</v>
      </c>
      <c r="C113" s="68" t="s">
        <v>18</v>
      </c>
      <c r="D113" s="68" t="s">
        <v>237</v>
      </c>
      <c r="E113" s="68">
        <v>80111600</v>
      </c>
      <c r="F113" s="68" t="s">
        <v>695</v>
      </c>
      <c r="G113" s="71">
        <v>45413</v>
      </c>
      <c r="H113" s="71">
        <v>45413</v>
      </c>
      <c r="I113" s="68">
        <v>1</v>
      </c>
      <c r="J113" s="68" t="s">
        <v>21</v>
      </c>
      <c r="K113" s="68" t="s">
        <v>22</v>
      </c>
      <c r="L113" s="68" t="s">
        <v>23</v>
      </c>
      <c r="M113" s="73">
        <v>12000000</v>
      </c>
      <c r="N113" s="68" t="s">
        <v>24</v>
      </c>
      <c r="O113" s="68" t="s">
        <v>80</v>
      </c>
      <c r="P113" s="73" t="s">
        <v>310</v>
      </c>
      <c r="Q113" s="40"/>
      <c r="R113" s="38"/>
    </row>
    <row r="114" spans="1:18" s="19" customFormat="1" ht="70" customHeight="1" x14ac:dyDescent="0.3">
      <c r="A114" s="66">
        <v>20240659</v>
      </c>
      <c r="B114" s="68">
        <v>7655</v>
      </c>
      <c r="C114" s="68" t="s">
        <v>18</v>
      </c>
      <c r="D114" s="68" t="s">
        <v>237</v>
      </c>
      <c r="E114" s="68">
        <v>80111600</v>
      </c>
      <c r="F114" s="68" t="s">
        <v>696</v>
      </c>
      <c r="G114" s="71">
        <v>45413</v>
      </c>
      <c r="H114" s="71">
        <v>45413</v>
      </c>
      <c r="I114" s="68">
        <v>1</v>
      </c>
      <c r="J114" s="68" t="s">
        <v>21</v>
      </c>
      <c r="K114" s="68" t="s">
        <v>22</v>
      </c>
      <c r="L114" s="68" t="s">
        <v>23</v>
      </c>
      <c r="M114" s="73">
        <v>10000000</v>
      </c>
      <c r="N114" s="68" t="s">
        <v>24</v>
      </c>
      <c r="O114" s="68" t="s">
        <v>80</v>
      </c>
      <c r="P114" s="73" t="s">
        <v>310</v>
      </c>
      <c r="Q114" s="40"/>
      <c r="R114" s="38"/>
    </row>
    <row r="115" spans="1:18" s="19" customFormat="1" ht="84" customHeight="1" x14ac:dyDescent="0.3">
      <c r="A115" s="66">
        <v>20240660</v>
      </c>
      <c r="B115" s="68">
        <v>7655</v>
      </c>
      <c r="C115" s="68" t="s">
        <v>18</v>
      </c>
      <c r="D115" s="68" t="s">
        <v>237</v>
      </c>
      <c r="E115" s="68">
        <v>80111600</v>
      </c>
      <c r="F115" s="68" t="s">
        <v>697</v>
      </c>
      <c r="G115" s="71">
        <v>45413</v>
      </c>
      <c r="H115" s="71">
        <v>45413</v>
      </c>
      <c r="I115" s="68">
        <v>1</v>
      </c>
      <c r="J115" s="68" t="s">
        <v>21</v>
      </c>
      <c r="K115" s="68" t="s">
        <v>22</v>
      </c>
      <c r="L115" s="68" t="s">
        <v>23</v>
      </c>
      <c r="M115" s="73">
        <v>6600000</v>
      </c>
      <c r="N115" s="68" t="s">
        <v>24</v>
      </c>
      <c r="O115" s="68" t="s">
        <v>80</v>
      </c>
      <c r="P115" s="73" t="s">
        <v>310</v>
      </c>
      <c r="Q115" s="40"/>
      <c r="R115" s="38"/>
    </row>
    <row r="116" spans="1:18" s="19" customFormat="1" ht="84" customHeight="1" x14ac:dyDescent="0.3">
      <c r="A116" s="66">
        <v>20240661</v>
      </c>
      <c r="B116" s="68">
        <v>7658</v>
      </c>
      <c r="C116" s="68" t="s">
        <v>82</v>
      </c>
      <c r="D116" s="68" t="s">
        <v>92</v>
      </c>
      <c r="E116" s="68">
        <v>80111600</v>
      </c>
      <c r="F116" s="68" t="s">
        <v>698</v>
      </c>
      <c r="G116" s="71">
        <v>45440</v>
      </c>
      <c r="H116" s="71">
        <v>45447</v>
      </c>
      <c r="I116" s="68">
        <v>2</v>
      </c>
      <c r="J116" s="68" t="s">
        <v>21</v>
      </c>
      <c r="K116" s="68" t="s">
        <v>22</v>
      </c>
      <c r="L116" s="68" t="s">
        <v>23</v>
      </c>
      <c r="M116" s="73">
        <v>5600000</v>
      </c>
      <c r="N116" s="68" t="s">
        <v>96</v>
      </c>
      <c r="O116" s="68" t="s">
        <v>25</v>
      </c>
      <c r="P116" s="73" t="s">
        <v>310</v>
      </c>
      <c r="Q116" s="40"/>
      <c r="R116" s="38"/>
    </row>
    <row r="117" spans="1:18" s="19" customFormat="1" ht="98" customHeight="1" x14ac:dyDescent="0.3">
      <c r="A117" s="66">
        <v>20240662</v>
      </c>
      <c r="B117" s="68">
        <v>7658</v>
      </c>
      <c r="C117" s="68" t="s">
        <v>82</v>
      </c>
      <c r="D117" s="68" t="s">
        <v>92</v>
      </c>
      <c r="E117" s="68">
        <v>80111600</v>
      </c>
      <c r="F117" s="68" t="s">
        <v>699</v>
      </c>
      <c r="G117" s="71">
        <v>45464</v>
      </c>
      <c r="H117" s="71">
        <v>45471</v>
      </c>
      <c r="I117" s="68">
        <v>2</v>
      </c>
      <c r="J117" s="68" t="s">
        <v>21</v>
      </c>
      <c r="K117" s="68" t="s">
        <v>22</v>
      </c>
      <c r="L117" s="68" t="s">
        <v>23</v>
      </c>
      <c r="M117" s="73">
        <v>10000000</v>
      </c>
      <c r="N117" s="68" t="s">
        <v>96</v>
      </c>
      <c r="O117" s="68" t="s">
        <v>25</v>
      </c>
      <c r="P117" s="73" t="s">
        <v>310</v>
      </c>
      <c r="Q117" s="40"/>
      <c r="R117" s="38"/>
    </row>
    <row r="118" spans="1:18" s="19" customFormat="1" ht="112" customHeight="1" x14ac:dyDescent="0.3">
      <c r="A118" s="66">
        <v>20240663</v>
      </c>
      <c r="B118" s="68">
        <v>7658</v>
      </c>
      <c r="C118" s="68" t="s">
        <v>82</v>
      </c>
      <c r="D118" s="68" t="s">
        <v>92</v>
      </c>
      <c r="E118" s="68">
        <v>80111600</v>
      </c>
      <c r="F118" s="68" t="s">
        <v>700</v>
      </c>
      <c r="G118" s="71">
        <v>45441</v>
      </c>
      <c r="H118" s="71">
        <v>45448</v>
      </c>
      <c r="I118" s="68">
        <v>2</v>
      </c>
      <c r="J118" s="68" t="s">
        <v>21</v>
      </c>
      <c r="K118" s="68" t="s">
        <v>22</v>
      </c>
      <c r="L118" s="68" t="s">
        <v>23</v>
      </c>
      <c r="M118" s="73">
        <v>9900000</v>
      </c>
      <c r="N118" s="68" t="s">
        <v>94</v>
      </c>
      <c r="O118" s="68" t="s">
        <v>25</v>
      </c>
      <c r="P118" s="73" t="s">
        <v>310</v>
      </c>
      <c r="Q118" s="40"/>
      <c r="R118" s="38"/>
    </row>
    <row r="119" spans="1:18" s="19" customFormat="1" ht="84" customHeight="1" x14ac:dyDescent="0.3">
      <c r="A119" s="66">
        <v>20240664</v>
      </c>
      <c r="B119" s="68">
        <v>7658</v>
      </c>
      <c r="C119" s="68" t="s">
        <v>82</v>
      </c>
      <c r="D119" s="68" t="s">
        <v>92</v>
      </c>
      <c r="E119" s="68">
        <v>80111600</v>
      </c>
      <c r="F119" s="68" t="s">
        <v>701</v>
      </c>
      <c r="G119" s="71">
        <v>45442</v>
      </c>
      <c r="H119" s="71">
        <v>45449</v>
      </c>
      <c r="I119" s="68">
        <v>2</v>
      </c>
      <c r="J119" s="68" t="s">
        <v>21</v>
      </c>
      <c r="K119" s="68" t="s">
        <v>22</v>
      </c>
      <c r="L119" s="68" t="s">
        <v>23</v>
      </c>
      <c r="M119" s="73">
        <v>17000000</v>
      </c>
      <c r="N119" s="68" t="s">
        <v>94</v>
      </c>
      <c r="O119" s="68" t="s">
        <v>25</v>
      </c>
      <c r="P119" s="73" t="s">
        <v>310</v>
      </c>
      <c r="Q119" s="40"/>
      <c r="R119" s="38"/>
    </row>
    <row r="120" spans="1:18" s="19" customFormat="1" ht="70" customHeight="1" x14ac:dyDescent="0.3">
      <c r="A120" s="66">
        <v>20240665</v>
      </c>
      <c r="B120" s="68">
        <v>7658</v>
      </c>
      <c r="C120" s="68" t="s">
        <v>82</v>
      </c>
      <c r="D120" s="68" t="s">
        <v>92</v>
      </c>
      <c r="E120" s="68">
        <v>80111600</v>
      </c>
      <c r="F120" s="68" t="s">
        <v>702</v>
      </c>
      <c r="G120" s="71">
        <v>45434</v>
      </c>
      <c r="H120" s="71">
        <v>45472</v>
      </c>
      <c r="I120" s="68">
        <v>2</v>
      </c>
      <c r="J120" s="68" t="s">
        <v>21</v>
      </c>
      <c r="K120" s="68" t="s">
        <v>22</v>
      </c>
      <c r="L120" s="68" t="s">
        <v>23</v>
      </c>
      <c r="M120" s="73">
        <v>6200000</v>
      </c>
      <c r="N120" s="68" t="s">
        <v>94</v>
      </c>
      <c r="O120" s="68" t="s">
        <v>25</v>
      </c>
      <c r="P120" s="73" t="s">
        <v>310</v>
      </c>
      <c r="Q120" s="40"/>
      <c r="R120" s="38"/>
    </row>
    <row r="121" spans="1:18" s="19" customFormat="1" ht="84" x14ac:dyDescent="0.3">
      <c r="A121" s="66">
        <v>20240666</v>
      </c>
      <c r="B121" s="68">
        <v>7658</v>
      </c>
      <c r="C121" s="68" t="s">
        <v>82</v>
      </c>
      <c r="D121" s="68" t="s">
        <v>92</v>
      </c>
      <c r="E121" s="68">
        <v>80111600</v>
      </c>
      <c r="F121" s="68" t="s">
        <v>703</v>
      </c>
      <c r="G121" s="71">
        <v>45429</v>
      </c>
      <c r="H121" s="71">
        <v>45437</v>
      </c>
      <c r="I121" s="68">
        <v>1.5</v>
      </c>
      <c r="J121" s="68" t="s">
        <v>21</v>
      </c>
      <c r="K121" s="68" t="s">
        <v>22</v>
      </c>
      <c r="L121" s="68" t="s">
        <v>23</v>
      </c>
      <c r="M121" s="73">
        <v>4830000</v>
      </c>
      <c r="N121" s="68" t="s">
        <v>96</v>
      </c>
      <c r="O121" s="68" t="s">
        <v>25</v>
      </c>
      <c r="P121" s="73" t="s">
        <v>310</v>
      </c>
      <c r="Q121" s="40"/>
      <c r="R121" s="38"/>
    </row>
    <row r="122" spans="1:18" s="19" customFormat="1" ht="84" x14ac:dyDescent="0.3">
      <c r="A122" s="66">
        <v>20240667</v>
      </c>
      <c r="B122" s="68">
        <v>7658</v>
      </c>
      <c r="C122" s="68" t="s">
        <v>82</v>
      </c>
      <c r="D122" s="68" t="s">
        <v>92</v>
      </c>
      <c r="E122" s="68">
        <v>80111600</v>
      </c>
      <c r="F122" s="68" t="s">
        <v>704</v>
      </c>
      <c r="G122" s="71">
        <v>45441</v>
      </c>
      <c r="H122" s="71">
        <v>45448</v>
      </c>
      <c r="I122" s="68">
        <v>2</v>
      </c>
      <c r="J122" s="68" t="s">
        <v>21</v>
      </c>
      <c r="K122" s="68" t="s">
        <v>22</v>
      </c>
      <c r="L122" s="68" t="s">
        <v>23</v>
      </c>
      <c r="M122" s="73">
        <v>12360000</v>
      </c>
      <c r="N122" s="68" t="s">
        <v>96</v>
      </c>
      <c r="O122" s="68" t="s">
        <v>25</v>
      </c>
      <c r="P122" s="73" t="s">
        <v>310</v>
      </c>
      <c r="Q122" s="40"/>
      <c r="R122" s="38"/>
    </row>
    <row r="123" spans="1:18" s="19" customFormat="1" ht="84" x14ac:dyDescent="0.3">
      <c r="A123" s="66">
        <v>20240668</v>
      </c>
      <c r="B123" s="68">
        <v>7658</v>
      </c>
      <c r="C123" s="68" t="s">
        <v>82</v>
      </c>
      <c r="D123" s="68" t="s">
        <v>92</v>
      </c>
      <c r="E123" s="68">
        <v>80111600</v>
      </c>
      <c r="F123" s="68" t="s">
        <v>705</v>
      </c>
      <c r="G123" s="71">
        <v>45476</v>
      </c>
      <c r="H123" s="71">
        <v>45483</v>
      </c>
      <c r="I123" s="68">
        <v>2</v>
      </c>
      <c r="J123" s="68" t="s">
        <v>21</v>
      </c>
      <c r="K123" s="68" t="s">
        <v>22</v>
      </c>
      <c r="L123" s="68" t="s">
        <v>23</v>
      </c>
      <c r="M123" s="73">
        <v>11000000</v>
      </c>
      <c r="N123" s="68" t="s">
        <v>94</v>
      </c>
      <c r="O123" s="68" t="s">
        <v>25</v>
      </c>
      <c r="P123" s="73" t="s">
        <v>310</v>
      </c>
      <c r="Q123" s="40"/>
      <c r="R123" s="38"/>
    </row>
    <row r="124" spans="1:18" s="19" customFormat="1" ht="84" x14ac:dyDescent="0.3">
      <c r="A124" s="66">
        <v>20240669</v>
      </c>
      <c r="B124" s="68">
        <v>7658</v>
      </c>
      <c r="C124" s="68" t="s">
        <v>82</v>
      </c>
      <c r="D124" s="68" t="s">
        <v>92</v>
      </c>
      <c r="E124" s="68">
        <v>80111600</v>
      </c>
      <c r="F124" s="68" t="s">
        <v>706</v>
      </c>
      <c r="G124" s="71">
        <v>45443</v>
      </c>
      <c r="H124" s="71">
        <v>45450</v>
      </c>
      <c r="I124" s="68">
        <v>2</v>
      </c>
      <c r="J124" s="68" t="s">
        <v>21</v>
      </c>
      <c r="K124" s="68" t="s">
        <v>22</v>
      </c>
      <c r="L124" s="68" t="s">
        <v>23</v>
      </c>
      <c r="M124" s="73">
        <v>6200000</v>
      </c>
      <c r="N124" s="68" t="s">
        <v>94</v>
      </c>
      <c r="O124" s="68" t="s">
        <v>25</v>
      </c>
      <c r="P124" s="73" t="s">
        <v>310</v>
      </c>
      <c r="Q124" s="40"/>
      <c r="R124" s="38"/>
    </row>
    <row r="125" spans="1:18" s="19" customFormat="1" ht="84" x14ac:dyDescent="0.3">
      <c r="A125" s="66">
        <v>20240670</v>
      </c>
      <c r="B125" s="68">
        <v>7658</v>
      </c>
      <c r="C125" s="68" t="s">
        <v>82</v>
      </c>
      <c r="D125" s="68" t="s">
        <v>92</v>
      </c>
      <c r="E125" s="68">
        <v>80111600</v>
      </c>
      <c r="F125" s="68" t="s">
        <v>707</v>
      </c>
      <c r="G125" s="71">
        <v>45447</v>
      </c>
      <c r="H125" s="71">
        <v>45454</v>
      </c>
      <c r="I125" s="68">
        <v>2</v>
      </c>
      <c r="J125" s="68" t="s">
        <v>21</v>
      </c>
      <c r="K125" s="68" t="s">
        <v>22</v>
      </c>
      <c r="L125" s="68" t="s">
        <v>23</v>
      </c>
      <c r="M125" s="73">
        <v>18540000</v>
      </c>
      <c r="N125" s="68" t="s">
        <v>94</v>
      </c>
      <c r="O125" s="68" t="s">
        <v>25</v>
      </c>
      <c r="P125" s="73" t="s">
        <v>310</v>
      </c>
      <c r="Q125" s="40"/>
      <c r="R125" s="38"/>
    </row>
    <row r="126" spans="1:18" s="19" customFormat="1" ht="84" x14ac:dyDescent="0.3">
      <c r="A126" s="66">
        <v>20240671</v>
      </c>
      <c r="B126" s="68">
        <v>7658</v>
      </c>
      <c r="C126" s="68" t="s">
        <v>82</v>
      </c>
      <c r="D126" s="68" t="s">
        <v>92</v>
      </c>
      <c r="E126" s="68">
        <v>80111600</v>
      </c>
      <c r="F126" s="68" t="s">
        <v>708</v>
      </c>
      <c r="G126" s="71">
        <v>45454</v>
      </c>
      <c r="H126" s="71">
        <v>45461</v>
      </c>
      <c r="I126" s="68">
        <v>2</v>
      </c>
      <c r="J126" s="68" t="s">
        <v>21</v>
      </c>
      <c r="K126" s="68" t="s">
        <v>22</v>
      </c>
      <c r="L126" s="68" t="s">
        <v>23</v>
      </c>
      <c r="M126" s="73">
        <v>6220000</v>
      </c>
      <c r="N126" s="68" t="s">
        <v>96</v>
      </c>
      <c r="O126" s="68" t="s">
        <v>25</v>
      </c>
      <c r="P126" s="73" t="s">
        <v>310</v>
      </c>
      <c r="Q126" s="40"/>
      <c r="R126" s="38"/>
    </row>
    <row r="127" spans="1:18" s="19" customFormat="1" ht="84" x14ac:dyDescent="0.3">
      <c r="A127" s="66">
        <v>20240672</v>
      </c>
      <c r="B127" s="68">
        <v>7658</v>
      </c>
      <c r="C127" s="68" t="s">
        <v>82</v>
      </c>
      <c r="D127" s="68" t="s">
        <v>92</v>
      </c>
      <c r="E127" s="68">
        <v>80111600</v>
      </c>
      <c r="F127" s="68" t="s">
        <v>709</v>
      </c>
      <c r="G127" s="71">
        <v>45442</v>
      </c>
      <c r="H127" s="71">
        <v>45449</v>
      </c>
      <c r="I127" s="68">
        <v>2</v>
      </c>
      <c r="J127" s="68" t="s">
        <v>21</v>
      </c>
      <c r="K127" s="68" t="s">
        <v>22</v>
      </c>
      <c r="L127" s="68" t="s">
        <v>23</v>
      </c>
      <c r="M127" s="73">
        <v>9400000</v>
      </c>
      <c r="N127" s="68" t="s">
        <v>94</v>
      </c>
      <c r="O127" s="68" t="s">
        <v>25</v>
      </c>
      <c r="P127" s="73" t="s">
        <v>310</v>
      </c>
      <c r="Q127" s="40"/>
      <c r="R127" s="38"/>
    </row>
    <row r="128" spans="1:18" s="19" customFormat="1" ht="84" x14ac:dyDescent="0.3">
      <c r="A128" s="66">
        <v>20240673</v>
      </c>
      <c r="B128" s="68">
        <v>7658</v>
      </c>
      <c r="C128" s="68" t="s">
        <v>82</v>
      </c>
      <c r="D128" s="68" t="s">
        <v>92</v>
      </c>
      <c r="E128" s="68">
        <v>80111600</v>
      </c>
      <c r="F128" s="68" t="s">
        <v>710</v>
      </c>
      <c r="G128" s="71">
        <v>45455</v>
      </c>
      <c r="H128" s="71">
        <v>45462</v>
      </c>
      <c r="I128" s="68">
        <v>2</v>
      </c>
      <c r="J128" s="68" t="s">
        <v>21</v>
      </c>
      <c r="K128" s="68" t="s">
        <v>22</v>
      </c>
      <c r="L128" s="68" t="s">
        <v>23</v>
      </c>
      <c r="M128" s="73">
        <v>12000000</v>
      </c>
      <c r="N128" s="68" t="s">
        <v>96</v>
      </c>
      <c r="O128" s="68" t="s">
        <v>25</v>
      </c>
      <c r="P128" s="73" t="s">
        <v>310</v>
      </c>
      <c r="Q128" s="40"/>
      <c r="R128" s="38"/>
    </row>
    <row r="129" spans="1:18" s="19" customFormat="1" ht="84" x14ac:dyDescent="0.3">
      <c r="A129" s="66">
        <v>20240674</v>
      </c>
      <c r="B129" s="68">
        <v>7658</v>
      </c>
      <c r="C129" s="68" t="s">
        <v>82</v>
      </c>
      <c r="D129" s="68" t="s">
        <v>92</v>
      </c>
      <c r="E129" s="68">
        <v>80111600</v>
      </c>
      <c r="F129" s="68" t="s">
        <v>711</v>
      </c>
      <c r="G129" s="71">
        <v>45450</v>
      </c>
      <c r="H129" s="71">
        <v>45457</v>
      </c>
      <c r="I129" s="68">
        <v>2</v>
      </c>
      <c r="J129" s="68" t="s">
        <v>21</v>
      </c>
      <c r="K129" s="68" t="s">
        <v>22</v>
      </c>
      <c r="L129" s="68" t="s">
        <v>23</v>
      </c>
      <c r="M129" s="73">
        <v>12400000</v>
      </c>
      <c r="N129" s="68" t="s">
        <v>94</v>
      </c>
      <c r="O129" s="68" t="s">
        <v>25</v>
      </c>
      <c r="P129" s="73" t="s">
        <v>310</v>
      </c>
      <c r="Q129" s="40"/>
      <c r="R129" s="38"/>
    </row>
    <row r="130" spans="1:18" s="19" customFormat="1" ht="84" x14ac:dyDescent="0.3">
      <c r="A130" s="66">
        <v>20240675</v>
      </c>
      <c r="B130" s="68">
        <v>7658</v>
      </c>
      <c r="C130" s="68" t="s">
        <v>82</v>
      </c>
      <c r="D130" s="68" t="s">
        <v>92</v>
      </c>
      <c r="E130" s="68">
        <v>80111600</v>
      </c>
      <c r="F130" s="68" t="s">
        <v>712</v>
      </c>
      <c r="G130" s="71">
        <v>45462</v>
      </c>
      <c r="H130" s="71">
        <v>45469</v>
      </c>
      <c r="I130" s="68">
        <v>2</v>
      </c>
      <c r="J130" s="68" t="s">
        <v>21</v>
      </c>
      <c r="K130" s="68" t="s">
        <v>22</v>
      </c>
      <c r="L130" s="68" t="s">
        <v>23</v>
      </c>
      <c r="M130" s="73">
        <v>9260000</v>
      </c>
      <c r="N130" s="68" t="s">
        <v>96</v>
      </c>
      <c r="O130" s="68" t="s">
        <v>25</v>
      </c>
      <c r="P130" s="73" t="s">
        <v>310</v>
      </c>
      <c r="Q130" s="40"/>
      <c r="R130" s="38"/>
    </row>
    <row r="131" spans="1:18" s="19" customFormat="1" ht="84" x14ac:dyDescent="0.3">
      <c r="A131" s="66">
        <v>20240676</v>
      </c>
      <c r="B131" s="68">
        <v>7658</v>
      </c>
      <c r="C131" s="68" t="s">
        <v>82</v>
      </c>
      <c r="D131" s="68" t="s">
        <v>92</v>
      </c>
      <c r="E131" s="68">
        <v>80111600</v>
      </c>
      <c r="F131" s="68" t="s">
        <v>713</v>
      </c>
      <c r="G131" s="71">
        <v>45492</v>
      </c>
      <c r="H131" s="71">
        <v>45499</v>
      </c>
      <c r="I131" s="68">
        <v>2</v>
      </c>
      <c r="J131" s="68" t="s">
        <v>21</v>
      </c>
      <c r="K131" s="68" t="s">
        <v>22</v>
      </c>
      <c r="L131" s="68" t="s">
        <v>23</v>
      </c>
      <c r="M131" s="73">
        <v>6600000</v>
      </c>
      <c r="N131" s="68" t="s">
        <v>96</v>
      </c>
      <c r="O131" s="68" t="s">
        <v>25</v>
      </c>
      <c r="P131" s="73" t="s">
        <v>310</v>
      </c>
      <c r="Q131" s="40"/>
      <c r="R131" s="38"/>
    </row>
    <row r="132" spans="1:18" s="19" customFormat="1" ht="84" x14ac:dyDescent="0.3">
      <c r="A132" s="66">
        <v>20240677</v>
      </c>
      <c r="B132" s="68">
        <v>7658</v>
      </c>
      <c r="C132" s="68" t="s">
        <v>82</v>
      </c>
      <c r="D132" s="68" t="s">
        <v>92</v>
      </c>
      <c r="E132" s="68">
        <v>80111600</v>
      </c>
      <c r="F132" s="68" t="s">
        <v>714</v>
      </c>
      <c r="G132" s="71">
        <v>45443</v>
      </c>
      <c r="H132" s="71">
        <v>45451</v>
      </c>
      <c r="I132" s="68">
        <v>2</v>
      </c>
      <c r="J132" s="68" t="s">
        <v>21</v>
      </c>
      <c r="K132" s="68" t="s">
        <v>22</v>
      </c>
      <c r="L132" s="68" t="s">
        <v>23</v>
      </c>
      <c r="M132" s="73">
        <v>8240000</v>
      </c>
      <c r="N132" s="68" t="s">
        <v>96</v>
      </c>
      <c r="O132" s="68" t="s">
        <v>25</v>
      </c>
      <c r="P132" s="73" t="s">
        <v>310</v>
      </c>
      <c r="Q132" s="40"/>
      <c r="R132" s="38"/>
    </row>
    <row r="133" spans="1:18" s="19" customFormat="1" ht="101.5" customHeight="1" x14ac:dyDescent="0.3">
      <c r="A133" s="66">
        <v>20240678</v>
      </c>
      <c r="B133" s="68">
        <v>7658</v>
      </c>
      <c r="C133" s="68" t="s">
        <v>82</v>
      </c>
      <c r="D133" s="68" t="s">
        <v>92</v>
      </c>
      <c r="E133" s="68">
        <v>80111600</v>
      </c>
      <c r="F133" s="68" t="s">
        <v>715</v>
      </c>
      <c r="G133" s="71">
        <v>45434</v>
      </c>
      <c r="H133" s="71">
        <v>45441</v>
      </c>
      <c r="I133" s="68">
        <v>2</v>
      </c>
      <c r="J133" s="68" t="s">
        <v>21</v>
      </c>
      <c r="K133" s="68" t="s">
        <v>22</v>
      </c>
      <c r="L133" s="68" t="s">
        <v>23</v>
      </c>
      <c r="M133" s="73">
        <v>7400000</v>
      </c>
      <c r="N133" s="68" t="s">
        <v>96</v>
      </c>
      <c r="O133" s="68" t="s">
        <v>25</v>
      </c>
      <c r="P133" s="73" t="s">
        <v>310</v>
      </c>
      <c r="Q133" s="40"/>
      <c r="R133" s="38"/>
    </row>
    <row r="134" spans="1:18" s="19" customFormat="1" ht="84" x14ac:dyDescent="0.3">
      <c r="A134" s="66">
        <v>20240679</v>
      </c>
      <c r="B134" s="68">
        <v>7658</v>
      </c>
      <c r="C134" s="68" t="s">
        <v>82</v>
      </c>
      <c r="D134" s="68" t="s">
        <v>92</v>
      </c>
      <c r="E134" s="68">
        <v>80111600</v>
      </c>
      <c r="F134" s="68" t="s">
        <v>716</v>
      </c>
      <c r="G134" s="71">
        <v>45447</v>
      </c>
      <c r="H134" s="71">
        <v>45454</v>
      </c>
      <c r="I134" s="68">
        <v>2</v>
      </c>
      <c r="J134" s="68" t="s">
        <v>21</v>
      </c>
      <c r="K134" s="68" t="s">
        <v>22</v>
      </c>
      <c r="L134" s="68" t="s">
        <v>23</v>
      </c>
      <c r="M134" s="73">
        <v>12360000</v>
      </c>
      <c r="N134" s="68" t="s">
        <v>96</v>
      </c>
      <c r="O134" s="68" t="s">
        <v>25</v>
      </c>
      <c r="P134" s="73" t="s">
        <v>310</v>
      </c>
      <c r="Q134" s="40"/>
      <c r="R134" s="38"/>
    </row>
    <row r="135" spans="1:18" s="19" customFormat="1" ht="84" x14ac:dyDescent="0.3">
      <c r="A135" s="66">
        <v>20240680</v>
      </c>
      <c r="B135" s="68">
        <v>7658</v>
      </c>
      <c r="C135" s="68" t="s">
        <v>82</v>
      </c>
      <c r="D135" s="68" t="s">
        <v>92</v>
      </c>
      <c r="E135" s="68">
        <v>80111600</v>
      </c>
      <c r="F135" s="68" t="s">
        <v>717</v>
      </c>
      <c r="G135" s="71">
        <v>45467</v>
      </c>
      <c r="H135" s="71">
        <v>45473</v>
      </c>
      <c r="I135" s="68">
        <v>2</v>
      </c>
      <c r="J135" s="68" t="s">
        <v>21</v>
      </c>
      <c r="K135" s="68" t="s">
        <v>22</v>
      </c>
      <c r="L135" s="68" t="s">
        <v>23</v>
      </c>
      <c r="M135" s="73">
        <v>15200000</v>
      </c>
      <c r="N135" s="68" t="s">
        <v>96</v>
      </c>
      <c r="O135" s="68" t="s">
        <v>25</v>
      </c>
      <c r="P135" s="73" t="s">
        <v>310</v>
      </c>
      <c r="Q135" s="40"/>
      <c r="R135" s="38"/>
    </row>
    <row r="136" spans="1:18" s="19" customFormat="1" ht="84" x14ac:dyDescent="0.3">
      <c r="A136" s="66">
        <v>20240681</v>
      </c>
      <c r="B136" s="68">
        <v>7658</v>
      </c>
      <c r="C136" s="68" t="s">
        <v>82</v>
      </c>
      <c r="D136" s="68" t="s">
        <v>92</v>
      </c>
      <c r="E136" s="68">
        <v>80111600</v>
      </c>
      <c r="F136" s="68" t="s">
        <v>718</v>
      </c>
      <c r="G136" s="71">
        <v>45443</v>
      </c>
      <c r="H136" s="71">
        <v>45450</v>
      </c>
      <c r="I136" s="68">
        <v>2</v>
      </c>
      <c r="J136" s="68" t="s">
        <v>21</v>
      </c>
      <c r="K136" s="68" t="s">
        <v>22</v>
      </c>
      <c r="L136" s="68" t="s">
        <v>23</v>
      </c>
      <c r="M136" s="73">
        <v>14860000</v>
      </c>
      <c r="N136" s="68" t="s">
        <v>94</v>
      </c>
      <c r="O136" s="68" t="s">
        <v>25</v>
      </c>
      <c r="P136" s="73" t="s">
        <v>310</v>
      </c>
      <c r="Q136" s="40"/>
      <c r="R136" s="38"/>
    </row>
    <row r="137" spans="1:18" s="19" customFormat="1" ht="84" x14ac:dyDescent="0.3">
      <c r="A137" s="66">
        <v>20240682</v>
      </c>
      <c r="B137" s="68">
        <v>7658</v>
      </c>
      <c r="C137" s="68" t="s">
        <v>82</v>
      </c>
      <c r="D137" s="68" t="s">
        <v>92</v>
      </c>
      <c r="E137" s="68">
        <v>80111600</v>
      </c>
      <c r="F137" s="68" t="s">
        <v>719</v>
      </c>
      <c r="G137" s="71">
        <v>45471</v>
      </c>
      <c r="H137" s="71">
        <v>45478</v>
      </c>
      <c r="I137" s="68">
        <v>2</v>
      </c>
      <c r="J137" s="68" t="s">
        <v>21</v>
      </c>
      <c r="K137" s="68" t="s">
        <v>22</v>
      </c>
      <c r="L137" s="68" t="s">
        <v>23</v>
      </c>
      <c r="M137" s="73">
        <v>7600000</v>
      </c>
      <c r="N137" s="68" t="s">
        <v>96</v>
      </c>
      <c r="O137" s="68" t="s">
        <v>25</v>
      </c>
      <c r="P137" s="73" t="s">
        <v>310</v>
      </c>
      <c r="Q137" s="40"/>
      <c r="R137" s="38"/>
    </row>
    <row r="138" spans="1:18" s="19" customFormat="1" ht="84" x14ac:dyDescent="0.3">
      <c r="A138" s="66">
        <v>20240683</v>
      </c>
      <c r="B138" s="68">
        <v>7658</v>
      </c>
      <c r="C138" s="68" t="s">
        <v>82</v>
      </c>
      <c r="D138" s="68" t="s">
        <v>92</v>
      </c>
      <c r="E138" s="68">
        <v>80111600</v>
      </c>
      <c r="F138" s="68" t="s">
        <v>720</v>
      </c>
      <c r="G138" s="71">
        <v>45448</v>
      </c>
      <c r="H138" s="71">
        <v>45455</v>
      </c>
      <c r="I138" s="68">
        <v>2</v>
      </c>
      <c r="J138" s="68" t="s">
        <v>21</v>
      </c>
      <c r="K138" s="68" t="s">
        <v>22</v>
      </c>
      <c r="L138" s="68" t="s">
        <v>23</v>
      </c>
      <c r="M138" s="73">
        <v>8440000</v>
      </c>
      <c r="N138" s="68" t="s">
        <v>94</v>
      </c>
      <c r="O138" s="68" t="s">
        <v>25</v>
      </c>
      <c r="P138" s="73" t="s">
        <v>310</v>
      </c>
      <c r="Q138" s="40"/>
      <c r="R138" s="38"/>
    </row>
    <row r="139" spans="1:18" s="19" customFormat="1" ht="84" x14ac:dyDescent="0.3">
      <c r="A139" s="66">
        <v>20240684</v>
      </c>
      <c r="B139" s="68">
        <v>7658</v>
      </c>
      <c r="C139" s="68" t="s">
        <v>82</v>
      </c>
      <c r="D139" s="68" t="s">
        <v>92</v>
      </c>
      <c r="E139" s="68">
        <v>80111600</v>
      </c>
      <c r="F139" s="68" t="s">
        <v>721</v>
      </c>
      <c r="G139" s="71">
        <v>45436</v>
      </c>
      <c r="H139" s="71">
        <v>45444</v>
      </c>
      <c r="I139" s="68">
        <v>2</v>
      </c>
      <c r="J139" s="68" t="s">
        <v>21</v>
      </c>
      <c r="K139" s="68" t="s">
        <v>22</v>
      </c>
      <c r="L139" s="68" t="s">
        <v>23</v>
      </c>
      <c r="M139" s="73">
        <v>16000000</v>
      </c>
      <c r="N139" s="68" t="s">
        <v>94</v>
      </c>
      <c r="O139" s="68" t="s">
        <v>25</v>
      </c>
      <c r="P139" s="73" t="s">
        <v>310</v>
      </c>
      <c r="Q139" s="40"/>
      <c r="R139" s="38"/>
    </row>
    <row r="140" spans="1:18" s="19" customFormat="1" ht="84" x14ac:dyDescent="0.3">
      <c r="A140" s="66">
        <v>20240686</v>
      </c>
      <c r="B140" s="68">
        <v>7658</v>
      </c>
      <c r="C140" s="68" t="s">
        <v>82</v>
      </c>
      <c r="D140" s="68" t="s">
        <v>92</v>
      </c>
      <c r="E140" s="68">
        <v>80111600</v>
      </c>
      <c r="F140" s="68" t="s">
        <v>722</v>
      </c>
      <c r="G140" s="71">
        <v>45414</v>
      </c>
      <c r="H140" s="71">
        <v>45428</v>
      </c>
      <c r="I140" s="68">
        <v>4</v>
      </c>
      <c r="J140" s="68" t="s">
        <v>21</v>
      </c>
      <c r="K140" s="68" t="s">
        <v>22</v>
      </c>
      <c r="L140" s="68" t="s">
        <v>23</v>
      </c>
      <c r="M140" s="73">
        <v>12669440</v>
      </c>
      <c r="N140" s="68" t="s">
        <v>96</v>
      </c>
      <c r="O140" s="68" t="s">
        <v>25</v>
      </c>
      <c r="P140" s="73" t="s">
        <v>26</v>
      </c>
      <c r="Q140" s="40"/>
      <c r="R140" s="38"/>
    </row>
    <row r="141" spans="1:18" s="19" customFormat="1" ht="84" x14ac:dyDescent="0.3">
      <c r="A141" s="66">
        <v>20240687</v>
      </c>
      <c r="B141" s="68">
        <v>7658</v>
      </c>
      <c r="C141" s="68" t="s">
        <v>82</v>
      </c>
      <c r="D141" s="68" t="s">
        <v>92</v>
      </c>
      <c r="E141" s="68">
        <v>80111600</v>
      </c>
      <c r="F141" s="68" t="s">
        <v>723</v>
      </c>
      <c r="G141" s="71">
        <v>45457</v>
      </c>
      <c r="H141" s="71">
        <v>45465</v>
      </c>
      <c r="I141" s="68">
        <v>2</v>
      </c>
      <c r="J141" s="68" t="s">
        <v>21</v>
      </c>
      <c r="K141" s="68" t="s">
        <v>22</v>
      </c>
      <c r="L141" s="68" t="s">
        <v>23</v>
      </c>
      <c r="M141" s="73">
        <v>14400000</v>
      </c>
      <c r="N141" s="68" t="s">
        <v>96</v>
      </c>
      <c r="O141" s="68" t="s">
        <v>25</v>
      </c>
      <c r="P141" s="73" t="s">
        <v>310</v>
      </c>
      <c r="Q141" s="40"/>
      <c r="R141" s="38"/>
    </row>
    <row r="142" spans="1:18" s="19" customFormat="1" ht="84" x14ac:dyDescent="0.3">
      <c r="A142" s="66">
        <v>20240688</v>
      </c>
      <c r="B142" s="68">
        <v>7658</v>
      </c>
      <c r="C142" s="68" t="s">
        <v>82</v>
      </c>
      <c r="D142" s="68" t="s">
        <v>92</v>
      </c>
      <c r="E142" s="68">
        <v>80111600</v>
      </c>
      <c r="F142" s="68" t="s">
        <v>724</v>
      </c>
      <c r="G142" s="71">
        <v>45414</v>
      </c>
      <c r="H142" s="71">
        <v>45428</v>
      </c>
      <c r="I142" s="68">
        <v>4</v>
      </c>
      <c r="J142" s="68" t="s">
        <v>21</v>
      </c>
      <c r="K142" s="68" t="s">
        <v>22</v>
      </c>
      <c r="L142" s="68" t="s">
        <v>23</v>
      </c>
      <c r="M142" s="73">
        <v>12000000</v>
      </c>
      <c r="N142" s="68" t="s">
        <v>96</v>
      </c>
      <c r="O142" s="68" t="s">
        <v>25</v>
      </c>
      <c r="P142" s="73" t="s">
        <v>26</v>
      </c>
      <c r="Q142" s="40"/>
      <c r="R142" s="38"/>
    </row>
    <row r="143" spans="1:18" s="19" customFormat="1" ht="84" x14ac:dyDescent="0.3">
      <c r="A143" s="66">
        <v>20240689</v>
      </c>
      <c r="B143" s="68">
        <v>7658</v>
      </c>
      <c r="C143" s="68" t="s">
        <v>82</v>
      </c>
      <c r="D143" s="68" t="s">
        <v>92</v>
      </c>
      <c r="E143" s="68">
        <v>80111600</v>
      </c>
      <c r="F143" s="68" t="s">
        <v>725</v>
      </c>
      <c r="G143" s="71">
        <v>45414</v>
      </c>
      <c r="H143" s="71">
        <v>45428</v>
      </c>
      <c r="I143" s="68">
        <v>4</v>
      </c>
      <c r="J143" s="68" t="s">
        <v>21</v>
      </c>
      <c r="K143" s="68" t="s">
        <v>22</v>
      </c>
      <c r="L143" s="68" t="s">
        <v>23</v>
      </c>
      <c r="M143" s="73">
        <v>12000000</v>
      </c>
      <c r="N143" s="68" t="s">
        <v>94</v>
      </c>
      <c r="O143" s="68" t="s">
        <v>25</v>
      </c>
      <c r="P143" s="73" t="s">
        <v>26</v>
      </c>
      <c r="Q143" s="40"/>
      <c r="R143" s="38"/>
    </row>
    <row r="144" spans="1:18" s="19" customFormat="1" ht="84" x14ac:dyDescent="0.3">
      <c r="A144" s="66">
        <v>20240690</v>
      </c>
      <c r="B144" s="68">
        <v>7658</v>
      </c>
      <c r="C144" s="68" t="s">
        <v>82</v>
      </c>
      <c r="D144" s="68" t="s">
        <v>92</v>
      </c>
      <c r="E144" s="68" t="s">
        <v>531</v>
      </c>
      <c r="F144" s="68" t="s">
        <v>529</v>
      </c>
      <c r="G144" s="71">
        <v>45337</v>
      </c>
      <c r="H144" s="71">
        <v>45337</v>
      </c>
      <c r="I144" s="68">
        <v>1</v>
      </c>
      <c r="J144" s="68" t="s">
        <v>97</v>
      </c>
      <c r="K144" s="68" t="s">
        <v>22</v>
      </c>
      <c r="L144" s="68" t="s">
        <v>98</v>
      </c>
      <c r="M144" s="73">
        <v>30000000</v>
      </c>
      <c r="N144" s="68" t="s">
        <v>96</v>
      </c>
      <c r="O144" s="68" t="s">
        <v>25</v>
      </c>
      <c r="P144" s="73" t="s">
        <v>310</v>
      </c>
      <c r="Q144" s="40"/>
      <c r="R144" s="38"/>
    </row>
    <row r="145" spans="1:18" s="19" customFormat="1" ht="56" x14ac:dyDescent="0.3">
      <c r="A145" s="66">
        <v>20240691</v>
      </c>
      <c r="B145" s="68">
        <v>7655</v>
      </c>
      <c r="C145" s="68" t="s">
        <v>18</v>
      </c>
      <c r="D145" s="68" t="s">
        <v>727</v>
      </c>
      <c r="E145" s="68">
        <v>80111600</v>
      </c>
      <c r="F145" s="68" t="s">
        <v>728</v>
      </c>
      <c r="G145" s="71">
        <v>45405</v>
      </c>
      <c r="H145" s="71">
        <v>45426</v>
      </c>
      <c r="I145" s="68">
        <v>2</v>
      </c>
      <c r="J145" s="68" t="s">
        <v>21</v>
      </c>
      <c r="K145" s="68" t="s">
        <v>22</v>
      </c>
      <c r="L145" s="68" t="s">
        <v>23</v>
      </c>
      <c r="M145" s="73">
        <v>13225166</v>
      </c>
      <c r="N145" s="68" t="s">
        <v>24</v>
      </c>
      <c r="O145" s="68" t="s">
        <v>80</v>
      </c>
      <c r="P145" s="73" t="s">
        <v>310</v>
      </c>
      <c r="Q145" s="40"/>
      <c r="R145" s="38"/>
    </row>
    <row r="146" spans="1:18" s="19" customFormat="1" ht="70" x14ac:dyDescent="0.3">
      <c r="A146" s="66">
        <v>20240692</v>
      </c>
      <c r="B146" s="68">
        <v>7655</v>
      </c>
      <c r="C146" s="68" t="s">
        <v>18</v>
      </c>
      <c r="D146" s="68" t="s">
        <v>727</v>
      </c>
      <c r="E146" s="68">
        <v>80111600</v>
      </c>
      <c r="F146" s="68" t="s">
        <v>729</v>
      </c>
      <c r="G146" s="71">
        <v>45405</v>
      </c>
      <c r="H146" s="71">
        <v>45426</v>
      </c>
      <c r="I146" s="68">
        <v>2</v>
      </c>
      <c r="J146" s="68" t="s">
        <v>21</v>
      </c>
      <c r="K146" s="68" t="s">
        <v>22</v>
      </c>
      <c r="L146" s="68" t="s">
        <v>23</v>
      </c>
      <c r="M146" s="73">
        <v>6579404</v>
      </c>
      <c r="N146" s="68" t="s">
        <v>24</v>
      </c>
      <c r="O146" s="68" t="s">
        <v>80</v>
      </c>
      <c r="P146" s="73" t="s">
        <v>310</v>
      </c>
      <c r="Q146" s="40"/>
      <c r="R146" s="38"/>
    </row>
    <row r="147" spans="1:18" s="19" customFormat="1" ht="56" x14ac:dyDescent="0.3">
      <c r="A147" s="66">
        <v>20240693</v>
      </c>
      <c r="B147" s="68">
        <v>7655</v>
      </c>
      <c r="C147" s="68" t="s">
        <v>18</v>
      </c>
      <c r="D147" s="68" t="s">
        <v>727</v>
      </c>
      <c r="E147" s="68">
        <v>80111600</v>
      </c>
      <c r="F147" s="68" t="s">
        <v>730</v>
      </c>
      <c r="G147" s="71">
        <v>45405</v>
      </c>
      <c r="H147" s="71">
        <v>45426</v>
      </c>
      <c r="I147" s="68">
        <v>2</v>
      </c>
      <c r="J147" s="68" t="s">
        <v>21</v>
      </c>
      <c r="K147" s="68" t="s">
        <v>22</v>
      </c>
      <c r="L147" s="68" t="s">
        <v>23</v>
      </c>
      <c r="M147" s="73">
        <v>13225166</v>
      </c>
      <c r="N147" s="68" t="s">
        <v>24</v>
      </c>
      <c r="O147" s="68" t="s">
        <v>80</v>
      </c>
      <c r="P147" s="73" t="s">
        <v>310</v>
      </c>
      <c r="Q147" s="40"/>
      <c r="R147" s="38"/>
    </row>
    <row r="148" spans="1:18" s="19" customFormat="1" ht="56" x14ac:dyDescent="0.3">
      <c r="A148" s="66">
        <v>20240694</v>
      </c>
      <c r="B148" s="68">
        <v>7655</v>
      </c>
      <c r="C148" s="68" t="s">
        <v>18</v>
      </c>
      <c r="D148" s="68" t="s">
        <v>727</v>
      </c>
      <c r="E148" s="68">
        <v>80111600</v>
      </c>
      <c r="F148" s="68" t="s">
        <v>731</v>
      </c>
      <c r="G148" s="71">
        <v>45405</v>
      </c>
      <c r="H148" s="71">
        <v>45426</v>
      </c>
      <c r="I148" s="68">
        <v>2</v>
      </c>
      <c r="J148" s="68" t="s">
        <v>21</v>
      </c>
      <c r="K148" s="68" t="s">
        <v>22</v>
      </c>
      <c r="L148" s="68" t="s">
        <v>23</v>
      </c>
      <c r="M148" s="73">
        <v>7616166</v>
      </c>
      <c r="N148" s="68" t="s">
        <v>24</v>
      </c>
      <c r="O148" s="68" t="s">
        <v>80</v>
      </c>
      <c r="P148" s="73" t="s">
        <v>310</v>
      </c>
      <c r="Q148" s="40"/>
      <c r="R148" s="38"/>
    </row>
    <row r="149" spans="1:18" s="19" customFormat="1" ht="84" x14ac:dyDescent="0.3">
      <c r="A149" s="66">
        <v>20240695</v>
      </c>
      <c r="B149" s="68">
        <v>7655</v>
      </c>
      <c r="C149" s="68" t="s">
        <v>18</v>
      </c>
      <c r="D149" s="68" t="s">
        <v>19</v>
      </c>
      <c r="E149" s="68">
        <v>80111600</v>
      </c>
      <c r="F149" s="68" t="s">
        <v>734</v>
      </c>
      <c r="G149" s="71">
        <v>45405</v>
      </c>
      <c r="H149" s="71">
        <v>45427</v>
      </c>
      <c r="I149" s="68">
        <v>2</v>
      </c>
      <c r="J149" s="68" t="s">
        <v>21</v>
      </c>
      <c r="K149" s="68" t="s">
        <v>22</v>
      </c>
      <c r="L149" s="68" t="s">
        <v>23</v>
      </c>
      <c r="M149" s="73">
        <v>8670240</v>
      </c>
      <c r="N149" s="68" t="s">
        <v>24</v>
      </c>
      <c r="O149" s="68" t="s">
        <v>80</v>
      </c>
      <c r="P149" s="73" t="s">
        <v>310</v>
      </c>
      <c r="Q149" s="40"/>
      <c r="R149" s="38"/>
    </row>
    <row r="150" spans="1:18" s="19" customFormat="1" ht="70" x14ac:dyDescent="0.3">
      <c r="A150" s="66">
        <v>20240696</v>
      </c>
      <c r="B150" s="68">
        <v>7655</v>
      </c>
      <c r="C150" s="68" t="s">
        <v>18</v>
      </c>
      <c r="D150" s="68" t="s">
        <v>19</v>
      </c>
      <c r="E150" s="68">
        <v>80111600</v>
      </c>
      <c r="F150" s="68" t="s">
        <v>735</v>
      </c>
      <c r="G150" s="71">
        <v>45405</v>
      </c>
      <c r="H150" s="71">
        <v>45427</v>
      </c>
      <c r="I150" s="68">
        <v>2</v>
      </c>
      <c r="J150" s="68" t="s">
        <v>21</v>
      </c>
      <c r="K150" s="68" t="s">
        <v>22</v>
      </c>
      <c r="L150" s="68" t="s">
        <v>23</v>
      </c>
      <c r="M150" s="73">
        <v>7000000</v>
      </c>
      <c r="N150" s="68" t="s">
        <v>24</v>
      </c>
      <c r="O150" s="68" t="s">
        <v>80</v>
      </c>
      <c r="P150" s="73" t="s">
        <v>310</v>
      </c>
      <c r="Q150" s="40"/>
      <c r="R150" s="38"/>
    </row>
    <row r="151" spans="1:18" s="19" customFormat="1" ht="56" x14ac:dyDescent="0.3">
      <c r="A151" s="66">
        <v>20240697</v>
      </c>
      <c r="B151" s="68">
        <v>7655</v>
      </c>
      <c r="C151" s="68" t="s">
        <v>18</v>
      </c>
      <c r="D151" s="68" t="s">
        <v>19</v>
      </c>
      <c r="E151" s="68">
        <v>80111600</v>
      </c>
      <c r="F151" s="68" t="s">
        <v>736</v>
      </c>
      <c r="G151" s="71">
        <v>45405</v>
      </c>
      <c r="H151" s="71">
        <v>45427</v>
      </c>
      <c r="I151" s="68">
        <v>2</v>
      </c>
      <c r="J151" s="68" t="s">
        <v>21</v>
      </c>
      <c r="K151" s="68" t="s">
        <v>22</v>
      </c>
      <c r="L151" s="68" t="s">
        <v>23</v>
      </c>
      <c r="M151" s="73">
        <v>5542880</v>
      </c>
      <c r="N151" s="68" t="s">
        <v>24</v>
      </c>
      <c r="O151" s="68" t="s">
        <v>80</v>
      </c>
      <c r="P151" s="73" t="s">
        <v>310</v>
      </c>
      <c r="Q151" s="40"/>
      <c r="R151" s="38"/>
    </row>
    <row r="152" spans="1:18" s="19" customFormat="1" ht="56" x14ac:dyDescent="0.3">
      <c r="A152" s="66">
        <v>20240698</v>
      </c>
      <c r="B152" s="68">
        <v>7655</v>
      </c>
      <c r="C152" s="68" t="s">
        <v>18</v>
      </c>
      <c r="D152" s="68" t="s">
        <v>19</v>
      </c>
      <c r="E152" s="68">
        <v>80111600</v>
      </c>
      <c r="F152" s="68" t="s">
        <v>737</v>
      </c>
      <c r="G152" s="71">
        <v>45405</v>
      </c>
      <c r="H152" s="71">
        <v>45427</v>
      </c>
      <c r="I152" s="68">
        <v>2</v>
      </c>
      <c r="J152" s="68" t="s">
        <v>21</v>
      </c>
      <c r="K152" s="68" t="s">
        <v>22</v>
      </c>
      <c r="L152" s="68" t="s">
        <v>23</v>
      </c>
      <c r="M152" s="73">
        <v>5542880</v>
      </c>
      <c r="N152" s="68" t="s">
        <v>24</v>
      </c>
      <c r="O152" s="68" t="s">
        <v>80</v>
      </c>
      <c r="P152" s="73" t="s">
        <v>310</v>
      </c>
      <c r="Q152" s="40"/>
      <c r="R152" s="38"/>
    </row>
    <row r="153" spans="1:18" s="19" customFormat="1" ht="56" x14ac:dyDescent="0.3">
      <c r="A153" s="66">
        <v>20240699</v>
      </c>
      <c r="B153" s="68">
        <v>7655</v>
      </c>
      <c r="C153" s="68" t="s">
        <v>18</v>
      </c>
      <c r="D153" s="68" t="s">
        <v>19</v>
      </c>
      <c r="E153" s="68">
        <v>80111600</v>
      </c>
      <c r="F153" s="68" t="s">
        <v>738</v>
      </c>
      <c r="G153" s="71">
        <v>45405</v>
      </c>
      <c r="H153" s="71">
        <v>45427</v>
      </c>
      <c r="I153" s="68">
        <v>4</v>
      </c>
      <c r="J153" s="68" t="s">
        <v>21</v>
      </c>
      <c r="K153" s="68" t="s">
        <v>22</v>
      </c>
      <c r="L153" s="68" t="s">
        <v>23</v>
      </c>
      <c r="M153" s="73">
        <f>2771440*4</f>
        <v>11085760</v>
      </c>
      <c r="N153" s="68" t="s">
        <v>24</v>
      </c>
      <c r="O153" s="68" t="s">
        <v>80</v>
      </c>
      <c r="P153" s="73" t="s">
        <v>26</v>
      </c>
      <c r="Q153" s="40"/>
      <c r="R153" s="38"/>
    </row>
    <row r="154" spans="1:18" s="19" customFormat="1" ht="84" x14ac:dyDescent="0.3">
      <c r="A154" s="66">
        <v>20240700</v>
      </c>
      <c r="B154" s="68">
        <v>7658</v>
      </c>
      <c r="C154" s="68" t="s">
        <v>82</v>
      </c>
      <c r="D154" s="68" t="s">
        <v>19</v>
      </c>
      <c r="E154" s="68">
        <v>80111600</v>
      </c>
      <c r="F154" s="68" t="s">
        <v>739</v>
      </c>
      <c r="G154" s="71">
        <v>45405</v>
      </c>
      <c r="H154" s="71">
        <v>45417</v>
      </c>
      <c r="I154" s="68">
        <v>2</v>
      </c>
      <c r="J154" s="68" t="s">
        <v>21</v>
      </c>
      <c r="K154" s="68" t="s">
        <v>22</v>
      </c>
      <c r="L154" s="68" t="s">
        <v>23</v>
      </c>
      <c r="M154" s="73">
        <v>15384320</v>
      </c>
      <c r="N154" s="68" t="s">
        <v>38</v>
      </c>
      <c r="O154" s="68" t="s">
        <v>25</v>
      </c>
      <c r="P154" s="73" t="s">
        <v>310</v>
      </c>
      <c r="Q154" s="40"/>
      <c r="R154" s="38"/>
    </row>
    <row r="155" spans="1:18" s="19" customFormat="1" ht="84" x14ac:dyDescent="0.3">
      <c r="A155" s="66">
        <v>20240701</v>
      </c>
      <c r="B155" s="68">
        <v>7658</v>
      </c>
      <c r="C155" s="68" t="s">
        <v>82</v>
      </c>
      <c r="D155" s="68" t="s">
        <v>19</v>
      </c>
      <c r="E155" s="68">
        <v>80111600</v>
      </c>
      <c r="F155" s="68" t="s">
        <v>740</v>
      </c>
      <c r="G155" s="71">
        <v>45405</v>
      </c>
      <c r="H155" s="71">
        <v>45417</v>
      </c>
      <c r="I155" s="68">
        <v>2</v>
      </c>
      <c r="J155" s="68" t="s">
        <v>21</v>
      </c>
      <c r="K155" s="68" t="s">
        <v>22</v>
      </c>
      <c r="L155" s="68" t="s">
        <v>23</v>
      </c>
      <c r="M155" s="73">
        <v>16515520</v>
      </c>
      <c r="N155" s="68" t="s">
        <v>38</v>
      </c>
      <c r="O155" s="68" t="s">
        <v>25</v>
      </c>
      <c r="P155" s="73" t="s">
        <v>310</v>
      </c>
      <c r="Q155" s="40"/>
      <c r="R155" s="38"/>
    </row>
    <row r="156" spans="1:18" s="19" customFormat="1" ht="84" x14ac:dyDescent="0.3">
      <c r="A156" s="66">
        <v>20240702</v>
      </c>
      <c r="B156" s="68">
        <v>7658</v>
      </c>
      <c r="C156" s="68" t="s">
        <v>82</v>
      </c>
      <c r="D156" s="68" t="s">
        <v>19</v>
      </c>
      <c r="E156" s="68">
        <v>80111600</v>
      </c>
      <c r="F156" s="68" t="s">
        <v>741</v>
      </c>
      <c r="G156" s="71">
        <v>45405</v>
      </c>
      <c r="H156" s="71">
        <v>45417</v>
      </c>
      <c r="I156" s="68">
        <v>2</v>
      </c>
      <c r="J156" s="68" t="s">
        <v>21</v>
      </c>
      <c r="K156" s="68" t="s">
        <v>22</v>
      </c>
      <c r="L156" s="68" t="s">
        <v>23</v>
      </c>
      <c r="M156" s="73">
        <v>15384320</v>
      </c>
      <c r="N156" s="68" t="s">
        <v>38</v>
      </c>
      <c r="O156" s="68" t="s">
        <v>25</v>
      </c>
      <c r="P156" s="73" t="s">
        <v>310</v>
      </c>
      <c r="Q156" s="40"/>
      <c r="R156" s="38"/>
    </row>
    <row r="157" spans="1:18" s="19" customFormat="1" ht="84" x14ac:dyDescent="0.3">
      <c r="A157" s="66">
        <v>20240703</v>
      </c>
      <c r="B157" s="68">
        <v>7658</v>
      </c>
      <c r="C157" s="68" t="s">
        <v>82</v>
      </c>
      <c r="D157" s="68" t="s">
        <v>19</v>
      </c>
      <c r="E157" s="68">
        <v>80111600</v>
      </c>
      <c r="F157" s="68" t="s">
        <v>742</v>
      </c>
      <c r="G157" s="71">
        <v>45405</v>
      </c>
      <c r="H157" s="71">
        <v>45417</v>
      </c>
      <c r="I157" s="68">
        <v>2</v>
      </c>
      <c r="J157" s="68" t="s">
        <v>21</v>
      </c>
      <c r="K157" s="68" t="s">
        <v>22</v>
      </c>
      <c r="L157" s="68" t="s">
        <v>23</v>
      </c>
      <c r="M157" s="73">
        <v>12000000</v>
      </c>
      <c r="N157" s="68" t="s">
        <v>38</v>
      </c>
      <c r="O157" s="68" t="s">
        <v>25</v>
      </c>
      <c r="P157" s="73" t="s">
        <v>310</v>
      </c>
      <c r="Q157" s="40"/>
      <c r="R157" s="38"/>
    </row>
    <row r="158" spans="1:18" s="19" customFormat="1" ht="84" x14ac:dyDescent="0.3">
      <c r="A158" s="66">
        <v>20240704</v>
      </c>
      <c r="B158" s="68">
        <v>7658</v>
      </c>
      <c r="C158" s="68" t="s">
        <v>82</v>
      </c>
      <c r="D158" s="68" t="s">
        <v>19</v>
      </c>
      <c r="E158" s="68">
        <v>80111600</v>
      </c>
      <c r="F158" s="68" t="s">
        <v>743</v>
      </c>
      <c r="G158" s="71">
        <v>45405</v>
      </c>
      <c r="H158" s="71">
        <v>45417</v>
      </c>
      <c r="I158" s="68">
        <v>2</v>
      </c>
      <c r="J158" s="68" t="s">
        <v>21</v>
      </c>
      <c r="K158" s="68" t="s">
        <v>22</v>
      </c>
      <c r="L158" s="68" t="s">
        <v>23</v>
      </c>
      <c r="M158" s="73">
        <v>15384320</v>
      </c>
      <c r="N158" s="68" t="s">
        <v>38</v>
      </c>
      <c r="O158" s="68" t="s">
        <v>25</v>
      </c>
      <c r="P158" s="73" t="s">
        <v>310</v>
      </c>
      <c r="Q158" s="40"/>
      <c r="R158" s="38"/>
    </row>
    <row r="159" spans="1:18" s="19" customFormat="1" ht="84" x14ac:dyDescent="0.3">
      <c r="A159" s="66">
        <v>20240705</v>
      </c>
      <c r="B159" s="68">
        <v>7658</v>
      </c>
      <c r="C159" s="68" t="s">
        <v>82</v>
      </c>
      <c r="D159" s="68" t="s">
        <v>19</v>
      </c>
      <c r="E159" s="68">
        <v>80111600</v>
      </c>
      <c r="F159" s="68" t="s">
        <v>744</v>
      </c>
      <c r="G159" s="71">
        <v>45405</v>
      </c>
      <c r="H159" s="71">
        <v>45417</v>
      </c>
      <c r="I159" s="68">
        <v>2</v>
      </c>
      <c r="J159" s="68" t="s">
        <v>21</v>
      </c>
      <c r="K159" s="68" t="s">
        <v>22</v>
      </c>
      <c r="L159" s="68" t="s">
        <v>23</v>
      </c>
      <c r="M159" s="73">
        <v>13600000</v>
      </c>
      <c r="N159" s="68" t="s">
        <v>38</v>
      </c>
      <c r="O159" s="68" t="s">
        <v>25</v>
      </c>
      <c r="P159" s="73" t="s">
        <v>310</v>
      </c>
      <c r="Q159" s="40"/>
      <c r="R159" s="38"/>
    </row>
    <row r="160" spans="1:18" s="19" customFormat="1" ht="84" x14ac:dyDescent="0.3">
      <c r="A160" s="66">
        <v>20240706</v>
      </c>
      <c r="B160" s="68">
        <v>7658</v>
      </c>
      <c r="C160" s="68" t="s">
        <v>82</v>
      </c>
      <c r="D160" s="68" t="s">
        <v>19</v>
      </c>
      <c r="E160" s="68">
        <v>80111600</v>
      </c>
      <c r="F160" s="68" t="s">
        <v>745</v>
      </c>
      <c r="G160" s="71">
        <v>45405</v>
      </c>
      <c r="H160" s="71">
        <v>45417</v>
      </c>
      <c r="I160" s="68">
        <v>2</v>
      </c>
      <c r="J160" s="68" t="s">
        <v>21</v>
      </c>
      <c r="K160" s="68" t="s">
        <v>22</v>
      </c>
      <c r="L160" s="68" t="s">
        <v>23</v>
      </c>
      <c r="M160" s="73">
        <v>10700000</v>
      </c>
      <c r="N160" s="68" t="s">
        <v>38</v>
      </c>
      <c r="O160" s="68" t="s">
        <v>25</v>
      </c>
      <c r="P160" s="73" t="s">
        <v>310</v>
      </c>
      <c r="Q160" s="40"/>
      <c r="R160" s="38"/>
    </row>
    <row r="161" spans="1:18" s="19" customFormat="1" ht="70" x14ac:dyDescent="0.3">
      <c r="A161" s="78">
        <v>20240707</v>
      </c>
      <c r="B161" s="80">
        <v>7658</v>
      </c>
      <c r="C161" s="80" t="s">
        <v>82</v>
      </c>
      <c r="D161" s="80" t="s">
        <v>116</v>
      </c>
      <c r="E161" s="80">
        <v>80111600</v>
      </c>
      <c r="F161" s="80" t="s">
        <v>748</v>
      </c>
      <c r="G161" s="83">
        <v>45387</v>
      </c>
      <c r="H161" s="83">
        <v>45413</v>
      </c>
      <c r="I161" s="80">
        <v>1.5</v>
      </c>
      <c r="J161" s="80" t="s">
        <v>21</v>
      </c>
      <c r="K161" s="80" t="s">
        <v>22</v>
      </c>
      <c r="L161" s="80" t="s">
        <v>23</v>
      </c>
      <c r="M161" s="85">
        <v>8250000</v>
      </c>
      <c r="N161" s="80" t="s">
        <v>118</v>
      </c>
      <c r="O161" s="80" t="s">
        <v>119</v>
      </c>
      <c r="P161" s="85" t="s">
        <v>310</v>
      </c>
      <c r="Q161" s="40"/>
      <c r="R161" s="38"/>
    </row>
    <row r="162" spans="1:18" s="19" customFormat="1" ht="70" x14ac:dyDescent="0.3">
      <c r="A162" s="78">
        <v>20240708</v>
      </c>
      <c r="B162" s="80">
        <v>7658</v>
      </c>
      <c r="C162" s="80" t="s">
        <v>82</v>
      </c>
      <c r="D162" s="80" t="s">
        <v>116</v>
      </c>
      <c r="E162" s="80">
        <v>80111600</v>
      </c>
      <c r="F162" s="80" t="s">
        <v>749</v>
      </c>
      <c r="G162" s="83">
        <v>45387</v>
      </c>
      <c r="H162" s="83">
        <v>45413</v>
      </c>
      <c r="I162" s="80">
        <v>1</v>
      </c>
      <c r="J162" s="80" t="s">
        <v>21</v>
      </c>
      <c r="K162" s="80" t="s">
        <v>22</v>
      </c>
      <c r="L162" s="80" t="s">
        <v>23</v>
      </c>
      <c r="M162" s="85">
        <v>6000000</v>
      </c>
      <c r="N162" s="80" t="s">
        <v>118</v>
      </c>
      <c r="O162" s="80" t="s">
        <v>119</v>
      </c>
      <c r="P162" s="85" t="s">
        <v>310</v>
      </c>
      <c r="Q162" s="40"/>
      <c r="R162" s="38"/>
    </row>
    <row r="163" spans="1:18" s="19" customFormat="1" ht="70" x14ac:dyDescent="0.3">
      <c r="A163" s="78">
        <v>20240709</v>
      </c>
      <c r="B163" s="80">
        <v>7658</v>
      </c>
      <c r="C163" s="80" t="s">
        <v>82</v>
      </c>
      <c r="D163" s="80" t="s">
        <v>116</v>
      </c>
      <c r="E163" s="80">
        <v>80111600</v>
      </c>
      <c r="F163" s="80" t="s">
        <v>140</v>
      </c>
      <c r="G163" s="83">
        <v>45387</v>
      </c>
      <c r="H163" s="83">
        <v>45413</v>
      </c>
      <c r="I163" s="80">
        <v>7</v>
      </c>
      <c r="J163" s="80" t="s">
        <v>21</v>
      </c>
      <c r="K163" s="80" t="s">
        <v>22</v>
      </c>
      <c r="L163" s="80" t="s">
        <v>23</v>
      </c>
      <c r="M163" s="85">
        <v>21000000</v>
      </c>
      <c r="N163" s="80" t="s">
        <v>118</v>
      </c>
      <c r="O163" s="80" t="s">
        <v>119</v>
      </c>
      <c r="P163" s="85" t="s">
        <v>26</v>
      </c>
      <c r="Q163" s="40"/>
      <c r="R163" s="38"/>
    </row>
    <row r="164" spans="1:18" s="19" customFormat="1" ht="70" x14ac:dyDescent="0.3">
      <c r="A164" s="78">
        <v>20240710</v>
      </c>
      <c r="B164" s="80">
        <v>7658</v>
      </c>
      <c r="C164" s="80" t="s">
        <v>82</v>
      </c>
      <c r="D164" s="80" t="s">
        <v>116</v>
      </c>
      <c r="E164" s="80">
        <v>80111600</v>
      </c>
      <c r="F164" s="80" t="s">
        <v>140</v>
      </c>
      <c r="G164" s="83">
        <v>45387</v>
      </c>
      <c r="H164" s="83">
        <v>45413</v>
      </c>
      <c r="I164" s="80">
        <v>7</v>
      </c>
      <c r="J164" s="80" t="s">
        <v>21</v>
      </c>
      <c r="K164" s="80" t="s">
        <v>22</v>
      </c>
      <c r="L164" s="80" t="s">
        <v>23</v>
      </c>
      <c r="M164" s="85">
        <v>21000000</v>
      </c>
      <c r="N164" s="80" t="s">
        <v>118</v>
      </c>
      <c r="O164" s="80" t="s">
        <v>119</v>
      </c>
      <c r="P164" s="85" t="s">
        <v>26</v>
      </c>
      <c r="Q164" s="40"/>
      <c r="R164" s="38"/>
    </row>
    <row r="165" spans="1:18" s="19" customFormat="1" ht="70" x14ac:dyDescent="0.3">
      <c r="A165" s="78">
        <v>20240711</v>
      </c>
      <c r="B165" s="80">
        <v>7658</v>
      </c>
      <c r="C165" s="80" t="s">
        <v>82</v>
      </c>
      <c r="D165" s="80" t="s">
        <v>116</v>
      </c>
      <c r="E165" s="80">
        <v>80111600</v>
      </c>
      <c r="F165" s="80" t="s">
        <v>140</v>
      </c>
      <c r="G165" s="83">
        <v>45387</v>
      </c>
      <c r="H165" s="83">
        <v>45413</v>
      </c>
      <c r="I165" s="80">
        <v>7</v>
      </c>
      <c r="J165" s="80" t="s">
        <v>21</v>
      </c>
      <c r="K165" s="80" t="s">
        <v>22</v>
      </c>
      <c r="L165" s="80" t="s">
        <v>23</v>
      </c>
      <c r="M165" s="85">
        <v>21000000</v>
      </c>
      <c r="N165" s="80" t="s">
        <v>118</v>
      </c>
      <c r="O165" s="80" t="s">
        <v>119</v>
      </c>
      <c r="P165" s="85" t="s">
        <v>26</v>
      </c>
      <c r="Q165" s="40"/>
      <c r="R165" s="38"/>
    </row>
    <row r="166" spans="1:18" s="19" customFormat="1" ht="70" x14ac:dyDescent="0.3">
      <c r="A166" s="78">
        <v>20240712</v>
      </c>
      <c r="B166" s="80">
        <v>7658</v>
      </c>
      <c r="C166" s="80" t="s">
        <v>82</v>
      </c>
      <c r="D166" s="80" t="s">
        <v>116</v>
      </c>
      <c r="E166" s="80">
        <v>80111600</v>
      </c>
      <c r="F166" s="80" t="s">
        <v>140</v>
      </c>
      <c r="G166" s="83">
        <v>45387</v>
      </c>
      <c r="H166" s="83">
        <v>45413</v>
      </c>
      <c r="I166" s="80">
        <v>7</v>
      </c>
      <c r="J166" s="80" t="s">
        <v>21</v>
      </c>
      <c r="K166" s="80" t="s">
        <v>22</v>
      </c>
      <c r="L166" s="80" t="s">
        <v>23</v>
      </c>
      <c r="M166" s="85">
        <v>21000000</v>
      </c>
      <c r="N166" s="80" t="s">
        <v>118</v>
      </c>
      <c r="O166" s="80" t="s">
        <v>119</v>
      </c>
      <c r="P166" s="85" t="s">
        <v>26</v>
      </c>
      <c r="Q166" s="40"/>
      <c r="R166" s="38"/>
    </row>
    <row r="167" spans="1:18" s="19" customFormat="1" ht="70" x14ac:dyDescent="0.3">
      <c r="A167" s="78">
        <v>20240713</v>
      </c>
      <c r="B167" s="80">
        <v>7658</v>
      </c>
      <c r="C167" s="80" t="s">
        <v>82</v>
      </c>
      <c r="D167" s="80" t="s">
        <v>116</v>
      </c>
      <c r="E167" s="80">
        <v>80111600</v>
      </c>
      <c r="F167" s="80" t="s">
        <v>140</v>
      </c>
      <c r="G167" s="83">
        <v>45387</v>
      </c>
      <c r="H167" s="83">
        <v>45413</v>
      </c>
      <c r="I167" s="80">
        <v>7</v>
      </c>
      <c r="J167" s="80" t="s">
        <v>21</v>
      </c>
      <c r="K167" s="80" t="s">
        <v>22</v>
      </c>
      <c r="L167" s="80" t="s">
        <v>23</v>
      </c>
      <c r="M167" s="85">
        <v>21000000</v>
      </c>
      <c r="N167" s="80" t="s">
        <v>118</v>
      </c>
      <c r="O167" s="80" t="s">
        <v>119</v>
      </c>
      <c r="P167" s="85" t="s">
        <v>26</v>
      </c>
      <c r="Q167" s="40"/>
      <c r="R167" s="38"/>
    </row>
    <row r="168" spans="1:18" s="19" customFormat="1" ht="70" x14ac:dyDescent="0.3">
      <c r="A168" s="78">
        <v>20240714</v>
      </c>
      <c r="B168" s="80">
        <v>7658</v>
      </c>
      <c r="C168" s="80" t="s">
        <v>82</v>
      </c>
      <c r="D168" s="80" t="s">
        <v>116</v>
      </c>
      <c r="E168" s="80">
        <v>80111600</v>
      </c>
      <c r="F168" s="80" t="s">
        <v>145</v>
      </c>
      <c r="G168" s="83">
        <v>45387</v>
      </c>
      <c r="H168" s="83">
        <v>45413</v>
      </c>
      <c r="I168" s="80">
        <v>7</v>
      </c>
      <c r="J168" s="80" t="s">
        <v>21</v>
      </c>
      <c r="K168" s="80" t="s">
        <v>22</v>
      </c>
      <c r="L168" s="80" t="s">
        <v>23</v>
      </c>
      <c r="M168" s="85">
        <v>17500000</v>
      </c>
      <c r="N168" s="80" t="s">
        <v>118</v>
      </c>
      <c r="O168" s="80" t="s">
        <v>119</v>
      </c>
      <c r="P168" s="85" t="s">
        <v>26</v>
      </c>
      <c r="Q168" s="40"/>
      <c r="R168" s="38"/>
    </row>
    <row r="169" spans="1:18" s="19" customFormat="1" ht="70" x14ac:dyDescent="0.3">
      <c r="A169" s="78">
        <v>20240715</v>
      </c>
      <c r="B169" s="80">
        <v>7658</v>
      </c>
      <c r="C169" s="80" t="s">
        <v>82</v>
      </c>
      <c r="D169" s="80" t="s">
        <v>116</v>
      </c>
      <c r="E169" s="80">
        <v>80111600</v>
      </c>
      <c r="F169" s="80" t="s">
        <v>750</v>
      </c>
      <c r="G169" s="83">
        <v>45387</v>
      </c>
      <c r="H169" s="83">
        <v>45413</v>
      </c>
      <c r="I169" s="80">
        <v>4</v>
      </c>
      <c r="J169" s="80" t="s">
        <v>97</v>
      </c>
      <c r="K169" s="80" t="s">
        <v>22</v>
      </c>
      <c r="L169" s="80" t="s">
        <v>23</v>
      </c>
      <c r="M169" s="85">
        <v>39215000</v>
      </c>
      <c r="N169" s="80" t="s">
        <v>118</v>
      </c>
      <c r="O169" s="80" t="s">
        <v>119</v>
      </c>
      <c r="P169" s="85" t="s">
        <v>310</v>
      </c>
      <c r="Q169" s="40"/>
      <c r="R169" s="38"/>
    </row>
    <row r="170" spans="1:18" s="19" customFormat="1" ht="70" x14ac:dyDescent="0.3">
      <c r="A170" s="78">
        <v>20240716</v>
      </c>
      <c r="B170" s="80">
        <v>7658</v>
      </c>
      <c r="C170" s="80" t="s">
        <v>82</v>
      </c>
      <c r="D170" s="80" t="s">
        <v>116</v>
      </c>
      <c r="E170" s="80">
        <v>80111600</v>
      </c>
      <c r="F170" s="80" t="s">
        <v>525</v>
      </c>
      <c r="G170" s="83">
        <v>45387</v>
      </c>
      <c r="H170" s="83">
        <v>45413</v>
      </c>
      <c r="I170" s="80">
        <v>7</v>
      </c>
      <c r="J170" s="80" t="s">
        <v>21</v>
      </c>
      <c r="K170" s="80" t="s">
        <v>22</v>
      </c>
      <c r="L170" s="80" t="s">
        <v>23</v>
      </c>
      <c r="M170" s="85">
        <v>35000000</v>
      </c>
      <c r="N170" s="80" t="s">
        <v>118</v>
      </c>
      <c r="O170" s="80" t="s">
        <v>119</v>
      </c>
      <c r="P170" s="85" t="s">
        <v>26</v>
      </c>
      <c r="Q170" s="40"/>
      <c r="R170" s="38"/>
    </row>
    <row r="171" spans="1:18" s="19" customFormat="1" ht="70" x14ac:dyDescent="0.3">
      <c r="A171" s="78">
        <v>20240717</v>
      </c>
      <c r="B171" s="80">
        <v>7658</v>
      </c>
      <c r="C171" s="80" t="s">
        <v>82</v>
      </c>
      <c r="D171" s="80" t="s">
        <v>116</v>
      </c>
      <c r="E171" s="80">
        <v>80111600</v>
      </c>
      <c r="F171" s="80" t="s">
        <v>751</v>
      </c>
      <c r="G171" s="83">
        <v>45387</v>
      </c>
      <c r="H171" s="83">
        <v>45413</v>
      </c>
      <c r="I171" s="80">
        <v>1</v>
      </c>
      <c r="J171" s="80" t="s">
        <v>21</v>
      </c>
      <c r="K171" s="80" t="s">
        <v>22</v>
      </c>
      <c r="L171" s="80" t="s">
        <v>23</v>
      </c>
      <c r="M171" s="85">
        <v>5000000</v>
      </c>
      <c r="N171" s="80" t="s">
        <v>118</v>
      </c>
      <c r="O171" s="80" t="s">
        <v>119</v>
      </c>
      <c r="P171" s="85" t="s">
        <v>310</v>
      </c>
      <c r="Q171" s="40"/>
      <c r="R171" s="38"/>
    </row>
    <row r="172" spans="1:18" s="19" customFormat="1" ht="70" x14ac:dyDescent="0.3">
      <c r="A172" s="78">
        <v>20240718</v>
      </c>
      <c r="B172" s="80">
        <v>7658</v>
      </c>
      <c r="C172" s="80" t="s">
        <v>82</v>
      </c>
      <c r="D172" s="80" t="s">
        <v>116</v>
      </c>
      <c r="E172" s="80">
        <v>80111600</v>
      </c>
      <c r="F172" s="80" t="s">
        <v>752</v>
      </c>
      <c r="G172" s="83">
        <v>45387</v>
      </c>
      <c r="H172" s="83">
        <v>45413</v>
      </c>
      <c r="I172" s="80">
        <v>1.5</v>
      </c>
      <c r="J172" s="80" t="s">
        <v>21</v>
      </c>
      <c r="K172" s="80" t="s">
        <v>22</v>
      </c>
      <c r="L172" s="80" t="s">
        <v>23</v>
      </c>
      <c r="M172" s="85">
        <f>5500000+2750000</f>
        <v>8250000</v>
      </c>
      <c r="N172" s="80" t="s">
        <v>118</v>
      </c>
      <c r="O172" s="80" t="s">
        <v>119</v>
      </c>
      <c r="P172" s="85" t="s">
        <v>310</v>
      </c>
      <c r="Q172" s="40"/>
      <c r="R172" s="38"/>
    </row>
    <row r="173" spans="1:18" s="19" customFormat="1" ht="70" x14ac:dyDescent="0.3">
      <c r="A173" s="78">
        <v>20240719</v>
      </c>
      <c r="B173" s="80">
        <v>7658</v>
      </c>
      <c r="C173" s="80" t="s">
        <v>82</v>
      </c>
      <c r="D173" s="80" t="s">
        <v>116</v>
      </c>
      <c r="E173" s="80">
        <v>80111600</v>
      </c>
      <c r="F173" s="80" t="s">
        <v>753</v>
      </c>
      <c r="G173" s="83">
        <v>45387</v>
      </c>
      <c r="H173" s="83">
        <v>45413</v>
      </c>
      <c r="I173" s="80">
        <v>1.5</v>
      </c>
      <c r="J173" s="80" t="s">
        <v>21</v>
      </c>
      <c r="K173" s="80" t="s">
        <v>22</v>
      </c>
      <c r="L173" s="80" t="s">
        <v>23</v>
      </c>
      <c r="M173" s="85">
        <v>4500000</v>
      </c>
      <c r="N173" s="80" t="s">
        <v>118</v>
      </c>
      <c r="O173" s="80" t="s">
        <v>119</v>
      </c>
      <c r="P173" s="85" t="s">
        <v>310</v>
      </c>
      <c r="Q173" s="40"/>
      <c r="R173" s="38"/>
    </row>
    <row r="174" spans="1:18" s="19" customFormat="1" ht="70" x14ac:dyDescent="0.3">
      <c r="A174" s="78">
        <v>20240720</v>
      </c>
      <c r="B174" s="80">
        <v>7658</v>
      </c>
      <c r="C174" s="80" t="s">
        <v>82</v>
      </c>
      <c r="D174" s="80" t="s">
        <v>116</v>
      </c>
      <c r="E174" s="80">
        <v>80111600</v>
      </c>
      <c r="F174" s="80" t="s">
        <v>754</v>
      </c>
      <c r="G174" s="83">
        <v>45387</v>
      </c>
      <c r="H174" s="83">
        <v>45413</v>
      </c>
      <c r="I174" s="80">
        <v>1.5</v>
      </c>
      <c r="J174" s="80" t="s">
        <v>21</v>
      </c>
      <c r="K174" s="80" t="s">
        <v>22</v>
      </c>
      <c r="L174" s="80" t="s">
        <v>23</v>
      </c>
      <c r="M174" s="85">
        <v>4500000</v>
      </c>
      <c r="N174" s="80" t="s">
        <v>118</v>
      </c>
      <c r="O174" s="80" t="s">
        <v>119</v>
      </c>
      <c r="P174" s="85" t="s">
        <v>310</v>
      </c>
      <c r="Q174" s="40"/>
      <c r="R174" s="38"/>
    </row>
    <row r="175" spans="1:18" s="19" customFormat="1" ht="70" x14ac:dyDescent="0.3">
      <c r="A175" s="78">
        <v>20240721</v>
      </c>
      <c r="B175" s="80">
        <v>7658</v>
      </c>
      <c r="C175" s="80" t="s">
        <v>82</v>
      </c>
      <c r="D175" s="80" t="s">
        <v>116</v>
      </c>
      <c r="E175" s="80">
        <v>80111600</v>
      </c>
      <c r="F175" s="80" t="s">
        <v>144</v>
      </c>
      <c r="G175" s="83">
        <v>45387</v>
      </c>
      <c r="H175" s="83">
        <v>45413</v>
      </c>
      <c r="I175" s="80">
        <v>7</v>
      </c>
      <c r="J175" s="80" t="s">
        <v>21</v>
      </c>
      <c r="K175" s="80" t="s">
        <v>22</v>
      </c>
      <c r="L175" s="80" t="s">
        <v>23</v>
      </c>
      <c r="M175" s="85">
        <v>17500000</v>
      </c>
      <c r="N175" s="80" t="s">
        <v>118</v>
      </c>
      <c r="O175" s="80" t="s">
        <v>119</v>
      </c>
      <c r="P175" s="85" t="s">
        <v>26</v>
      </c>
      <c r="Q175" s="40"/>
      <c r="R175" s="38"/>
    </row>
    <row r="176" spans="1:18" s="19" customFormat="1" ht="70" x14ac:dyDescent="0.3">
      <c r="A176" s="78">
        <v>20240722</v>
      </c>
      <c r="B176" s="80">
        <v>7658</v>
      </c>
      <c r="C176" s="80" t="s">
        <v>82</v>
      </c>
      <c r="D176" s="80" t="s">
        <v>116</v>
      </c>
      <c r="E176" s="80">
        <v>80111600</v>
      </c>
      <c r="F176" s="80" t="s">
        <v>755</v>
      </c>
      <c r="G176" s="83">
        <v>45387</v>
      </c>
      <c r="H176" s="83">
        <v>45413</v>
      </c>
      <c r="I176" s="80">
        <v>1</v>
      </c>
      <c r="J176" s="80" t="s">
        <v>21</v>
      </c>
      <c r="K176" s="80" t="s">
        <v>22</v>
      </c>
      <c r="L176" s="80" t="s">
        <v>23</v>
      </c>
      <c r="M176" s="85">
        <v>2500000</v>
      </c>
      <c r="N176" s="80" t="s">
        <v>118</v>
      </c>
      <c r="O176" s="80" t="s">
        <v>119</v>
      </c>
      <c r="P176" s="85" t="s">
        <v>310</v>
      </c>
      <c r="Q176" s="40"/>
      <c r="R176" s="38"/>
    </row>
    <row r="177" spans="1:18" s="19" customFormat="1" ht="70" x14ac:dyDescent="0.3">
      <c r="A177" s="78">
        <v>20240723</v>
      </c>
      <c r="B177" s="80">
        <v>7658</v>
      </c>
      <c r="C177" s="80" t="s">
        <v>82</v>
      </c>
      <c r="D177" s="80" t="s">
        <v>116</v>
      </c>
      <c r="E177" s="80">
        <v>80111600</v>
      </c>
      <c r="F177" s="80" t="s">
        <v>132</v>
      </c>
      <c r="G177" s="83">
        <v>45351</v>
      </c>
      <c r="H177" s="83">
        <v>45351</v>
      </c>
      <c r="I177" s="80">
        <v>4</v>
      </c>
      <c r="J177" s="80" t="s">
        <v>21</v>
      </c>
      <c r="K177" s="80" t="s">
        <v>22</v>
      </c>
      <c r="L177" s="80" t="s">
        <v>23</v>
      </c>
      <c r="M177" s="85">
        <f>14550000*2</f>
        <v>29100000</v>
      </c>
      <c r="N177" s="80" t="s">
        <v>118</v>
      </c>
      <c r="O177" s="80" t="s">
        <v>119</v>
      </c>
      <c r="P177" s="85" t="s">
        <v>26</v>
      </c>
      <c r="Q177" s="40"/>
      <c r="R177" s="38"/>
    </row>
    <row r="178" spans="1:18" s="19" customFormat="1" ht="70" x14ac:dyDescent="0.3">
      <c r="A178" s="78">
        <v>20240724</v>
      </c>
      <c r="B178" s="80">
        <v>7658</v>
      </c>
      <c r="C178" s="80" t="s">
        <v>82</v>
      </c>
      <c r="D178" s="80" t="s">
        <v>116</v>
      </c>
      <c r="E178" s="80">
        <v>80111600</v>
      </c>
      <c r="F178" s="80" t="s">
        <v>756</v>
      </c>
      <c r="G178" s="83">
        <v>45387</v>
      </c>
      <c r="H178" s="83">
        <v>45413</v>
      </c>
      <c r="I178" s="80">
        <v>1</v>
      </c>
      <c r="J178" s="80" t="s">
        <v>21</v>
      </c>
      <c r="K178" s="80" t="s">
        <v>22</v>
      </c>
      <c r="L178" s="80" t="s">
        <v>23</v>
      </c>
      <c r="M178" s="85">
        <v>5000000</v>
      </c>
      <c r="N178" s="80" t="s">
        <v>118</v>
      </c>
      <c r="O178" s="80" t="s">
        <v>119</v>
      </c>
      <c r="P178" s="85" t="s">
        <v>310</v>
      </c>
      <c r="Q178" s="40"/>
      <c r="R178" s="38"/>
    </row>
    <row r="179" spans="1:18" s="19" customFormat="1" ht="56" x14ac:dyDescent="0.3">
      <c r="A179" s="78">
        <v>20240725</v>
      </c>
      <c r="B179" s="66">
        <v>7655</v>
      </c>
      <c r="C179" s="67" t="s">
        <v>18</v>
      </c>
      <c r="D179" s="68" t="s">
        <v>106</v>
      </c>
      <c r="E179" s="74">
        <v>80111600</v>
      </c>
      <c r="F179" s="68" t="s">
        <v>763</v>
      </c>
      <c r="G179" s="70">
        <v>45444</v>
      </c>
      <c r="H179" s="71">
        <v>45448</v>
      </c>
      <c r="I179" s="72">
        <v>2</v>
      </c>
      <c r="J179" s="68" t="s">
        <v>21</v>
      </c>
      <c r="K179" s="68" t="s">
        <v>22</v>
      </c>
      <c r="L179" s="68" t="s">
        <v>29</v>
      </c>
      <c r="M179" s="73">
        <v>14000000</v>
      </c>
      <c r="N179" s="74" t="s">
        <v>24</v>
      </c>
      <c r="O179" s="74" t="s">
        <v>80</v>
      </c>
      <c r="P179" s="85" t="s">
        <v>310</v>
      </c>
      <c r="Q179" s="40"/>
      <c r="R179" s="38"/>
    </row>
    <row r="180" spans="1:18" s="19" customFormat="1" ht="70" x14ac:dyDescent="0.3">
      <c r="A180" s="78">
        <v>20240726</v>
      </c>
      <c r="B180" s="66">
        <v>7655</v>
      </c>
      <c r="C180" s="67" t="s">
        <v>18</v>
      </c>
      <c r="D180" s="68" t="s">
        <v>106</v>
      </c>
      <c r="E180" s="74">
        <v>80111600</v>
      </c>
      <c r="F180" s="68" t="s">
        <v>764</v>
      </c>
      <c r="G180" s="70">
        <v>45444</v>
      </c>
      <c r="H180" s="71">
        <v>45448</v>
      </c>
      <c r="I180" s="72">
        <v>3</v>
      </c>
      <c r="J180" s="68" t="s">
        <v>21</v>
      </c>
      <c r="K180" s="68" t="s">
        <v>22</v>
      </c>
      <c r="L180" s="68" t="s">
        <v>29</v>
      </c>
      <c r="M180" s="73">
        <v>11400000</v>
      </c>
      <c r="N180" s="74" t="s">
        <v>24</v>
      </c>
      <c r="O180" s="74" t="s">
        <v>80</v>
      </c>
      <c r="P180" s="85" t="s">
        <v>310</v>
      </c>
      <c r="Q180" s="40"/>
      <c r="R180" s="38"/>
    </row>
    <row r="181" spans="1:18" s="19" customFormat="1" ht="56" x14ac:dyDescent="0.3">
      <c r="A181" s="78">
        <v>20240727</v>
      </c>
      <c r="B181" s="66">
        <v>7655</v>
      </c>
      <c r="C181" s="67" t="s">
        <v>18</v>
      </c>
      <c r="D181" s="68" t="s">
        <v>106</v>
      </c>
      <c r="E181" s="74">
        <v>80111600</v>
      </c>
      <c r="F181" s="68" t="s">
        <v>765</v>
      </c>
      <c r="G181" s="70">
        <v>45444</v>
      </c>
      <c r="H181" s="71">
        <v>45448</v>
      </c>
      <c r="I181" s="72">
        <v>3</v>
      </c>
      <c r="J181" s="68" t="s">
        <v>21</v>
      </c>
      <c r="K181" s="68" t="s">
        <v>22</v>
      </c>
      <c r="L181" s="68" t="s">
        <v>23</v>
      </c>
      <c r="M181" s="73">
        <f>3100000*3</f>
        <v>9300000</v>
      </c>
      <c r="N181" s="74" t="s">
        <v>24</v>
      </c>
      <c r="O181" s="74" t="s">
        <v>80</v>
      </c>
      <c r="P181" s="85" t="s">
        <v>310</v>
      </c>
      <c r="Q181" s="40"/>
      <c r="R181" s="38"/>
    </row>
    <row r="182" spans="1:18" s="19" customFormat="1" ht="70" x14ac:dyDescent="0.3">
      <c r="A182" s="78">
        <v>20240728</v>
      </c>
      <c r="B182" s="66">
        <v>7655</v>
      </c>
      <c r="C182" s="67" t="s">
        <v>18</v>
      </c>
      <c r="D182" s="68" t="s">
        <v>106</v>
      </c>
      <c r="E182" s="74">
        <v>80111600</v>
      </c>
      <c r="F182" s="68" t="s">
        <v>766</v>
      </c>
      <c r="G182" s="70">
        <v>45444</v>
      </c>
      <c r="H182" s="71">
        <v>45448</v>
      </c>
      <c r="I182" s="72">
        <v>1</v>
      </c>
      <c r="J182" s="68" t="s">
        <v>21</v>
      </c>
      <c r="K182" s="68" t="s">
        <v>22</v>
      </c>
      <c r="L182" s="68" t="s">
        <v>29</v>
      </c>
      <c r="M182" s="73">
        <v>3600000</v>
      </c>
      <c r="N182" s="74" t="s">
        <v>24</v>
      </c>
      <c r="O182" s="74" t="s">
        <v>80</v>
      </c>
      <c r="P182" s="85" t="s">
        <v>310</v>
      </c>
      <c r="Q182" s="40"/>
      <c r="R182" s="38"/>
    </row>
    <row r="183" spans="1:18" s="19" customFormat="1" ht="56" x14ac:dyDescent="0.3">
      <c r="A183" s="78">
        <v>20240729</v>
      </c>
      <c r="B183" s="66">
        <v>7655</v>
      </c>
      <c r="C183" s="67" t="s">
        <v>18</v>
      </c>
      <c r="D183" s="68" t="s">
        <v>106</v>
      </c>
      <c r="E183" s="74">
        <v>80111600</v>
      </c>
      <c r="F183" s="68" t="s">
        <v>767</v>
      </c>
      <c r="G183" s="70">
        <v>45444</v>
      </c>
      <c r="H183" s="71">
        <v>45448</v>
      </c>
      <c r="I183" s="87">
        <v>1.5</v>
      </c>
      <c r="J183" s="68" t="s">
        <v>21</v>
      </c>
      <c r="K183" s="68" t="s">
        <v>22</v>
      </c>
      <c r="L183" s="68" t="s">
        <v>29</v>
      </c>
      <c r="M183" s="73">
        <v>5775000</v>
      </c>
      <c r="N183" s="74" t="s">
        <v>24</v>
      </c>
      <c r="O183" s="74" t="s">
        <v>80</v>
      </c>
      <c r="P183" s="85" t="s">
        <v>310</v>
      </c>
      <c r="Q183" s="40"/>
      <c r="R183" s="38"/>
    </row>
    <row r="184" spans="1:18" s="19" customFormat="1" ht="56" x14ac:dyDescent="0.3">
      <c r="A184" s="78">
        <v>20240730</v>
      </c>
      <c r="B184" s="66">
        <v>7655</v>
      </c>
      <c r="C184" s="67" t="s">
        <v>18</v>
      </c>
      <c r="D184" s="68" t="s">
        <v>106</v>
      </c>
      <c r="E184" s="74">
        <v>80111600</v>
      </c>
      <c r="F184" s="68" t="s">
        <v>109</v>
      </c>
      <c r="G184" s="70">
        <v>45444</v>
      </c>
      <c r="H184" s="71">
        <v>45448</v>
      </c>
      <c r="I184" s="87">
        <v>3.1</v>
      </c>
      <c r="J184" s="68" t="s">
        <v>21</v>
      </c>
      <c r="K184" s="68" t="s">
        <v>22</v>
      </c>
      <c r="L184" s="68" t="s">
        <v>29</v>
      </c>
      <c r="M184" s="73">
        <v>24000000</v>
      </c>
      <c r="N184" s="74" t="s">
        <v>24</v>
      </c>
      <c r="O184" s="74" t="s">
        <v>80</v>
      </c>
      <c r="P184" s="85" t="s">
        <v>26</v>
      </c>
      <c r="Q184" s="40"/>
      <c r="R184" s="38"/>
    </row>
    <row r="185" spans="1:18" s="19" customFormat="1" ht="56" x14ac:dyDescent="0.3">
      <c r="A185" s="78">
        <v>20240731</v>
      </c>
      <c r="B185" s="66">
        <v>7655</v>
      </c>
      <c r="C185" s="67" t="s">
        <v>18</v>
      </c>
      <c r="D185" s="68" t="s">
        <v>184</v>
      </c>
      <c r="E185" s="69">
        <v>80111600</v>
      </c>
      <c r="F185" s="68" t="s">
        <v>768</v>
      </c>
      <c r="G185" s="70">
        <v>45413</v>
      </c>
      <c r="H185" s="71">
        <v>45422</v>
      </c>
      <c r="I185" s="87">
        <v>7.5</v>
      </c>
      <c r="J185" s="68" t="s">
        <v>21</v>
      </c>
      <c r="K185" s="68" t="s">
        <v>22</v>
      </c>
      <c r="L185" s="68" t="s">
        <v>23</v>
      </c>
      <c r="M185" s="73">
        <v>23755200</v>
      </c>
      <c r="N185" s="69" t="s">
        <v>24</v>
      </c>
      <c r="O185" s="69" t="s">
        <v>80</v>
      </c>
      <c r="P185" s="69" t="s">
        <v>26</v>
      </c>
      <c r="Q185" s="40"/>
      <c r="R185" s="38"/>
    </row>
    <row r="186" spans="1:18" s="19" customFormat="1" ht="70" x14ac:dyDescent="0.35">
      <c r="A186" s="49">
        <v>20240001</v>
      </c>
      <c r="B186" s="49">
        <v>7637</v>
      </c>
      <c r="C186" s="50" t="s">
        <v>183</v>
      </c>
      <c r="D186" s="57" t="s">
        <v>222</v>
      </c>
      <c r="E186" s="58">
        <v>80111600</v>
      </c>
      <c r="F186" s="57" t="s">
        <v>290</v>
      </c>
      <c r="G186" s="51">
        <v>45292</v>
      </c>
      <c r="H186" s="59">
        <v>45306</v>
      </c>
      <c r="I186" s="52">
        <v>9</v>
      </c>
      <c r="J186" s="57" t="s">
        <v>21</v>
      </c>
      <c r="K186" s="57" t="s">
        <v>22</v>
      </c>
      <c r="L186" s="57" t="s">
        <v>23</v>
      </c>
      <c r="M186" s="53">
        <f>90000000-9000000</f>
        <v>81000000</v>
      </c>
      <c r="N186" s="58" t="s">
        <v>187</v>
      </c>
      <c r="O186" s="58" t="s">
        <v>188</v>
      </c>
      <c r="P186" s="58" t="s">
        <v>26</v>
      </c>
    </row>
    <row r="187" spans="1:18" s="19" customFormat="1" ht="70" x14ac:dyDescent="0.35">
      <c r="A187" s="49">
        <v>20240002</v>
      </c>
      <c r="B187" s="49">
        <v>7637</v>
      </c>
      <c r="C187" s="50" t="s">
        <v>183</v>
      </c>
      <c r="D187" s="57" t="s">
        <v>222</v>
      </c>
      <c r="E187" s="58">
        <v>80111600</v>
      </c>
      <c r="F187" s="57" t="s">
        <v>292</v>
      </c>
      <c r="G187" s="51">
        <v>45292</v>
      </c>
      <c r="H187" s="59">
        <v>45306</v>
      </c>
      <c r="I187" s="52">
        <v>10</v>
      </c>
      <c r="J187" s="57" t="s">
        <v>21</v>
      </c>
      <c r="K187" s="57" t="s">
        <v>22</v>
      </c>
      <c r="L187" s="57" t="s">
        <v>23</v>
      </c>
      <c r="M187" s="53">
        <f>75000000-47436000</f>
        <v>27564000</v>
      </c>
      <c r="N187" s="58" t="s">
        <v>187</v>
      </c>
      <c r="O187" s="58" t="s">
        <v>188</v>
      </c>
      <c r="P187" s="58" t="s">
        <v>26</v>
      </c>
    </row>
    <row r="188" spans="1:18" s="19" customFormat="1" ht="70" x14ac:dyDescent="0.35">
      <c r="A188" s="49">
        <v>20240003</v>
      </c>
      <c r="B188" s="49">
        <v>7637</v>
      </c>
      <c r="C188" s="50" t="s">
        <v>183</v>
      </c>
      <c r="D188" s="57" t="s">
        <v>222</v>
      </c>
      <c r="E188" s="58">
        <v>80111600</v>
      </c>
      <c r="F188" s="57" t="s">
        <v>291</v>
      </c>
      <c r="G188" s="51">
        <v>45292</v>
      </c>
      <c r="H188" s="59">
        <v>45306</v>
      </c>
      <c r="I188" s="52">
        <v>9</v>
      </c>
      <c r="J188" s="57" t="s">
        <v>21</v>
      </c>
      <c r="K188" s="57" t="s">
        <v>22</v>
      </c>
      <c r="L188" s="57" t="s">
        <v>23</v>
      </c>
      <c r="M188" s="53">
        <f>70000000-7000000</f>
        <v>63000000</v>
      </c>
      <c r="N188" s="58" t="s">
        <v>187</v>
      </c>
      <c r="O188" s="58" t="s">
        <v>188</v>
      </c>
      <c r="P188" s="58" t="s">
        <v>26</v>
      </c>
    </row>
    <row r="189" spans="1:18" s="19" customFormat="1" ht="70" x14ac:dyDescent="0.35">
      <c r="A189" s="49">
        <v>20240004</v>
      </c>
      <c r="B189" s="49">
        <v>7637</v>
      </c>
      <c r="C189" s="50" t="s">
        <v>183</v>
      </c>
      <c r="D189" s="57" t="s">
        <v>222</v>
      </c>
      <c r="E189" s="58">
        <v>80111600</v>
      </c>
      <c r="F189" s="57" t="s">
        <v>206</v>
      </c>
      <c r="G189" s="51">
        <v>45292</v>
      </c>
      <c r="H189" s="59">
        <v>45306</v>
      </c>
      <c r="I189" s="52">
        <v>8</v>
      </c>
      <c r="J189" s="57" t="s">
        <v>21</v>
      </c>
      <c r="K189" s="57" t="s">
        <v>22</v>
      </c>
      <c r="L189" s="57" t="s">
        <v>23</v>
      </c>
      <c r="M189" s="53">
        <f>72000000-14400000</f>
        <v>57600000</v>
      </c>
      <c r="N189" s="58" t="s">
        <v>187</v>
      </c>
      <c r="O189" s="58" t="s">
        <v>188</v>
      </c>
      <c r="P189" s="58" t="s">
        <v>26</v>
      </c>
    </row>
    <row r="190" spans="1:18" s="19" customFormat="1" ht="70" x14ac:dyDescent="0.35">
      <c r="A190" s="49">
        <v>20240005</v>
      </c>
      <c r="B190" s="49">
        <v>7637</v>
      </c>
      <c r="C190" s="50" t="s">
        <v>183</v>
      </c>
      <c r="D190" s="57" t="s">
        <v>222</v>
      </c>
      <c r="E190" s="58">
        <v>80111600</v>
      </c>
      <c r="F190" s="57" t="s">
        <v>208</v>
      </c>
      <c r="G190" s="51">
        <v>45292</v>
      </c>
      <c r="H190" s="59">
        <v>45306</v>
      </c>
      <c r="I190" s="52">
        <v>8</v>
      </c>
      <c r="J190" s="57" t="s">
        <v>21</v>
      </c>
      <c r="K190" s="57" t="s">
        <v>22</v>
      </c>
      <c r="L190" s="57" t="s">
        <v>23</v>
      </c>
      <c r="M190" s="53">
        <f>72000000-14400000</f>
        <v>57600000</v>
      </c>
      <c r="N190" s="58" t="s">
        <v>187</v>
      </c>
      <c r="O190" s="58" t="s">
        <v>188</v>
      </c>
      <c r="P190" s="58" t="s">
        <v>26</v>
      </c>
    </row>
    <row r="191" spans="1:18" s="19" customFormat="1" ht="70" x14ac:dyDescent="0.35">
      <c r="A191" s="49">
        <v>20240006</v>
      </c>
      <c r="B191" s="49">
        <v>7637</v>
      </c>
      <c r="C191" s="50" t="s">
        <v>183</v>
      </c>
      <c r="D191" s="57" t="s">
        <v>222</v>
      </c>
      <c r="E191" s="58">
        <v>80111600</v>
      </c>
      <c r="F191" s="57" t="s">
        <v>209</v>
      </c>
      <c r="G191" s="51">
        <v>45292</v>
      </c>
      <c r="H191" s="59">
        <v>45306</v>
      </c>
      <c r="I191" s="52">
        <v>7</v>
      </c>
      <c r="J191" s="57" t="s">
        <v>21</v>
      </c>
      <c r="K191" s="57" t="s">
        <v>22</v>
      </c>
      <c r="L191" s="57" t="s">
        <v>23</v>
      </c>
      <c r="M191" s="53">
        <f>72000000-7200000-14400000</f>
        <v>50400000</v>
      </c>
      <c r="N191" s="58" t="s">
        <v>192</v>
      </c>
      <c r="O191" s="58" t="s">
        <v>188</v>
      </c>
      <c r="P191" s="58" t="s">
        <v>26</v>
      </c>
    </row>
    <row r="192" spans="1:18" s="19" customFormat="1" ht="70" x14ac:dyDescent="0.35">
      <c r="A192" s="49">
        <v>20240007</v>
      </c>
      <c r="B192" s="49">
        <v>7637</v>
      </c>
      <c r="C192" s="50" t="s">
        <v>183</v>
      </c>
      <c r="D192" s="57" t="s">
        <v>222</v>
      </c>
      <c r="E192" s="58">
        <v>80111600</v>
      </c>
      <c r="F192" s="57" t="s">
        <v>509</v>
      </c>
      <c r="G192" s="51">
        <v>45292</v>
      </c>
      <c r="H192" s="59">
        <v>45306</v>
      </c>
      <c r="I192" s="52">
        <v>7</v>
      </c>
      <c r="J192" s="57" t="s">
        <v>21</v>
      </c>
      <c r="K192" s="57" t="s">
        <v>22</v>
      </c>
      <c r="L192" s="57" t="s">
        <v>23</v>
      </c>
      <c r="M192" s="53">
        <f>72000000-7200000-14400000</f>
        <v>50400000</v>
      </c>
      <c r="N192" s="58" t="s">
        <v>187</v>
      </c>
      <c r="O192" s="58" t="s">
        <v>188</v>
      </c>
      <c r="P192" s="58" t="s">
        <v>26</v>
      </c>
    </row>
    <row r="193" spans="1:16" s="19" customFormat="1" ht="70" x14ac:dyDescent="0.35">
      <c r="A193" s="49">
        <v>20240008</v>
      </c>
      <c r="B193" s="49">
        <v>7637</v>
      </c>
      <c r="C193" s="50" t="s">
        <v>183</v>
      </c>
      <c r="D193" s="57" t="s">
        <v>222</v>
      </c>
      <c r="E193" s="58">
        <v>80111600</v>
      </c>
      <c r="F193" s="57" t="s">
        <v>207</v>
      </c>
      <c r="G193" s="51">
        <v>45292</v>
      </c>
      <c r="H193" s="59">
        <v>45306</v>
      </c>
      <c r="I193" s="52">
        <v>9</v>
      </c>
      <c r="J193" s="57" t="s">
        <v>21</v>
      </c>
      <c r="K193" s="57" t="s">
        <v>22</v>
      </c>
      <c r="L193" s="57" t="s">
        <v>23</v>
      </c>
      <c r="M193" s="53">
        <f>70000000-7000000</f>
        <v>63000000</v>
      </c>
      <c r="N193" s="58" t="s">
        <v>187</v>
      </c>
      <c r="O193" s="58" t="s">
        <v>188</v>
      </c>
      <c r="P193" s="58" t="s">
        <v>26</v>
      </c>
    </row>
    <row r="194" spans="1:16" s="19" customFormat="1" ht="70" x14ac:dyDescent="0.35">
      <c r="A194" s="49">
        <v>20240009</v>
      </c>
      <c r="B194" s="49">
        <v>7637</v>
      </c>
      <c r="C194" s="50" t="s">
        <v>183</v>
      </c>
      <c r="D194" s="57" t="s">
        <v>222</v>
      </c>
      <c r="E194" s="58">
        <v>80111600</v>
      </c>
      <c r="F194" s="57" t="s">
        <v>293</v>
      </c>
      <c r="G194" s="51">
        <v>45292</v>
      </c>
      <c r="H194" s="59">
        <v>45306</v>
      </c>
      <c r="I194" s="52">
        <v>7</v>
      </c>
      <c r="J194" s="57" t="s">
        <v>21</v>
      </c>
      <c r="K194" s="57" t="s">
        <v>22</v>
      </c>
      <c r="L194" s="57" t="s">
        <v>23</v>
      </c>
      <c r="M194" s="53">
        <f>64800000-14400000</f>
        <v>50400000</v>
      </c>
      <c r="N194" s="58" t="s">
        <v>192</v>
      </c>
      <c r="O194" s="58" t="s">
        <v>188</v>
      </c>
      <c r="P194" s="58" t="s">
        <v>26</v>
      </c>
    </row>
    <row r="195" spans="1:16" s="19" customFormat="1" ht="70" x14ac:dyDescent="0.35">
      <c r="A195" s="49">
        <v>20240010</v>
      </c>
      <c r="B195" s="49">
        <v>7637</v>
      </c>
      <c r="C195" s="50" t="s">
        <v>183</v>
      </c>
      <c r="D195" s="57" t="s">
        <v>222</v>
      </c>
      <c r="E195" s="58">
        <v>80111600</v>
      </c>
      <c r="F195" s="57" t="s">
        <v>210</v>
      </c>
      <c r="G195" s="51">
        <v>45292</v>
      </c>
      <c r="H195" s="59">
        <v>45306</v>
      </c>
      <c r="I195" s="52">
        <v>4</v>
      </c>
      <c r="J195" s="57" t="s">
        <v>21</v>
      </c>
      <c r="K195" s="57" t="s">
        <v>22</v>
      </c>
      <c r="L195" s="57" t="s">
        <v>23</v>
      </c>
      <c r="M195" s="53">
        <f>60000000-2800000-28000000</f>
        <v>29200000</v>
      </c>
      <c r="N195" s="58" t="s">
        <v>187</v>
      </c>
      <c r="O195" s="58" t="s">
        <v>188</v>
      </c>
      <c r="P195" s="58" t="s">
        <v>26</v>
      </c>
    </row>
    <row r="196" spans="1:16" s="19" customFormat="1" ht="70" x14ac:dyDescent="0.35">
      <c r="A196" s="49">
        <v>20240011</v>
      </c>
      <c r="B196" s="49">
        <v>7637</v>
      </c>
      <c r="C196" s="50" t="s">
        <v>183</v>
      </c>
      <c r="D196" s="57" t="s">
        <v>222</v>
      </c>
      <c r="E196" s="58">
        <v>80111600</v>
      </c>
      <c r="F196" s="57" t="s">
        <v>294</v>
      </c>
      <c r="G196" s="51">
        <v>45292</v>
      </c>
      <c r="H196" s="59">
        <v>45306</v>
      </c>
      <c r="I196" s="52">
        <v>9</v>
      </c>
      <c r="J196" s="57" t="s">
        <v>21</v>
      </c>
      <c r="K196" s="57" t="s">
        <v>22</v>
      </c>
      <c r="L196" s="57" t="s">
        <v>23</v>
      </c>
      <c r="M196" s="53">
        <f>60000000-6000000</f>
        <v>54000000</v>
      </c>
      <c r="N196" s="58" t="s">
        <v>187</v>
      </c>
      <c r="O196" s="58" t="s">
        <v>188</v>
      </c>
      <c r="P196" s="58" t="s">
        <v>26</v>
      </c>
    </row>
    <row r="197" spans="1:16" s="19" customFormat="1" ht="70" x14ac:dyDescent="0.35">
      <c r="A197" s="49">
        <v>20240012</v>
      </c>
      <c r="B197" s="49">
        <v>7637</v>
      </c>
      <c r="C197" s="50" t="s">
        <v>183</v>
      </c>
      <c r="D197" s="57" t="s">
        <v>222</v>
      </c>
      <c r="E197" s="58">
        <v>80111600</v>
      </c>
      <c r="F197" s="57" t="s">
        <v>295</v>
      </c>
      <c r="G197" s="51">
        <v>45292</v>
      </c>
      <c r="H197" s="59">
        <v>45306</v>
      </c>
      <c r="I197" s="54">
        <v>4</v>
      </c>
      <c r="J197" s="57" t="s">
        <v>21</v>
      </c>
      <c r="K197" s="57" t="s">
        <v>22</v>
      </c>
      <c r="L197" s="57" t="s">
        <v>23</v>
      </c>
      <c r="M197" s="53">
        <f>77000000-45400000</f>
        <v>31600000</v>
      </c>
      <c r="N197" s="58" t="s">
        <v>192</v>
      </c>
      <c r="O197" s="58" t="s">
        <v>188</v>
      </c>
      <c r="P197" s="58" t="s">
        <v>26</v>
      </c>
    </row>
    <row r="198" spans="1:16" s="19" customFormat="1" ht="66.650000000000006" customHeight="1" x14ac:dyDescent="0.35">
      <c r="A198" s="49">
        <v>20240013</v>
      </c>
      <c r="B198" s="49">
        <v>7637</v>
      </c>
      <c r="C198" s="50" t="s">
        <v>183</v>
      </c>
      <c r="D198" s="57" t="s">
        <v>222</v>
      </c>
      <c r="E198" s="58">
        <v>80111600</v>
      </c>
      <c r="F198" s="57" t="s">
        <v>296</v>
      </c>
      <c r="G198" s="51">
        <v>45292</v>
      </c>
      <c r="H198" s="59">
        <v>45306</v>
      </c>
      <c r="I198" s="54">
        <v>2.5</v>
      </c>
      <c r="J198" s="57" t="s">
        <v>21</v>
      </c>
      <c r="K198" s="57" t="s">
        <v>22</v>
      </c>
      <c r="L198" s="57" t="s">
        <v>23</v>
      </c>
      <c r="M198" s="53">
        <f>60178900-178900-15800000-14000000-14400000</f>
        <v>15800000</v>
      </c>
      <c r="N198" s="58" t="s">
        <v>187</v>
      </c>
      <c r="O198" s="58" t="s">
        <v>188</v>
      </c>
      <c r="P198" s="58" t="s">
        <v>26</v>
      </c>
    </row>
    <row r="199" spans="1:16" s="19" customFormat="1" ht="70" x14ac:dyDescent="0.35">
      <c r="A199" s="49">
        <v>20240014</v>
      </c>
      <c r="B199" s="49">
        <v>7637</v>
      </c>
      <c r="C199" s="50" t="s">
        <v>183</v>
      </c>
      <c r="D199" s="57" t="s">
        <v>222</v>
      </c>
      <c r="E199" s="58">
        <v>80111600</v>
      </c>
      <c r="F199" s="57" t="s">
        <v>512</v>
      </c>
      <c r="G199" s="51">
        <v>45292</v>
      </c>
      <c r="H199" s="59">
        <v>45306</v>
      </c>
      <c r="I199" s="52">
        <v>5</v>
      </c>
      <c r="J199" s="57" t="s">
        <v>21</v>
      </c>
      <c r="K199" s="57" t="s">
        <v>22</v>
      </c>
      <c r="L199" s="57" t="s">
        <v>23</v>
      </c>
      <c r="M199" s="53">
        <f>52865000-7865000-20000000</f>
        <v>25000000</v>
      </c>
      <c r="N199" s="58" t="s">
        <v>187</v>
      </c>
      <c r="O199" s="58" t="s">
        <v>188</v>
      </c>
      <c r="P199" s="58" t="s">
        <v>26</v>
      </c>
    </row>
    <row r="200" spans="1:16" s="19" customFormat="1" ht="84" x14ac:dyDescent="0.35">
      <c r="A200" s="49">
        <v>20240015</v>
      </c>
      <c r="B200" s="49">
        <v>7637</v>
      </c>
      <c r="C200" s="50" t="s">
        <v>183</v>
      </c>
      <c r="D200" s="57" t="s">
        <v>222</v>
      </c>
      <c r="E200" s="58">
        <v>80111600</v>
      </c>
      <c r="F200" s="57" t="s">
        <v>513</v>
      </c>
      <c r="G200" s="51">
        <v>45292</v>
      </c>
      <c r="H200" s="59">
        <v>45306</v>
      </c>
      <c r="I200" s="52">
        <v>8</v>
      </c>
      <c r="J200" s="57" t="s">
        <v>21</v>
      </c>
      <c r="K200" s="57" t="s">
        <v>22</v>
      </c>
      <c r="L200" s="57" t="s">
        <v>23</v>
      </c>
      <c r="M200" s="53">
        <f>45000000+15000000-12000000</f>
        <v>48000000</v>
      </c>
      <c r="N200" s="58" t="s">
        <v>187</v>
      </c>
      <c r="O200" s="58" t="s">
        <v>188</v>
      </c>
      <c r="P200" s="58" t="s">
        <v>26</v>
      </c>
    </row>
    <row r="201" spans="1:16" s="19" customFormat="1" ht="70" x14ac:dyDescent="0.35">
      <c r="A201" s="49">
        <v>20240016</v>
      </c>
      <c r="B201" s="49">
        <v>7637</v>
      </c>
      <c r="C201" s="50" t="s">
        <v>183</v>
      </c>
      <c r="D201" s="57" t="s">
        <v>222</v>
      </c>
      <c r="E201" s="58">
        <v>80111600</v>
      </c>
      <c r="F201" s="57" t="s">
        <v>297</v>
      </c>
      <c r="G201" s="51">
        <v>45292</v>
      </c>
      <c r="H201" s="59">
        <v>45306</v>
      </c>
      <c r="I201" s="52">
        <v>7</v>
      </c>
      <c r="J201" s="57" t="s">
        <v>21</v>
      </c>
      <c r="K201" s="57" t="s">
        <v>22</v>
      </c>
      <c r="L201" s="57" t="s">
        <v>23</v>
      </c>
      <c r="M201" s="53">
        <f>38000000-3800000-9600000</f>
        <v>24600000</v>
      </c>
      <c r="N201" s="58" t="s">
        <v>187</v>
      </c>
      <c r="O201" s="58" t="s">
        <v>188</v>
      </c>
      <c r="P201" s="58" t="s">
        <v>26</v>
      </c>
    </row>
    <row r="202" spans="1:16" s="19" customFormat="1" ht="70" x14ac:dyDescent="0.35">
      <c r="A202" s="49">
        <v>20240017</v>
      </c>
      <c r="B202" s="49">
        <v>7655</v>
      </c>
      <c r="C202" s="50" t="s">
        <v>18</v>
      </c>
      <c r="D202" s="57" t="s">
        <v>184</v>
      </c>
      <c r="E202" s="58">
        <v>80111600</v>
      </c>
      <c r="F202" s="57" t="s">
        <v>520</v>
      </c>
      <c r="G202" s="51">
        <v>45292</v>
      </c>
      <c r="H202" s="59">
        <v>45306</v>
      </c>
      <c r="I202" s="52">
        <v>10</v>
      </c>
      <c r="J202" s="57" t="s">
        <v>21</v>
      </c>
      <c r="K202" s="57" t="s">
        <v>22</v>
      </c>
      <c r="L202" s="57" t="s">
        <v>23</v>
      </c>
      <c r="M202" s="53">
        <f>38500000+1500000</f>
        <v>40000000</v>
      </c>
      <c r="N202" s="58" t="s">
        <v>24</v>
      </c>
      <c r="O202" s="58" t="s">
        <v>80</v>
      </c>
      <c r="P202" s="58" t="s">
        <v>26</v>
      </c>
    </row>
    <row r="203" spans="1:16" s="19" customFormat="1" ht="56" x14ac:dyDescent="0.35">
      <c r="A203" s="49">
        <v>20240018</v>
      </c>
      <c r="B203" s="49">
        <v>7655</v>
      </c>
      <c r="C203" s="50" t="s">
        <v>18</v>
      </c>
      <c r="D203" s="57" t="s">
        <v>184</v>
      </c>
      <c r="E203" s="58">
        <v>80111600</v>
      </c>
      <c r="F203" s="57" t="s">
        <v>245</v>
      </c>
      <c r="G203" s="51">
        <v>45292</v>
      </c>
      <c r="H203" s="59">
        <v>45306</v>
      </c>
      <c r="I203" s="52">
        <v>10</v>
      </c>
      <c r="J203" s="57" t="s">
        <v>21</v>
      </c>
      <c r="K203" s="57" t="s">
        <v>22</v>
      </c>
      <c r="L203" s="57" t="s">
        <v>23</v>
      </c>
      <c r="M203" s="53">
        <f>44000000-4000000-5684280</f>
        <v>34315720</v>
      </c>
      <c r="N203" s="58" t="s">
        <v>24</v>
      </c>
      <c r="O203" s="58" t="s">
        <v>80</v>
      </c>
      <c r="P203" s="58" t="s">
        <v>26</v>
      </c>
    </row>
    <row r="204" spans="1:16" s="19" customFormat="1" ht="70" x14ac:dyDescent="0.35">
      <c r="A204" s="49">
        <v>20240019</v>
      </c>
      <c r="B204" s="49">
        <v>7655</v>
      </c>
      <c r="C204" s="50" t="s">
        <v>18</v>
      </c>
      <c r="D204" s="57" t="s">
        <v>184</v>
      </c>
      <c r="E204" s="58">
        <v>80111600</v>
      </c>
      <c r="F204" s="57" t="s">
        <v>309</v>
      </c>
      <c r="G204" s="51">
        <v>45292</v>
      </c>
      <c r="H204" s="59">
        <v>45306</v>
      </c>
      <c r="I204" s="52">
        <v>1</v>
      </c>
      <c r="J204" s="57" t="s">
        <v>21</v>
      </c>
      <c r="K204" s="57" t="s">
        <v>308</v>
      </c>
      <c r="L204" s="57" t="s">
        <v>23</v>
      </c>
      <c r="M204" s="53">
        <v>2100000</v>
      </c>
      <c r="N204" s="58" t="s">
        <v>24</v>
      </c>
      <c r="O204" s="58" t="s">
        <v>80</v>
      </c>
      <c r="P204" s="58" t="s">
        <v>310</v>
      </c>
    </row>
    <row r="205" spans="1:16" s="19" customFormat="1" ht="56" x14ac:dyDescent="0.35">
      <c r="A205" s="49">
        <v>20240020</v>
      </c>
      <c r="B205" s="49">
        <v>7655</v>
      </c>
      <c r="C205" s="50" t="s">
        <v>18</v>
      </c>
      <c r="D205" s="57" t="s">
        <v>184</v>
      </c>
      <c r="E205" s="58">
        <v>80111600</v>
      </c>
      <c r="F205" s="57" t="s">
        <v>242</v>
      </c>
      <c r="G205" s="51">
        <v>45292</v>
      </c>
      <c r="H205" s="59">
        <v>45306</v>
      </c>
      <c r="I205" s="52">
        <v>11</v>
      </c>
      <c r="J205" s="57" t="s">
        <v>21</v>
      </c>
      <c r="K205" s="57" t="s">
        <v>22</v>
      </c>
      <c r="L205" s="57" t="s">
        <v>23</v>
      </c>
      <c r="M205" s="53">
        <f>93500000-17000000</f>
        <v>76500000</v>
      </c>
      <c r="N205" s="58" t="s">
        <v>24</v>
      </c>
      <c r="O205" s="58" t="s">
        <v>80</v>
      </c>
      <c r="P205" s="58" t="s">
        <v>26</v>
      </c>
    </row>
    <row r="206" spans="1:16" s="19" customFormat="1" ht="56" x14ac:dyDescent="0.35">
      <c r="A206" s="49">
        <v>20240021</v>
      </c>
      <c r="B206" s="49">
        <v>7655</v>
      </c>
      <c r="C206" s="50" t="s">
        <v>18</v>
      </c>
      <c r="D206" s="57" t="s">
        <v>184</v>
      </c>
      <c r="E206" s="58">
        <v>80111600</v>
      </c>
      <c r="F206" s="57" t="s">
        <v>301</v>
      </c>
      <c r="G206" s="51">
        <v>45292</v>
      </c>
      <c r="H206" s="59">
        <v>45306</v>
      </c>
      <c r="I206" s="52">
        <v>11</v>
      </c>
      <c r="J206" s="57" t="s">
        <v>21</v>
      </c>
      <c r="K206" s="57" t="s">
        <v>22</v>
      </c>
      <c r="L206" s="57" t="s">
        <v>23</v>
      </c>
      <c r="M206" s="53">
        <f>72200000-3900000-9150000</f>
        <v>59150000</v>
      </c>
      <c r="N206" s="58" t="s">
        <v>24</v>
      </c>
      <c r="O206" s="58" t="s">
        <v>80</v>
      </c>
      <c r="P206" s="58" t="s">
        <v>26</v>
      </c>
    </row>
    <row r="207" spans="1:16" s="19" customFormat="1" ht="84" x14ac:dyDescent="0.35">
      <c r="A207" s="49">
        <v>20240022</v>
      </c>
      <c r="B207" s="49">
        <v>7655</v>
      </c>
      <c r="C207" s="50" t="s">
        <v>18</v>
      </c>
      <c r="D207" s="57" t="s">
        <v>184</v>
      </c>
      <c r="E207" s="58">
        <v>80111600</v>
      </c>
      <c r="F207" s="57" t="s">
        <v>302</v>
      </c>
      <c r="G207" s="51">
        <v>45292</v>
      </c>
      <c r="H207" s="59">
        <v>45306</v>
      </c>
      <c r="I207" s="52">
        <v>6</v>
      </c>
      <c r="J207" s="57" t="s">
        <v>21</v>
      </c>
      <c r="K207" s="57" t="s">
        <v>22</v>
      </c>
      <c r="L207" s="57" t="s">
        <v>23</v>
      </c>
      <c r="M207" s="53">
        <f>66000000-6000000-30000000-10234000</f>
        <v>19766000</v>
      </c>
      <c r="N207" s="58" t="s">
        <v>24</v>
      </c>
      <c r="O207" s="58" t="s">
        <v>80</v>
      </c>
      <c r="P207" s="58" t="s">
        <v>26</v>
      </c>
    </row>
    <row r="208" spans="1:16" s="19" customFormat="1" ht="84" x14ac:dyDescent="0.35">
      <c r="A208" s="49">
        <v>20240023</v>
      </c>
      <c r="B208" s="49">
        <v>7655</v>
      </c>
      <c r="C208" s="50" t="s">
        <v>18</v>
      </c>
      <c r="D208" s="57" t="s">
        <v>184</v>
      </c>
      <c r="E208" s="58">
        <v>80111600</v>
      </c>
      <c r="F208" s="57" t="s">
        <v>243</v>
      </c>
      <c r="G208" s="51">
        <v>45292</v>
      </c>
      <c r="H208" s="59">
        <v>45306</v>
      </c>
      <c r="I208" s="52">
        <v>6</v>
      </c>
      <c r="J208" s="57" t="s">
        <v>21</v>
      </c>
      <c r="K208" s="57" t="s">
        <v>22</v>
      </c>
      <c r="L208" s="57" t="s">
        <v>23</v>
      </c>
      <c r="M208" s="53">
        <f>66000000-36000000-9000000</f>
        <v>21000000</v>
      </c>
      <c r="N208" s="58" t="s">
        <v>24</v>
      </c>
      <c r="O208" s="58" t="s">
        <v>80</v>
      </c>
      <c r="P208" s="58" t="s">
        <v>26</v>
      </c>
    </row>
    <row r="209" spans="1:16" s="19" customFormat="1" ht="56" x14ac:dyDescent="0.35">
      <c r="A209" s="49">
        <v>20240024</v>
      </c>
      <c r="B209" s="49">
        <v>7655</v>
      </c>
      <c r="C209" s="50" t="s">
        <v>18</v>
      </c>
      <c r="D209" s="57" t="s">
        <v>184</v>
      </c>
      <c r="E209" s="58">
        <v>80111600</v>
      </c>
      <c r="F209" s="57" t="s">
        <v>244</v>
      </c>
      <c r="G209" s="51">
        <v>45292</v>
      </c>
      <c r="H209" s="59">
        <v>45306</v>
      </c>
      <c r="I209" s="52">
        <v>8</v>
      </c>
      <c r="J209" s="57" t="s">
        <v>21</v>
      </c>
      <c r="K209" s="57" t="s">
        <v>22</v>
      </c>
      <c r="L209" s="57" t="s">
        <v>23</v>
      </c>
      <c r="M209" s="53">
        <f>66000000-2000000</f>
        <v>64000000</v>
      </c>
      <c r="N209" s="58" t="s">
        <v>24</v>
      </c>
      <c r="O209" s="58" t="s">
        <v>80</v>
      </c>
      <c r="P209" s="58" t="s">
        <v>26</v>
      </c>
    </row>
    <row r="210" spans="1:16" s="19" customFormat="1" ht="56" x14ac:dyDescent="0.35">
      <c r="A210" s="49">
        <v>20240025</v>
      </c>
      <c r="B210" s="49">
        <v>7655</v>
      </c>
      <c r="C210" s="50" t="s">
        <v>18</v>
      </c>
      <c r="D210" s="57" t="s">
        <v>184</v>
      </c>
      <c r="E210" s="58">
        <v>80111600</v>
      </c>
      <c r="F210" s="57" t="s">
        <v>625</v>
      </c>
      <c r="G210" s="51">
        <v>45417</v>
      </c>
      <c r="H210" s="59">
        <v>45427</v>
      </c>
      <c r="I210" s="52">
        <v>6</v>
      </c>
      <c r="J210" s="57" t="s">
        <v>21</v>
      </c>
      <c r="K210" s="57" t="s">
        <v>22</v>
      </c>
      <c r="L210" s="57" t="s">
        <v>23</v>
      </c>
      <c r="M210" s="53">
        <f>68200000-12400000-40800000-8500000+1000000+15234000</f>
        <v>22734000</v>
      </c>
      <c r="N210" s="58" t="s">
        <v>24</v>
      </c>
      <c r="O210" s="58" t="s">
        <v>80</v>
      </c>
      <c r="P210" s="58" t="s">
        <v>26</v>
      </c>
    </row>
    <row r="211" spans="1:16" s="19" customFormat="1" ht="56" x14ac:dyDescent="0.35">
      <c r="A211" s="49">
        <v>20240026</v>
      </c>
      <c r="B211" s="49">
        <v>7655</v>
      </c>
      <c r="C211" s="50" t="s">
        <v>18</v>
      </c>
      <c r="D211" s="57" t="s">
        <v>184</v>
      </c>
      <c r="E211" s="58">
        <v>80111600</v>
      </c>
      <c r="F211" s="57" t="s">
        <v>303</v>
      </c>
      <c r="G211" s="51">
        <v>45292</v>
      </c>
      <c r="H211" s="59">
        <v>45306</v>
      </c>
      <c r="I211" s="52">
        <v>10</v>
      </c>
      <c r="J211" s="57" t="s">
        <v>21</v>
      </c>
      <c r="K211" s="57" t="s">
        <v>22</v>
      </c>
      <c r="L211" s="57" t="s">
        <v>23</v>
      </c>
      <c r="M211" s="53">
        <f>93500000-17000000+8500000</f>
        <v>85000000</v>
      </c>
      <c r="N211" s="58" t="s">
        <v>24</v>
      </c>
      <c r="O211" s="58" t="s">
        <v>80</v>
      </c>
      <c r="P211" s="58" t="s">
        <v>26</v>
      </c>
    </row>
    <row r="212" spans="1:16" s="19" customFormat="1" ht="56" x14ac:dyDescent="0.35">
      <c r="A212" s="49">
        <v>20240027</v>
      </c>
      <c r="B212" s="49">
        <v>7655</v>
      </c>
      <c r="C212" s="50" t="s">
        <v>18</v>
      </c>
      <c r="D212" s="57" t="s">
        <v>184</v>
      </c>
      <c r="E212" s="58">
        <v>80111600</v>
      </c>
      <c r="F212" s="57" t="s">
        <v>304</v>
      </c>
      <c r="G212" s="51">
        <v>45292</v>
      </c>
      <c r="H212" s="59">
        <v>45306</v>
      </c>
      <c r="I212" s="52">
        <v>11</v>
      </c>
      <c r="J212" s="57" t="s">
        <v>21</v>
      </c>
      <c r="K212" s="57" t="s">
        <v>22</v>
      </c>
      <c r="L212" s="57" t="s">
        <v>23</v>
      </c>
      <c r="M212" s="53">
        <f>68200000-12400000</f>
        <v>55800000</v>
      </c>
      <c r="N212" s="58" t="s">
        <v>24</v>
      </c>
      <c r="O212" s="58" t="s">
        <v>80</v>
      </c>
      <c r="P212" s="58" t="s">
        <v>26</v>
      </c>
    </row>
    <row r="213" spans="1:16" s="19" customFormat="1" ht="56" x14ac:dyDescent="0.35">
      <c r="A213" s="49">
        <v>20240028</v>
      </c>
      <c r="B213" s="49">
        <v>7655</v>
      </c>
      <c r="C213" s="50" t="s">
        <v>18</v>
      </c>
      <c r="D213" s="57" t="s">
        <v>184</v>
      </c>
      <c r="E213" s="58">
        <v>80111600</v>
      </c>
      <c r="F213" s="57" t="s">
        <v>626</v>
      </c>
      <c r="G213" s="51">
        <v>45417</v>
      </c>
      <c r="H213" s="59">
        <v>45427</v>
      </c>
      <c r="I213" s="52">
        <v>6</v>
      </c>
      <c r="J213" s="57" t="s">
        <v>21</v>
      </c>
      <c r="K213" s="57" t="s">
        <v>22</v>
      </c>
      <c r="L213" s="57" t="s">
        <v>23</v>
      </c>
      <c r="M213" s="53">
        <f>55000000-8000000-15234000+10234000</f>
        <v>42000000</v>
      </c>
      <c r="N213" s="58" t="s">
        <v>24</v>
      </c>
      <c r="O213" s="58" t="s">
        <v>80</v>
      </c>
      <c r="P213" s="58" t="s">
        <v>26</v>
      </c>
    </row>
    <row r="214" spans="1:16" s="19" customFormat="1" ht="56" x14ac:dyDescent="0.35">
      <c r="A214" s="49">
        <v>20240029</v>
      </c>
      <c r="B214" s="49">
        <v>7655</v>
      </c>
      <c r="C214" s="50" t="s">
        <v>18</v>
      </c>
      <c r="D214" s="57" t="s">
        <v>184</v>
      </c>
      <c r="E214" s="58">
        <v>80111600</v>
      </c>
      <c r="F214" s="57" t="s">
        <v>305</v>
      </c>
      <c r="G214" s="51">
        <v>45292</v>
      </c>
      <c r="H214" s="59">
        <v>45306</v>
      </c>
      <c r="I214" s="52">
        <v>7</v>
      </c>
      <c r="J214" s="57" t="s">
        <v>21</v>
      </c>
      <c r="K214" s="57" t="s">
        <v>22</v>
      </c>
      <c r="L214" s="57" t="s">
        <v>23</v>
      </c>
      <c r="M214" s="53">
        <f>60000000-4000000-7000000</f>
        <v>49000000</v>
      </c>
      <c r="N214" s="58" t="s">
        <v>24</v>
      </c>
      <c r="O214" s="58" t="s">
        <v>80</v>
      </c>
      <c r="P214" s="58" t="s">
        <v>26</v>
      </c>
    </row>
    <row r="215" spans="1:16" s="19" customFormat="1" ht="56" x14ac:dyDescent="0.35">
      <c r="A215" s="49">
        <v>20240031</v>
      </c>
      <c r="B215" s="49">
        <v>7655</v>
      </c>
      <c r="C215" s="50" t="s">
        <v>18</v>
      </c>
      <c r="D215" s="57" t="s">
        <v>184</v>
      </c>
      <c r="E215" s="58">
        <v>80111600</v>
      </c>
      <c r="F215" s="57" t="s">
        <v>307</v>
      </c>
      <c r="G215" s="51">
        <v>45292</v>
      </c>
      <c r="H215" s="59">
        <v>45306</v>
      </c>
      <c r="I215" s="52">
        <v>10</v>
      </c>
      <c r="J215" s="57" t="s">
        <v>21</v>
      </c>
      <c r="K215" s="57" t="s">
        <v>22</v>
      </c>
      <c r="L215" s="57" t="s">
        <v>23</v>
      </c>
      <c r="M215" s="53">
        <f>55000000-3000000</f>
        <v>52000000</v>
      </c>
      <c r="N215" s="58" t="s">
        <v>24</v>
      </c>
      <c r="O215" s="58" t="s">
        <v>80</v>
      </c>
      <c r="P215" s="58" t="s">
        <v>26</v>
      </c>
    </row>
    <row r="216" spans="1:16" s="19" customFormat="1" ht="56" x14ac:dyDescent="0.35">
      <c r="A216" s="49">
        <v>20240034</v>
      </c>
      <c r="B216" s="49">
        <v>7655</v>
      </c>
      <c r="C216" s="50" t="s">
        <v>18</v>
      </c>
      <c r="D216" s="57" t="s">
        <v>146</v>
      </c>
      <c r="E216" s="58">
        <v>80111600</v>
      </c>
      <c r="F216" s="57" t="s">
        <v>150</v>
      </c>
      <c r="G216" s="51">
        <v>45292</v>
      </c>
      <c r="H216" s="59">
        <v>45309</v>
      </c>
      <c r="I216" s="52">
        <v>12</v>
      </c>
      <c r="J216" s="57" t="s">
        <v>148</v>
      </c>
      <c r="K216" s="57" t="s">
        <v>22</v>
      </c>
      <c r="L216" s="57" t="s">
        <v>23</v>
      </c>
      <c r="M216" s="53">
        <f>79350996-30000000</f>
        <v>49350996</v>
      </c>
      <c r="N216" s="58" t="s">
        <v>24</v>
      </c>
      <c r="O216" s="58" t="s">
        <v>80</v>
      </c>
      <c r="P216" s="58" t="s">
        <v>26</v>
      </c>
    </row>
    <row r="217" spans="1:16" s="19" customFormat="1" ht="42" x14ac:dyDescent="0.35">
      <c r="A217" s="49">
        <v>20240037</v>
      </c>
      <c r="B217" s="49">
        <v>131</v>
      </c>
      <c r="C217" s="50" t="s">
        <v>403</v>
      </c>
      <c r="D217" s="57" t="s">
        <v>19</v>
      </c>
      <c r="E217" s="58" t="s">
        <v>418</v>
      </c>
      <c r="F217" s="57" t="s">
        <v>370</v>
      </c>
      <c r="G217" s="51">
        <v>45292</v>
      </c>
      <c r="H217" s="59">
        <v>45306</v>
      </c>
      <c r="I217" s="52">
        <v>11</v>
      </c>
      <c r="J217" s="57" t="s">
        <v>97</v>
      </c>
      <c r="K217" s="57" t="s">
        <v>22</v>
      </c>
      <c r="L217" s="57" t="s">
        <v>66</v>
      </c>
      <c r="M217" s="53">
        <f>89666000-23500000</f>
        <v>66166000</v>
      </c>
      <c r="N217" s="58" t="s">
        <v>598</v>
      </c>
      <c r="O217" s="58" t="s">
        <v>598</v>
      </c>
      <c r="P217" s="58" t="s">
        <v>26</v>
      </c>
    </row>
    <row r="218" spans="1:16" s="19" customFormat="1" ht="42" x14ac:dyDescent="0.35">
      <c r="A218" s="49">
        <v>20240038</v>
      </c>
      <c r="B218" s="49">
        <v>131</v>
      </c>
      <c r="C218" s="50" t="s">
        <v>403</v>
      </c>
      <c r="D218" s="57" t="s">
        <v>19</v>
      </c>
      <c r="E218" s="58" t="s">
        <v>418</v>
      </c>
      <c r="F218" s="57" t="s">
        <v>371</v>
      </c>
      <c r="G218" s="51">
        <v>45292</v>
      </c>
      <c r="H218" s="59">
        <v>45306</v>
      </c>
      <c r="I218" s="52">
        <v>11</v>
      </c>
      <c r="J218" s="57" t="s">
        <v>46</v>
      </c>
      <c r="K218" s="57" t="s">
        <v>22</v>
      </c>
      <c r="L218" s="57" t="s">
        <v>66</v>
      </c>
      <c r="M218" s="53">
        <v>226998000</v>
      </c>
      <c r="N218" s="58" t="s">
        <v>598</v>
      </c>
      <c r="O218" s="58" t="s">
        <v>598</v>
      </c>
      <c r="P218" s="58" t="s">
        <v>26</v>
      </c>
    </row>
    <row r="219" spans="1:16" s="19" customFormat="1" ht="42" x14ac:dyDescent="0.35">
      <c r="A219" s="49">
        <v>20240039</v>
      </c>
      <c r="B219" s="49">
        <v>131</v>
      </c>
      <c r="C219" s="50" t="s">
        <v>403</v>
      </c>
      <c r="D219" s="57" t="s">
        <v>19</v>
      </c>
      <c r="E219" s="58" t="s">
        <v>418</v>
      </c>
      <c r="F219" s="57" t="s">
        <v>371</v>
      </c>
      <c r="G219" s="51">
        <v>45292</v>
      </c>
      <c r="H219" s="59">
        <v>45306</v>
      </c>
      <c r="I219" s="52">
        <v>11</v>
      </c>
      <c r="J219" s="57" t="s">
        <v>46</v>
      </c>
      <c r="K219" s="57" t="s">
        <v>22</v>
      </c>
      <c r="L219" s="57" t="s">
        <v>66</v>
      </c>
      <c r="M219" s="53">
        <v>445122643</v>
      </c>
      <c r="N219" s="58" t="s">
        <v>598</v>
      </c>
      <c r="O219" s="58" t="s">
        <v>598</v>
      </c>
      <c r="P219" s="58" t="s">
        <v>26</v>
      </c>
    </row>
    <row r="220" spans="1:16" s="19" customFormat="1" ht="56" x14ac:dyDescent="0.35">
      <c r="A220" s="49">
        <v>20240040</v>
      </c>
      <c r="B220" s="49">
        <v>131</v>
      </c>
      <c r="C220" s="50" t="s">
        <v>403</v>
      </c>
      <c r="D220" s="57" t="s">
        <v>19</v>
      </c>
      <c r="E220" s="58" t="s">
        <v>523</v>
      </c>
      <c r="F220" s="57" t="s">
        <v>522</v>
      </c>
      <c r="G220" s="51">
        <v>45292</v>
      </c>
      <c r="H220" s="59">
        <v>45306</v>
      </c>
      <c r="I220" s="52">
        <v>11</v>
      </c>
      <c r="J220" s="57" t="s">
        <v>97</v>
      </c>
      <c r="K220" s="57" t="s">
        <v>22</v>
      </c>
      <c r="L220" s="57" t="s">
        <v>66</v>
      </c>
      <c r="M220" s="53">
        <f>110000000+50286000</f>
        <v>160286000</v>
      </c>
      <c r="N220" s="58" t="s">
        <v>598</v>
      </c>
      <c r="O220" s="58" t="s">
        <v>598</v>
      </c>
      <c r="P220" s="58" t="s">
        <v>26</v>
      </c>
    </row>
    <row r="221" spans="1:16" s="19" customFormat="1" ht="42" x14ac:dyDescent="0.35">
      <c r="A221" s="49">
        <v>20240042</v>
      </c>
      <c r="B221" s="49">
        <v>131</v>
      </c>
      <c r="C221" s="50" t="s">
        <v>403</v>
      </c>
      <c r="D221" s="57" t="s">
        <v>19</v>
      </c>
      <c r="E221" s="58">
        <v>80131502</v>
      </c>
      <c r="F221" s="57" t="s">
        <v>376</v>
      </c>
      <c r="G221" s="51">
        <v>45292</v>
      </c>
      <c r="H221" s="59">
        <v>45306</v>
      </c>
      <c r="I221" s="52">
        <v>12</v>
      </c>
      <c r="J221" s="57" t="s">
        <v>21</v>
      </c>
      <c r="K221" s="57" t="s">
        <v>22</v>
      </c>
      <c r="L221" s="57" t="s">
        <v>66</v>
      </c>
      <c r="M221" s="53">
        <v>122000000</v>
      </c>
      <c r="N221" s="58" t="s">
        <v>598</v>
      </c>
      <c r="O221" s="58" t="s">
        <v>598</v>
      </c>
      <c r="P221" s="58" t="s">
        <v>26</v>
      </c>
    </row>
    <row r="222" spans="1:16" s="19" customFormat="1" ht="42" x14ac:dyDescent="0.35">
      <c r="A222" s="49">
        <v>20240043</v>
      </c>
      <c r="B222" s="49">
        <v>131</v>
      </c>
      <c r="C222" s="50" t="s">
        <v>403</v>
      </c>
      <c r="D222" s="57" t="s">
        <v>19</v>
      </c>
      <c r="E222" s="58" t="s">
        <v>375</v>
      </c>
      <c r="F222" s="57" t="s">
        <v>377</v>
      </c>
      <c r="G222" s="51">
        <v>45292</v>
      </c>
      <c r="H222" s="59">
        <v>45306</v>
      </c>
      <c r="I222" s="52">
        <v>1</v>
      </c>
      <c r="J222" s="57" t="s">
        <v>21</v>
      </c>
      <c r="K222" s="57" t="s">
        <v>22</v>
      </c>
      <c r="L222" s="57" t="s">
        <v>66</v>
      </c>
      <c r="M222" s="53">
        <v>12000000</v>
      </c>
      <c r="N222" s="58" t="s">
        <v>598</v>
      </c>
      <c r="O222" s="58" t="s">
        <v>598</v>
      </c>
      <c r="P222" s="58" t="s">
        <v>310</v>
      </c>
    </row>
    <row r="223" spans="1:16" s="19" customFormat="1" ht="56" x14ac:dyDescent="0.35">
      <c r="A223" s="49">
        <v>20240044</v>
      </c>
      <c r="B223" s="49">
        <v>131</v>
      </c>
      <c r="C223" s="50" t="s">
        <v>403</v>
      </c>
      <c r="D223" s="57" t="s">
        <v>19</v>
      </c>
      <c r="E223" s="58" t="s">
        <v>419</v>
      </c>
      <c r="F223" s="57" t="s">
        <v>378</v>
      </c>
      <c r="G223" s="51">
        <v>45292</v>
      </c>
      <c r="H223" s="59">
        <v>45306</v>
      </c>
      <c r="I223" s="52">
        <v>12</v>
      </c>
      <c r="J223" s="57" t="s">
        <v>49</v>
      </c>
      <c r="K223" s="57" t="s">
        <v>22</v>
      </c>
      <c r="L223" s="57" t="s">
        <v>66</v>
      </c>
      <c r="M223" s="53">
        <v>662447589</v>
      </c>
      <c r="N223" s="58" t="s">
        <v>598</v>
      </c>
      <c r="O223" s="58" t="s">
        <v>598</v>
      </c>
      <c r="P223" s="58" t="s">
        <v>26</v>
      </c>
    </row>
    <row r="224" spans="1:16" s="19" customFormat="1" ht="70" x14ac:dyDescent="0.35">
      <c r="A224" s="49">
        <v>20240045</v>
      </c>
      <c r="B224" s="49">
        <v>131</v>
      </c>
      <c r="C224" s="50" t="s">
        <v>403</v>
      </c>
      <c r="D224" s="57" t="s">
        <v>19</v>
      </c>
      <c r="E224" s="58" t="s">
        <v>51</v>
      </c>
      <c r="F224" s="57" t="s">
        <v>363</v>
      </c>
      <c r="G224" s="51">
        <v>45292</v>
      </c>
      <c r="H224" s="59">
        <v>45306</v>
      </c>
      <c r="I224" s="52">
        <v>1</v>
      </c>
      <c r="J224" s="57" t="s">
        <v>49</v>
      </c>
      <c r="K224" s="57" t="s">
        <v>22</v>
      </c>
      <c r="L224" s="57" t="s">
        <v>66</v>
      </c>
      <c r="M224" s="53">
        <v>54877357</v>
      </c>
      <c r="N224" s="58" t="s">
        <v>598</v>
      </c>
      <c r="O224" s="58" t="s">
        <v>598</v>
      </c>
      <c r="P224" s="58" t="s">
        <v>310</v>
      </c>
    </row>
    <row r="225" spans="1:16" s="19" customFormat="1" ht="70" x14ac:dyDescent="0.35">
      <c r="A225" s="49">
        <v>20240046</v>
      </c>
      <c r="B225" s="49">
        <v>131</v>
      </c>
      <c r="C225" s="50" t="s">
        <v>403</v>
      </c>
      <c r="D225" s="57" t="s">
        <v>19</v>
      </c>
      <c r="E225" s="58" t="s">
        <v>54</v>
      </c>
      <c r="F225" s="57" t="s">
        <v>364</v>
      </c>
      <c r="G225" s="51">
        <v>45292</v>
      </c>
      <c r="H225" s="59">
        <v>45306</v>
      </c>
      <c r="I225" s="52">
        <v>2</v>
      </c>
      <c r="J225" s="57" t="s">
        <v>49</v>
      </c>
      <c r="K225" s="57" t="s">
        <v>22</v>
      </c>
      <c r="L225" s="57" t="s">
        <v>66</v>
      </c>
      <c r="M225" s="53">
        <v>137552411</v>
      </c>
      <c r="N225" s="58" t="s">
        <v>598</v>
      </c>
      <c r="O225" s="58" t="s">
        <v>598</v>
      </c>
      <c r="P225" s="58" t="s">
        <v>310</v>
      </c>
    </row>
    <row r="226" spans="1:16" s="19" customFormat="1" ht="140" x14ac:dyDescent="0.35">
      <c r="A226" s="49">
        <v>20240047</v>
      </c>
      <c r="B226" s="49">
        <v>131</v>
      </c>
      <c r="C226" s="50" t="s">
        <v>403</v>
      </c>
      <c r="D226" s="57" t="s">
        <v>19</v>
      </c>
      <c r="E226" s="58" t="s">
        <v>78</v>
      </c>
      <c r="F226" s="57" t="s">
        <v>389</v>
      </c>
      <c r="G226" s="51">
        <v>45292</v>
      </c>
      <c r="H226" s="59">
        <v>45306</v>
      </c>
      <c r="I226" s="52">
        <v>1</v>
      </c>
      <c r="J226" s="57" t="s">
        <v>49</v>
      </c>
      <c r="K226" s="57" t="s">
        <v>22</v>
      </c>
      <c r="L226" s="57" t="s">
        <v>66</v>
      </c>
      <c r="M226" s="53">
        <v>210000000</v>
      </c>
      <c r="N226" s="58" t="s">
        <v>598</v>
      </c>
      <c r="O226" s="58" t="s">
        <v>598</v>
      </c>
      <c r="P226" s="58" t="s">
        <v>310</v>
      </c>
    </row>
    <row r="227" spans="1:16" s="19" customFormat="1" ht="140" x14ac:dyDescent="0.35">
      <c r="A227" s="49">
        <v>20240048</v>
      </c>
      <c r="B227" s="49">
        <v>131</v>
      </c>
      <c r="C227" s="50" t="s">
        <v>403</v>
      </c>
      <c r="D227" s="57" t="s">
        <v>19</v>
      </c>
      <c r="E227" s="58" t="s">
        <v>78</v>
      </c>
      <c r="F227" s="57" t="s">
        <v>390</v>
      </c>
      <c r="G227" s="51">
        <v>45292</v>
      </c>
      <c r="H227" s="59">
        <v>45306</v>
      </c>
      <c r="I227" s="52">
        <v>1</v>
      </c>
      <c r="J227" s="57" t="s">
        <v>49</v>
      </c>
      <c r="K227" s="57" t="s">
        <v>22</v>
      </c>
      <c r="L227" s="57" t="s">
        <v>66</v>
      </c>
      <c r="M227" s="53">
        <v>20000000</v>
      </c>
      <c r="N227" s="58" t="s">
        <v>598</v>
      </c>
      <c r="O227" s="58" t="s">
        <v>598</v>
      </c>
      <c r="P227" s="58" t="s">
        <v>310</v>
      </c>
    </row>
    <row r="228" spans="1:16" s="19" customFormat="1" ht="84" x14ac:dyDescent="0.35">
      <c r="A228" s="49">
        <v>20240049</v>
      </c>
      <c r="B228" s="49">
        <v>7658</v>
      </c>
      <c r="C228" s="50" t="s">
        <v>82</v>
      </c>
      <c r="D228" s="57" t="s">
        <v>19</v>
      </c>
      <c r="E228" s="58" t="s">
        <v>516</v>
      </c>
      <c r="F228" s="57" t="s">
        <v>363</v>
      </c>
      <c r="G228" s="51">
        <v>45292</v>
      </c>
      <c r="H228" s="59">
        <v>45306</v>
      </c>
      <c r="I228" s="52">
        <v>1</v>
      </c>
      <c r="J228" s="57" t="s">
        <v>49</v>
      </c>
      <c r="K228" s="57" t="s">
        <v>22</v>
      </c>
      <c r="L228" s="57" t="s">
        <v>53</v>
      </c>
      <c r="M228" s="53">
        <v>15122643</v>
      </c>
      <c r="N228" s="58" t="s">
        <v>38</v>
      </c>
      <c r="O228" s="58" t="s">
        <v>25</v>
      </c>
      <c r="P228" s="58" t="s">
        <v>310</v>
      </c>
    </row>
    <row r="229" spans="1:16" s="19" customFormat="1" ht="84" x14ac:dyDescent="0.35">
      <c r="A229" s="49">
        <v>20240050</v>
      </c>
      <c r="B229" s="49">
        <v>7658</v>
      </c>
      <c r="C229" s="50" t="s">
        <v>82</v>
      </c>
      <c r="D229" s="57" t="s">
        <v>19</v>
      </c>
      <c r="E229" s="58" t="s">
        <v>420</v>
      </c>
      <c r="F229" s="57" t="s">
        <v>52</v>
      </c>
      <c r="G229" s="51">
        <v>45292</v>
      </c>
      <c r="H229" s="59">
        <v>45306</v>
      </c>
      <c r="I229" s="52">
        <v>12</v>
      </c>
      <c r="J229" s="57" t="s">
        <v>46</v>
      </c>
      <c r="K229" s="57" t="s">
        <v>22</v>
      </c>
      <c r="L229" s="57" t="s">
        <v>53</v>
      </c>
      <c r="M229" s="53">
        <v>154877357</v>
      </c>
      <c r="N229" s="58" t="s">
        <v>38</v>
      </c>
      <c r="O229" s="58" t="s">
        <v>25</v>
      </c>
      <c r="P229" s="58" t="s">
        <v>26</v>
      </c>
    </row>
    <row r="230" spans="1:16" s="19" customFormat="1" ht="84" x14ac:dyDescent="0.35">
      <c r="A230" s="49">
        <v>20240051</v>
      </c>
      <c r="B230" s="49">
        <v>7658</v>
      </c>
      <c r="C230" s="50" t="s">
        <v>82</v>
      </c>
      <c r="D230" s="57" t="s">
        <v>19</v>
      </c>
      <c r="E230" s="58" t="s">
        <v>54</v>
      </c>
      <c r="F230" s="57" t="s">
        <v>364</v>
      </c>
      <c r="G230" s="51">
        <v>45292</v>
      </c>
      <c r="H230" s="59">
        <v>45306</v>
      </c>
      <c r="I230" s="52">
        <v>2</v>
      </c>
      <c r="J230" s="57" t="s">
        <v>49</v>
      </c>
      <c r="K230" s="57" t="s">
        <v>22</v>
      </c>
      <c r="L230" s="57" t="s">
        <v>56</v>
      </c>
      <c r="M230" s="53">
        <v>160477813</v>
      </c>
      <c r="N230" s="58" t="s">
        <v>38</v>
      </c>
      <c r="O230" s="58" t="s">
        <v>25</v>
      </c>
      <c r="P230" s="58" t="s">
        <v>310</v>
      </c>
    </row>
    <row r="231" spans="1:16" s="19" customFormat="1" ht="84" x14ac:dyDescent="0.35">
      <c r="A231" s="49">
        <v>20240052</v>
      </c>
      <c r="B231" s="49">
        <v>7658</v>
      </c>
      <c r="C231" s="50" t="s">
        <v>82</v>
      </c>
      <c r="D231" s="57" t="s">
        <v>19</v>
      </c>
      <c r="E231" s="58" t="s">
        <v>419</v>
      </c>
      <c r="F231" s="57" t="s">
        <v>55</v>
      </c>
      <c r="G231" s="51">
        <v>45292</v>
      </c>
      <c r="H231" s="59">
        <v>45306</v>
      </c>
      <c r="I231" s="52">
        <v>12</v>
      </c>
      <c r="J231" s="57" t="s">
        <v>49</v>
      </c>
      <c r="K231" s="57" t="s">
        <v>22</v>
      </c>
      <c r="L231" s="57" t="s">
        <v>56</v>
      </c>
      <c r="M231" s="53">
        <v>637552411</v>
      </c>
      <c r="N231" s="58" t="s">
        <v>38</v>
      </c>
      <c r="O231" s="58" t="s">
        <v>25</v>
      </c>
      <c r="P231" s="58" t="s">
        <v>26</v>
      </c>
    </row>
    <row r="232" spans="1:16" s="19" customFormat="1" ht="182" x14ac:dyDescent="0.35">
      <c r="A232" s="49">
        <v>20240053</v>
      </c>
      <c r="B232" s="49">
        <v>7658</v>
      </c>
      <c r="C232" s="50" t="s">
        <v>82</v>
      </c>
      <c r="D232" s="57" t="s">
        <v>152</v>
      </c>
      <c r="E232" s="58" t="s">
        <v>421</v>
      </c>
      <c r="F232" s="57" t="s">
        <v>153</v>
      </c>
      <c r="G232" s="51">
        <v>45292</v>
      </c>
      <c r="H232" s="59">
        <v>45412</v>
      </c>
      <c r="I232" s="52">
        <v>6</v>
      </c>
      <c r="J232" s="57" t="s">
        <v>49</v>
      </c>
      <c r="K232" s="57" t="s">
        <v>22</v>
      </c>
      <c r="L232" s="57" t="s">
        <v>497</v>
      </c>
      <c r="M232" s="53">
        <f>150000000-30000000-48000000</f>
        <v>72000000</v>
      </c>
      <c r="N232" s="58" t="s">
        <v>154</v>
      </c>
      <c r="O232" s="58" t="s">
        <v>155</v>
      </c>
      <c r="P232" s="58" t="s">
        <v>26</v>
      </c>
    </row>
    <row r="233" spans="1:16" s="19" customFormat="1" ht="112" x14ac:dyDescent="0.35">
      <c r="A233" s="49">
        <v>20240054</v>
      </c>
      <c r="B233" s="49">
        <v>7658</v>
      </c>
      <c r="C233" s="50" t="s">
        <v>82</v>
      </c>
      <c r="D233" s="57" t="s">
        <v>152</v>
      </c>
      <c r="E233" s="58" t="s">
        <v>422</v>
      </c>
      <c r="F233" s="57" t="s">
        <v>158</v>
      </c>
      <c r="G233" s="51">
        <v>45292</v>
      </c>
      <c r="H233" s="59">
        <v>45412</v>
      </c>
      <c r="I233" s="52">
        <v>6</v>
      </c>
      <c r="J233" s="57" t="s">
        <v>49</v>
      </c>
      <c r="K233" s="57" t="s">
        <v>22</v>
      </c>
      <c r="L233" s="57" t="s">
        <v>23</v>
      </c>
      <c r="M233" s="53">
        <f>426182000-274586560</f>
        <v>151595440</v>
      </c>
      <c r="N233" s="58" t="s">
        <v>154</v>
      </c>
      <c r="O233" s="58" t="s">
        <v>155</v>
      </c>
      <c r="P233" s="58" t="s">
        <v>26</v>
      </c>
    </row>
    <row r="234" spans="1:16" s="19" customFormat="1" ht="84" x14ac:dyDescent="0.35">
      <c r="A234" s="49">
        <v>20240055</v>
      </c>
      <c r="B234" s="49">
        <v>7658</v>
      </c>
      <c r="C234" s="50" t="s">
        <v>82</v>
      </c>
      <c r="D234" s="57" t="s">
        <v>152</v>
      </c>
      <c r="E234" s="58">
        <v>90121800</v>
      </c>
      <c r="F234" s="57" t="s">
        <v>169</v>
      </c>
      <c r="G234" s="51">
        <v>45292</v>
      </c>
      <c r="H234" s="59">
        <v>45322</v>
      </c>
      <c r="I234" s="52">
        <v>11</v>
      </c>
      <c r="J234" s="57" t="s">
        <v>21</v>
      </c>
      <c r="K234" s="57" t="s">
        <v>22</v>
      </c>
      <c r="L234" s="57" t="s">
        <v>23</v>
      </c>
      <c r="M234" s="53">
        <f>40000000+40000000</f>
        <v>80000000</v>
      </c>
      <c r="N234" s="58" t="s">
        <v>154</v>
      </c>
      <c r="O234" s="58" t="s">
        <v>155</v>
      </c>
      <c r="P234" s="58" t="s">
        <v>26</v>
      </c>
    </row>
    <row r="235" spans="1:16" s="19" customFormat="1" ht="84" x14ac:dyDescent="0.35">
      <c r="A235" s="49">
        <v>20240056</v>
      </c>
      <c r="B235" s="49">
        <v>7658</v>
      </c>
      <c r="C235" s="50" t="s">
        <v>82</v>
      </c>
      <c r="D235" s="57" t="s">
        <v>152</v>
      </c>
      <c r="E235" s="58">
        <v>90121800</v>
      </c>
      <c r="F235" s="57" t="s">
        <v>171</v>
      </c>
      <c r="G235" s="51">
        <v>45292</v>
      </c>
      <c r="H235" s="59">
        <v>45322</v>
      </c>
      <c r="I235" s="52">
        <v>11</v>
      </c>
      <c r="J235" s="57" t="s">
        <v>21</v>
      </c>
      <c r="K235" s="57" t="s">
        <v>22</v>
      </c>
      <c r="L235" s="57" t="s">
        <v>23</v>
      </c>
      <c r="M235" s="53">
        <f>300000000-25278000-32826000-18000000-40000000</f>
        <v>183896000</v>
      </c>
      <c r="N235" s="58" t="s">
        <v>154</v>
      </c>
      <c r="O235" s="58" t="s">
        <v>155</v>
      </c>
      <c r="P235" s="58" t="s">
        <v>26</v>
      </c>
    </row>
    <row r="236" spans="1:16" s="19" customFormat="1" ht="56" x14ac:dyDescent="0.35">
      <c r="A236" s="49">
        <v>20240057</v>
      </c>
      <c r="B236" s="49">
        <v>131</v>
      </c>
      <c r="C236" s="50" t="s">
        <v>403</v>
      </c>
      <c r="D236" s="57" t="s">
        <v>222</v>
      </c>
      <c r="E236" s="58">
        <v>81111811</v>
      </c>
      <c r="F236" s="57" t="s">
        <v>510</v>
      </c>
      <c r="G236" s="51">
        <v>45397</v>
      </c>
      <c r="H236" s="59">
        <v>45442</v>
      </c>
      <c r="I236" s="52">
        <v>10</v>
      </c>
      <c r="J236" s="57" t="s">
        <v>97</v>
      </c>
      <c r="K236" s="57" t="s">
        <v>22</v>
      </c>
      <c r="L236" s="57" t="s">
        <v>66</v>
      </c>
      <c r="M236" s="53">
        <f>260000000-1000000</f>
        <v>259000000</v>
      </c>
      <c r="N236" s="58" t="s">
        <v>598</v>
      </c>
      <c r="O236" s="58" t="s">
        <v>598</v>
      </c>
      <c r="P236" s="58" t="s">
        <v>26</v>
      </c>
    </row>
    <row r="237" spans="1:16" s="19" customFormat="1" ht="70" x14ac:dyDescent="0.35">
      <c r="A237" s="49">
        <v>20240060</v>
      </c>
      <c r="B237" s="49">
        <v>7655</v>
      </c>
      <c r="C237" s="50" t="s">
        <v>18</v>
      </c>
      <c r="D237" s="57" t="s">
        <v>237</v>
      </c>
      <c r="E237" s="58">
        <v>80111600</v>
      </c>
      <c r="F237" s="57" t="s">
        <v>298</v>
      </c>
      <c r="G237" s="51">
        <v>45293</v>
      </c>
      <c r="H237" s="59">
        <v>45306</v>
      </c>
      <c r="I237" s="52">
        <v>9</v>
      </c>
      <c r="J237" s="57" t="s">
        <v>21</v>
      </c>
      <c r="K237" s="57" t="s">
        <v>22</v>
      </c>
      <c r="L237" s="57" t="s">
        <v>23</v>
      </c>
      <c r="M237" s="53">
        <v>72000000</v>
      </c>
      <c r="N237" s="58" t="s">
        <v>24</v>
      </c>
      <c r="O237" s="58" t="s">
        <v>80</v>
      </c>
      <c r="P237" s="58" t="s">
        <v>26</v>
      </c>
    </row>
    <row r="238" spans="1:16" s="19" customFormat="1" ht="70" x14ac:dyDescent="0.35">
      <c r="A238" s="49">
        <v>20240066</v>
      </c>
      <c r="B238" s="49">
        <v>7655</v>
      </c>
      <c r="C238" s="50" t="s">
        <v>18</v>
      </c>
      <c r="D238" s="57" t="s">
        <v>237</v>
      </c>
      <c r="E238" s="58">
        <v>80111600</v>
      </c>
      <c r="F238" s="57" t="s">
        <v>241</v>
      </c>
      <c r="G238" s="51">
        <v>45293</v>
      </c>
      <c r="H238" s="59">
        <v>45306</v>
      </c>
      <c r="I238" s="52">
        <v>8</v>
      </c>
      <c r="J238" s="57" t="s">
        <v>21</v>
      </c>
      <c r="K238" s="57" t="s">
        <v>22</v>
      </c>
      <c r="L238" s="57" t="s">
        <v>23</v>
      </c>
      <c r="M238" s="53">
        <v>22458000</v>
      </c>
      <c r="N238" s="58" t="s">
        <v>24</v>
      </c>
      <c r="O238" s="58" t="s">
        <v>80</v>
      </c>
      <c r="P238" s="58" t="s">
        <v>26</v>
      </c>
    </row>
    <row r="239" spans="1:16" s="19" customFormat="1" ht="84" x14ac:dyDescent="0.35">
      <c r="A239" s="49">
        <v>20240069</v>
      </c>
      <c r="B239" s="49">
        <v>7658</v>
      </c>
      <c r="C239" s="50" t="s">
        <v>82</v>
      </c>
      <c r="D239" s="57" t="s">
        <v>92</v>
      </c>
      <c r="E239" s="58">
        <v>72101509</v>
      </c>
      <c r="F239" s="57" t="s">
        <v>312</v>
      </c>
      <c r="G239" s="51">
        <v>45301</v>
      </c>
      <c r="H239" s="59">
        <v>45306</v>
      </c>
      <c r="I239" s="52">
        <v>12</v>
      </c>
      <c r="J239" s="57" t="s">
        <v>21</v>
      </c>
      <c r="K239" s="57" t="s">
        <v>22</v>
      </c>
      <c r="L239" s="57" t="s">
        <v>497</v>
      </c>
      <c r="M239" s="53">
        <f>200000000-50000000</f>
        <v>150000000</v>
      </c>
      <c r="N239" s="58" t="s">
        <v>94</v>
      </c>
      <c r="O239" s="58" t="s">
        <v>25</v>
      </c>
      <c r="P239" s="58" t="s">
        <v>26</v>
      </c>
    </row>
    <row r="240" spans="1:16" s="19" customFormat="1" ht="84" x14ac:dyDescent="0.35">
      <c r="A240" s="49">
        <v>20240070</v>
      </c>
      <c r="B240" s="49">
        <v>7658</v>
      </c>
      <c r="C240" s="50" t="s">
        <v>82</v>
      </c>
      <c r="D240" s="57" t="s">
        <v>92</v>
      </c>
      <c r="E240" s="58">
        <v>72101509</v>
      </c>
      <c r="F240" s="57" t="s">
        <v>313</v>
      </c>
      <c r="G240" s="51">
        <v>45301</v>
      </c>
      <c r="H240" s="59">
        <v>45306</v>
      </c>
      <c r="I240" s="52">
        <v>12</v>
      </c>
      <c r="J240" s="57" t="s">
        <v>97</v>
      </c>
      <c r="K240" s="57" t="s">
        <v>22</v>
      </c>
      <c r="L240" s="57" t="s">
        <v>497</v>
      </c>
      <c r="M240" s="53">
        <f>190000000-170000000</f>
        <v>20000000</v>
      </c>
      <c r="N240" s="58" t="s">
        <v>94</v>
      </c>
      <c r="O240" s="58" t="s">
        <v>25</v>
      </c>
      <c r="P240" s="58" t="s">
        <v>26</v>
      </c>
    </row>
    <row r="241" spans="1:16" s="19" customFormat="1" ht="84" x14ac:dyDescent="0.35">
      <c r="A241" s="49">
        <v>20240071</v>
      </c>
      <c r="B241" s="49">
        <v>7658</v>
      </c>
      <c r="C241" s="50" t="s">
        <v>82</v>
      </c>
      <c r="D241" s="57" t="s">
        <v>92</v>
      </c>
      <c r="E241" s="58" t="s">
        <v>423</v>
      </c>
      <c r="F241" s="57" t="s">
        <v>314</v>
      </c>
      <c r="G241" s="51">
        <v>45301</v>
      </c>
      <c r="H241" s="59">
        <v>45306</v>
      </c>
      <c r="I241" s="52">
        <v>12</v>
      </c>
      <c r="J241" s="57" t="s">
        <v>21</v>
      </c>
      <c r="K241" s="57" t="s">
        <v>22</v>
      </c>
      <c r="L241" s="57" t="s">
        <v>497</v>
      </c>
      <c r="M241" s="53">
        <v>100000000</v>
      </c>
      <c r="N241" s="58" t="s">
        <v>94</v>
      </c>
      <c r="O241" s="58" t="s">
        <v>25</v>
      </c>
      <c r="P241" s="58" t="s">
        <v>26</v>
      </c>
    </row>
    <row r="242" spans="1:16" s="19" customFormat="1" ht="84" x14ac:dyDescent="0.35">
      <c r="A242" s="49">
        <v>20240073</v>
      </c>
      <c r="B242" s="49">
        <v>7658</v>
      </c>
      <c r="C242" s="50" t="s">
        <v>82</v>
      </c>
      <c r="D242" s="57" t="s">
        <v>92</v>
      </c>
      <c r="E242" s="58">
        <v>78181505</v>
      </c>
      <c r="F242" s="57" t="s">
        <v>315</v>
      </c>
      <c r="G242" s="51">
        <v>45301</v>
      </c>
      <c r="H242" s="59">
        <v>45306</v>
      </c>
      <c r="I242" s="52">
        <v>12</v>
      </c>
      <c r="J242" s="57" t="s">
        <v>21</v>
      </c>
      <c r="K242" s="57" t="s">
        <v>22</v>
      </c>
      <c r="L242" s="57" t="s">
        <v>497</v>
      </c>
      <c r="M242" s="53">
        <v>140000000</v>
      </c>
      <c r="N242" s="58" t="s">
        <v>94</v>
      </c>
      <c r="O242" s="58" t="s">
        <v>25</v>
      </c>
      <c r="P242" s="58" t="s">
        <v>26</v>
      </c>
    </row>
    <row r="243" spans="1:16" s="19" customFormat="1" ht="84" x14ac:dyDescent="0.35">
      <c r="A243" s="49">
        <v>20240074</v>
      </c>
      <c r="B243" s="49">
        <v>7658</v>
      </c>
      <c r="C243" s="50" t="s">
        <v>82</v>
      </c>
      <c r="D243" s="57" t="s">
        <v>92</v>
      </c>
      <c r="E243" s="58">
        <v>46161600</v>
      </c>
      <c r="F243" s="57" t="s">
        <v>316</v>
      </c>
      <c r="G243" s="51">
        <v>45301</v>
      </c>
      <c r="H243" s="59">
        <v>45306</v>
      </c>
      <c r="I243" s="52">
        <v>12</v>
      </c>
      <c r="J243" s="57" t="s">
        <v>97</v>
      </c>
      <c r="K243" s="57" t="s">
        <v>22</v>
      </c>
      <c r="L243" s="57" t="s">
        <v>497</v>
      </c>
      <c r="M243" s="53">
        <v>70000000</v>
      </c>
      <c r="N243" s="58" t="s">
        <v>94</v>
      </c>
      <c r="O243" s="58" t="s">
        <v>25</v>
      </c>
      <c r="P243" s="58" t="s">
        <v>26</v>
      </c>
    </row>
    <row r="244" spans="1:16" s="19" customFormat="1" ht="84" x14ac:dyDescent="0.35">
      <c r="A244" s="49">
        <v>20240076</v>
      </c>
      <c r="B244" s="49">
        <v>7658</v>
      </c>
      <c r="C244" s="50" t="s">
        <v>82</v>
      </c>
      <c r="D244" s="57" t="s">
        <v>92</v>
      </c>
      <c r="E244" s="58">
        <v>15101500</v>
      </c>
      <c r="F244" s="57" t="s">
        <v>317</v>
      </c>
      <c r="G244" s="51">
        <v>45301</v>
      </c>
      <c r="H244" s="59">
        <v>45306</v>
      </c>
      <c r="I244" s="52">
        <v>12</v>
      </c>
      <c r="J244" s="57" t="s">
        <v>46</v>
      </c>
      <c r="K244" s="57" t="s">
        <v>22</v>
      </c>
      <c r="L244" s="57" t="s">
        <v>95</v>
      </c>
      <c r="M244" s="53">
        <v>1400000000</v>
      </c>
      <c r="N244" s="58" t="s">
        <v>94</v>
      </c>
      <c r="O244" s="58" t="s">
        <v>25</v>
      </c>
      <c r="P244" s="58" t="s">
        <v>26</v>
      </c>
    </row>
    <row r="245" spans="1:16" s="19" customFormat="1" ht="84" x14ac:dyDescent="0.35">
      <c r="A245" s="49">
        <v>20240077</v>
      </c>
      <c r="B245" s="49">
        <v>7658</v>
      </c>
      <c r="C245" s="50" t="s">
        <v>82</v>
      </c>
      <c r="D245" s="57" t="s">
        <v>92</v>
      </c>
      <c r="E245" s="58" t="s">
        <v>100</v>
      </c>
      <c r="F245" s="57" t="s">
        <v>318</v>
      </c>
      <c r="G245" s="51">
        <v>45361</v>
      </c>
      <c r="H245" s="59">
        <v>45397</v>
      </c>
      <c r="I245" s="52">
        <v>10</v>
      </c>
      <c r="J245" s="57" t="s">
        <v>36</v>
      </c>
      <c r="K245" s="57" t="s">
        <v>22</v>
      </c>
      <c r="L245" s="57" t="s">
        <v>101</v>
      </c>
      <c r="M245" s="53">
        <f>100000000-10000000-12000000-30000000-12000000-1621171</f>
        <v>34378829</v>
      </c>
      <c r="N245" s="58" t="s">
        <v>96</v>
      </c>
      <c r="O245" s="58" t="s">
        <v>25</v>
      </c>
      <c r="P245" s="58" t="s">
        <v>26</v>
      </c>
    </row>
    <row r="246" spans="1:16" s="19" customFormat="1" ht="84" x14ac:dyDescent="0.35">
      <c r="A246" s="49">
        <v>20240079</v>
      </c>
      <c r="B246" s="49">
        <v>7658</v>
      </c>
      <c r="C246" s="50" t="s">
        <v>82</v>
      </c>
      <c r="D246" s="57" t="s">
        <v>92</v>
      </c>
      <c r="E246" s="58">
        <v>50192700</v>
      </c>
      <c r="F246" s="57" t="s">
        <v>568</v>
      </c>
      <c r="G246" s="51">
        <v>45352</v>
      </c>
      <c r="H246" s="59">
        <v>45366</v>
      </c>
      <c r="I246" s="52">
        <v>12</v>
      </c>
      <c r="J246" s="57" t="s">
        <v>36</v>
      </c>
      <c r="K246" s="57" t="s">
        <v>22</v>
      </c>
      <c r="L246" s="57" t="s">
        <v>98</v>
      </c>
      <c r="M246" s="53">
        <v>15000000</v>
      </c>
      <c r="N246" s="58" t="s">
        <v>96</v>
      </c>
      <c r="O246" s="58" t="s">
        <v>25</v>
      </c>
      <c r="P246" s="58" t="s">
        <v>26</v>
      </c>
    </row>
    <row r="247" spans="1:16" s="19" customFormat="1" ht="84" x14ac:dyDescent="0.35">
      <c r="A247" s="49">
        <v>20240080</v>
      </c>
      <c r="B247" s="49">
        <v>7658</v>
      </c>
      <c r="C247" s="50" t="s">
        <v>82</v>
      </c>
      <c r="D247" s="57" t="s">
        <v>92</v>
      </c>
      <c r="E247" s="58" t="s">
        <v>425</v>
      </c>
      <c r="F247" s="57" t="s">
        <v>569</v>
      </c>
      <c r="G247" s="51">
        <v>45352</v>
      </c>
      <c r="H247" s="59">
        <v>45366</v>
      </c>
      <c r="I247" s="52">
        <v>12</v>
      </c>
      <c r="J247" s="57" t="s">
        <v>36</v>
      </c>
      <c r="K247" s="57" t="s">
        <v>22</v>
      </c>
      <c r="L247" s="57" t="s">
        <v>99</v>
      </c>
      <c r="M247" s="53">
        <f>120000000-30000000</f>
        <v>90000000</v>
      </c>
      <c r="N247" s="58" t="s">
        <v>96</v>
      </c>
      <c r="O247" s="58" t="s">
        <v>25</v>
      </c>
      <c r="P247" s="58" t="s">
        <v>26</v>
      </c>
    </row>
    <row r="248" spans="1:16" s="19" customFormat="1" ht="84" x14ac:dyDescent="0.35">
      <c r="A248" s="49">
        <v>20240082</v>
      </c>
      <c r="B248" s="49">
        <v>7658</v>
      </c>
      <c r="C248" s="50" t="s">
        <v>82</v>
      </c>
      <c r="D248" s="57" t="s">
        <v>92</v>
      </c>
      <c r="E248" s="58" t="s">
        <v>426</v>
      </c>
      <c r="F248" s="57" t="s">
        <v>104</v>
      </c>
      <c r="G248" s="51">
        <v>45301</v>
      </c>
      <c r="H248" s="59">
        <v>45306</v>
      </c>
      <c r="I248" s="52">
        <v>12</v>
      </c>
      <c r="J248" s="57" t="s">
        <v>36</v>
      </c>
      <c r="K248" s="57" t="s">
        <v>22</v>
      </c>
      <c r="L248" s="57" t="s">
        <v>23</v>
      </c>
      <c r="M248" s="53">
        <v>20000000</v>
      </c>
      <c r="N248" s="58" t="s">
        <v>96</v>
      </c>
      <c r="O248" s="58" t="s">
        <v>25</v>
      </c>
      <c r="P248" s="58" t="s">
        <v>26</v>
      </c>
    </row>
    <row r="249" spans="1:16" s="19" customFormat="1" ht="84" x14ac:dyDescent="0.35">
      <c r="A249" s="49">
        <v>20240083</v>
      </c>
      <c r="B249" s="49">
        <v>7658</v>
      </c>
      <c r="C249" s="50" t="s">
        <v>82</v>
      </c>
      <c r="D249" s="57" t="s">
        <v>92</v>
      </c>
      <c r="E249" s="58">
        <v>78181500</v>
      </c>
      <c r="F249" s="57" t="s">
        <v>320</v>
      </c>
      <c r="G249" s="51">
        <v>45301</v>
      </c>
      <c r="H249" s="59">
        <v>45306</v>
      </c>
      <c r="I249" s="52">
        <v>12</v>
      </c>
      <c r="J249" s="57" t="s">
        <v>49</v>
      </c>
      <c r="K249" s="57" t="s">
        <v>22</v>
      </c>
      <c r="L249" s="57" t="s">
        <v>93</v>
      </c>
      <c r="M249" s="53">
        <f>4350000000-400000000-100000000</f>
        <v>3850000000</v>
      </c>
      <c r="N249" s="58" t="s">
        <v>94</v>
      </c>
      <c r="O249" s="58" t="s">
        <v>25</v>
      </c>
      <c r="P249" s="58" t="s">
        <v>26</v>
      </c>
    </row>
    <row r="250" spans="1:16" s="19" customFormat="1" ht="84" x14ac:dyDescent="0.35">
      <c r="A250" s="49">
        <v>20240084</v>
      </c>
      <c r="B250" s="49">
        <v>7658</v>
      </c>
      <c r="C250" s="50" t="s">
        <v>82</v>
      </c>
      <c r="D250" s="57" t="s">
        <v>92</v>
      </c>
      <c r="E250" s="58" t="s">
        <v>427</v>
      </c>
      <c r="F250" s="57" t="s">
        <v>321</v>
      </c>
      <c r="G250" s="51">
        <v>45301</v>
      </c>
      <c r="H250" s="59">
        <v>45306</v>
      </c>
      <c r="I250" s="52">
        <v>12</v>
      </c>
      <c r="J250" s="57" t="s">
        <v>21</v>
      </c>
      <c r="K250" s="57" t="s">
        <v>22</v>
      </c>
      <c r="L250" s="57" t="s">
        <v>37</v>
      </c>
      <c r="M250" s="53">
        <v>80000000</v>
      </c>
      <c r="N250" s="58" t="s">
        <v>94</v>
      </c>
      <c r="O250" s="58" t="s">
        <v>25</v>
      </c>
      <c r="P250" s="58" t="s">
        <v>26</v>
      </c>
    </row>
    <row r="251" spans="1:16" s="19" customFormat="1" ht="84" x14ac:dyDescent="0.35">
      <c r="A251" s="49">
        <v>20240085</v>
      </c>
      <c r="B251" s="49">
        <v>7658</v>
      </c>
      <c r="C251" s="50" t="s">
        <v>82</v>
      </c>
      <c r="D251" s="57" t="s">
        <v>92</v>
      </c>
      <c r="E251" s="58" t="s">
        <v>423</v>
      </c>
      <c r="F251" s="57" t="s">
        <v>322</v>
      </c>
      <c r="G251" s="51">
        <v>45301</v>
      </c>
      <c r="H251" s="59">
        <v>45306</v>
      </c>
      <c r="I251" s="52">
        <v>12</v>
      </c>
      <c r="J251" s="57" t="s">
        <v>21</v>
      </c>
      <c r="K251" s="57" t="s">
        <v>22</v>
      </c>
      <c r="L251" s="57" t="s">
        <v>37</v>
      </c>
      <c r="M251" s="53">
        <v>70000000</v>
      </c>
      <c r="N251" s="58" t="s">
        <v>94</v>
      </c>
      <c r="O251" s="58" t="s">
        <v>25</v>
      </c>
      <c r="P251" s="58" t="s">
        <v>26</v>
      </c>
    </row>
    <row r="252" spans="1:16" s="19" customFormat="1" ht="84" x14ac:dyDescent="0.35">
      <c r="A252" s="49">
        <v>20240086</v>
      </c>
      <c r="B252" s="49">
        <v>7658</v>
      </c>
      <c r="C252" s="50" t="s">
        <v>82</v>
      </c>
      <c r="D252" s="57" t="s">
        <v>92</v>
      </c>
      <c r="E252" s="58" t="s">
        <v>428</v>
      </c>
      <c r="F252" s="57" t="s">
        <v>323</v>
      </c>
      <c r="G252" s="51">
        <v>45352</v>
      </c>
      <c r="H252" s="59">
        <v>45366</v>
      </c>
      <c r="I252" s="52">
        <v>12</v>
      </c>
      <c r="J252" s="57" t="s">
        <v>97</v>
      </c>
      <c r="K252" s="57" t="s">
        <v>22</v>
      </c>
      <c r="L252" s="57" t="s">
        <v>497</v>
      </c>
      <c r="M252" s="53">
        <v>130000000</v>
      </c>
      <c r="N252" s="58" t="s">
        <v>96</v>
      </c>
      <c r="O252" s="58" t="s">
        <v>25</v>
      </c>
      <c r="P252" s="58" t="s">
        <v>26</v>
      </c>
    </row>
    <row r="253" spans="1:16" s="19" customFormat="1" ht="84" x14ac:dyDescent="0.35">
      <c r="A253" s="49">
        <v>20240087</v>
      </c>
      <c r="B253" s="49">
        <v>7658</v>
      </c>
      <c r="C253" s="50" t="s">
        <v>82</v>
      </c>
      <c r="D253" s="57" t="s">
        <v>92</v>
      </c>
      <c r="E253" s="58" t="s">
        <v>429</v>
      </c>
      <c r="F253" s="57" t="s">
        <v>324</v>
      </c>
      <c r="G253" s="51">
        <v>45301</v>
      </c>
      <c r="H253" s="59">
        <v>45306</v>
      </c>
      <c r="I253" s="52">
        <v>12</v>
      </c>
      <c r="J253" s="57" t="s">
        <v>97</v>
      </c>
      <c r="K253" s="57" t="s">
        <v>22</v>
      </c>
      <c r="L253" s="57" t="s">
        <v>497</v>
      </c>
      <c r="M253" s="53">
        <f>130000000-80000000</f>
        <v>50000000</v>
      </c>
      <c r="N253" s="58" t="s">
        <v>96</v>
      </c>
      <c r="O253" s="58" t="s">
        <v>25</v>
      </c>
      <c r="P253" s="58" t="s">
        <v>26</v>
      </c>
    </row>
    <row r="254" spans="1:16" s="19" customFormat="1" ht="84" x14ac:dyDescent="0.35">
      <c r="A254" s="49">
        <v>20240088</v>
      </c>
      <c r="B254" s="49">
        <v>7658</v>
      </c>
      <c r="C254" s="50" t="s">
        <v>82</v>
      </c>
      <c r="D254" s="57" t="s">
        <v>92</v>
      </c>
      <c r="E254" s="58" t="s">
        <v>430</v>
      </c>
      <c r="F254" s="57" t="s">
        <v>325</v>
      </c>
      <c r="G254" s="51">
        <v>45301</v>
      </c>
      <c r="H254" s="59">
        <v>45306</v>
      </c>
      <c r="I254" s="52">
        <v>12</v>
      </c>
      <c r="J254" s="57" t="s">
        <v>97</v>
      </c>
      <c r="K254" s="57" t="s">
        <v>22</v>
      </c>
      <c r="L254" s="57" t="s">
        <v>497</v>
      </c>
      <c r="M254" s="53">
        <v>50000000</v>
      </c>
      <c r="N254" s="58" t="s">
        <v>96</v>
      </c>
      <c r="O254" s="58" t="s">
        <v>25</v>
      </c>
      <c r="P254" s="58" t="s">
        <v>26</v>
      </c>
    </row>
    <row r="255" spans="1:16" s="19" customFormat="1" ht="84" x14ac:dyDescent="0.35">
      <c r="A255" s="49">
        <v>20240090</v>
      </c>
      <c r="B255" s="49">
        <v>7658</v>
      </c>
      <c r="C255" s="50" t="s">
        <v>82</v>
      </c>
      <c r="D255" s="57" t="s">
        <v>92</v>
      </c>
      <c r="E255" s="58">
        <v>80111600</v>
      </c>
      <c r="F255" s="57" t="s">
        <v>327</v>
      </c>
      <c r="G255" s="51">
        <v>45301</v>
      </c>
      <c r="H255" s="59">
        <v>45306</v>
      </c>
      <c r="I255" s="52">
        <v>9</v>
      </c>
      <c r="J255" s="57" t="s">
        <v>21</v>
      </c>
      <c r="K255" s="57" t="s">
        <v>22</v>
      </c>
      <c r="L255" s="57" t="s">
        <v>23</v>
      </c>
      <c r="M255" s="53">
        <v>52650000</v>
      </c>
      <c r="N255" s="58" t="s">
        <v>94</v>
      </c>
      <c r="O255" s="58" t="s">
        <v>25</v>
      </c>
      <c r="P255" s="58" t="s">
        <v>26</v>
      </c>
    </row>
    <row r="256" spans="1:16" s="19" customFormat="1" ht="84" x14ac:dyDescent="0.35">
      <c r="A256" s="49">
        <v>20240091</v>
      </c>
      <c r="B256" s="49">
        <v>7658</v>
      </c>
      <c r="C256" s="50" t="s">
        <v>82</v>
      </c>
      <c r="D256" s="57" t="s">
        <v>92</v>
      </c>
      <c r="E256" s="58">
        <v>80111600</v>
      </c>
      <c r="F256" s="57" t="s">
        <v>328</v>
      </c>
      <c r="G256" s="51">
        <v>45301</v>
      </c>
      <c r="H256" s="59">
        <v>45306</v>
      </c>
      <c r="I256" s="52">
        <v>9</v>
      </c>
      <c r="J256" s="57" t="s">
        <v>21</v>
      </c>
      <c r="K256" s="57" t="s">
        <v>22</v>
      </c>
      <c r="L256" s="57" t="s">
        <v>23</v>
      </c>
      <c r="M256" s="53">
        <f>81000000-7000000</f>
        <v>74000000</v>
      </c>
      <c r="N256" s="58" t="s">
        <v>94</v>
      </c>
      <c r="O256" s="58" t="s">
        <v>25</v>
      </c>
      <c r="P256" s="58" t="s">
        <v>26</v>
      </c>
    </row>
    <row r="257" spans="1:16" s="19" customFormat="1" ht="84" x14ac:dyDescent="0.35">
      <c r="A257" s="49">
        <v>20240093</v>
      </c>
      <c r="B257" s="49">
        <v>7658</v>
      </c>
      <c r="C257" s="50" t="s">
        <v>82</v>
      </c>
      <c r="D257" s="57" t="s">
        <v>92</v>
      </c>
      <c r="E257" s="58">
        <v>80111600</v>
      </c>
      <c r="F257" s="57" t="s">
        <v>411</v>
      </c>
      <c r="G257" s="51">
        <v>45301</v>
      </c>
      <c r="H257" s="59">
        <v>45306</v>
      </c>
      <c r="I257" s="52">
        <v>10</v>
      </c>
      <c r="J257" s="57" t="s">
        <v>21</v>
      </c>
      <c r="K257" s="57" t="s">
        <v>22</v>
      </c>
      <c r="L257" s="57" t="s">
        <v>23</v>
      </c>
      <c r="M257" s="53">
        <v>33000000</v>
      </c>
      <c r="N257" s="58" t="s">
        <v>96</v>
      </c>
      <c r="O257" s="58" t="s">
        <v>25</v>
      </c>
      <c r="P257" s="58" t="s">
        <v>26</v>
      </c>
    </row>
    <row r="258" spans="1:16" s="19" customFormat="1" ht="84" x14ac:dyDescent="0.35">
      <c r="A258" s="49">
        <v>20240097</v>
      </c>
      <c r="B258" s="49">
        <v>7658</v>
      </c>
      <c r="C258" s="50" t="s">
        <v>82</v>
      </c>
      <c r="D258" s="57" t="s">
        <v>92</v>
      </c>
      <c r="E258" s="58">
        <v>80111600</v>
      </c>
      <c r="F258" s="57" t="s">
        <v>333</v>
      </c>
      <c r="G258" s="51">
        <v>45301</v>
      </c>
      <c r="H258" s="59">
        <v>45306</v>
      </c>
      <c r="I258" s="52">
        <v>10</v>
      </c>
      <c r="J258" s="57" t="s">
        <v>21</v>
      </c>
      <c r="K258" s="57" t="s">
        <v>22</v>
      </c>
      <c r="L258" s="57" t="s">
        <v>23</v>
      </c>
      <c r="M258" s="53">
        <v>87035000</v>
      </c>
      <c r="N258" s="58" t="s">
        <v>94</v>
      </c>
      <c r="O258" s="58" t="s">
        <v>25</v>
      </c>
      <c r="P258" s="58" t="s">
        <v>26</v>
      </c>
    </row>
    <row r="259" spans="1:16" s="19" customFormat="1" ht="84" x14ac:dyDescent="0.35">
      <c r="A259" s="49">
        <v>20240103</v>
      </c>
      <c r="B259" s="49">
        <v>7658</v>
      </c>
      <c r="C259" s="50" t="s">
        <v>82</v>
      </c>
      <c r="D259" s="57" t="s">
        <v>92</v>
      </c>
      <c r="E259" s="58">
        <v>80111600</v>
      </c>
      <c r="F259" s="57" t="s">
        <v>570</v>
      </c>
      <c r="G259" s="51">
        <v>45348</v>
      </c>
      <c r="H259" s="59">
        <v>45366</v>
      </c>
      <c r="I259" s="52">
        <v>10</v>
      </c>
      <c r="J259" s="57" t="s">
        <v>21</v>
      </c>
      <c r="K259" s="57" t="s">
        <v>22</v>
      </c>
      <c r="L259" s="57" t="s">
        <v>23</v>
      </c>
      <c r="M259" s="53">
        <v>38100000</v>
      </c>
      <c r="N259" s="58" t="s">
        <v>96</v>
      </c>
      <c r="O259" s="58" t="s">
        <v>25</v>
      </c>
      <c r="P259" s="58" t="s">
        <v>26</v>
      </c>
    </row>
    <row r="260" spans="1:16" s="19" customFormat="1" ht="84" x14ac:dyDescent="0.35">
      <c r="A260" s="49">
        <v>20240123</v>
      </c>
      <c r="B260" s="49">
        <v>7658</v>
      </c>
      <c r="C260" s="50" t="s">
        <v>82</v>
      </c>
      <c r="D260" s="57" t="s">
        <v>92</v>
      </c>
      <c r="E260" s="58">
        <v>80111600</v>
      </c>
      <c r="F260" s="57" t="s">
        <v>414</v>
      </c>
      <c r="G260" s="51">
        <v>45301</v>
      </c>
      <c r="H260" s="59">
        <v>45306</v>
      </c>
      <c r="I260" s="52">
        <v>2</v>
      </c>
      <c r="J260" s="57" t="s">
        <v>21</v>
      </c>
      <c r="K260" s="57" t="s">
        <v>22</v>
      </c>
      <c r="L260" s="57" t="s">
        <v>23</v>
      </c>
      <c r="M260" s="53">
        <v>8000000</v>
      </c>
      <c r="N260" s="58" t="s">
        <v>96</v>
      </c>
      <c r="O260" s="58" t="s">
        <v>25</v>
      </c>
      <c r="P260" s="58" t="s">
        <v>26</v>
      </c>
    </row>
    <row r="261" spans="1:16" s="19" customFormat="1" ht="112" x14ac:dyDescent="0.35">
      <c r="A261" s="49">
        <v>20240125</v>
      </c>
      <c r="B261" s="49">
        <v>7658</v>
      </c>
      <c r="C261" s="50" t="s">
        <v>82</v>
      </c>
      <c r="D261" s="57" t="s">
        <v>248</v>
      </c>
      <c r="E261" s="58">
        <v>80111600</v>
      </c>
      <c r="F261" s="57" t="s">
        <v>251</v>
      </c>
      <c r="G261" s="51">
        <v>45301</v>
      </c>
      <c r="H261" s="59">
        <v>45311</v>
      </c>
      <c r="I261" s="52">
        <v>11</v>
      </c>
      <c r="J261" s="57" t="s">
        <v>21</v>
      </c>
      <c r="K261" s="57" t="s">
        <v>22</v>
      </c>
      <c r="L261" s="57" t="s">
        <v>23</v>
      </c>
      <c r="M261" s="53">
        <v>104665000</v>
      </c>
      <c r="N261" s="58" t="s">
        <v>249</v>
      </c>
      <c r="O261" s="58" t="s">
        <v>25</v>
      </c>
      <c r="P261" s="58" t="s">
        <v>26</v>
      </c>
    </row>
    <row r="262" spans="1:16" s="19" customFormat="1" ht="84" x14ac:dyDescent="0.35">
      <c r="A262" s="49">
        <v>20240126</v>
      </c>
      <c r="B262" s="49">
        <v>7658</v>
      </c>
      <c r="C262" s="50" t="s">
        <v>82</v>
      </c>
      <c r="D262" s="57" t="s">
        <v>248</v>
      </c>
      <c r="E262" s="58">
        <v>80111600</v>
      </c>
      <c r="F262" s="57" t="s">
        <v>252</v>
      </c>
      <c r="G262" s="51">
        <v>45301</v>
      </c>
      <c r="H262" s="59">
        <v>45311</v>
      </c>
      <c r="I262" s="52">
        <v>11</v>
      </c>
      <c r="J262" s="57" t="s">
        <v>21</v>
      </c>
      <c r="K262" s="57" t="s">
        <v>22</v>
      </c>
      <c r="L262" s="57" t="s">
        <v>23</v>
      </c>
      <c r="M262" s="53">
        <v>104665000</v>
      </c>
      <c r="N262" s="58" t="s">
        <v>249</v>
      </c>
      <c r="O262" s="58" t="s">
        <v>25</v>
      </c>
      <c r="P262" s="58" t="s">
        <v>26</v>
      </c>
    </row>
    <row r="263" spans="1:16" s="19" customFormat="1" ht="84" x14ac:dyDescent="0.35">
      <c r="A263" s="49">
        <v>20240127</v>
      </c>
      <c r="B263" s="49">
        <v>7658</v>
      </c>
      <c r="C263" s="50" t="s">
        <v>82</v>
      </c>
      <c r="D263" s="57" t="s">
        <v>248</v>
      </c>
      <c r="E263" s="58">
        <v>80111600</v>
      </c>
      <c r="F263" s="57" t="s">
        <v>253</v>
      </c>
      <c r="G263" s="51">
        <v>45301</v>
      </c>
      <c r="H263" s="59">
        <v>45311</v>
      </c>
      <c r="I263" s="52">
        <v>11</v>
      </c>
      <c r="J263" s="57" t="s">
        <v>21</v>
      </c>
      <c r="K263" s="57" t="s">
        <v>22</v>
      </c>
      <c r="L263" s="57" t="s">
        <v>23</v>
      </c>
      <c r="M263" s="53">
        <v>104665000</v>
      </c>
      <c r="N263" s="58" t="s">
        <v>249</v>
      </c>
      <c r="O263" s="58" t="s">
        <v>25</v>
      </c>
      <c r="P263" s="58" t="s">
        <v>26</v>
      </c>
    </row>
    <row r="264" spans="1:16" s="19" customFormat="1" ht="84" x14ac:dyDescent="0.35">
      <c r="A264" s="49">
        <v>20240128</v>
      </c>
      <c r="B264" s="49">
        <v>7658</v>
      </c>
      <c r="C264" s="50" t="s">
        <v>82</v>
      </c>
      <c r="D264" s="57" t="s">
        <v>248</v>
      </c>
      <c r="E264" s="58">
        <v>80111600</v>
      </c>
      <c r="F264" s="57" t="s">
        <v>254</v>
      </c>
      <c r="G264" s="51">
        <v>45301</v>
      </c>
      <c r="H264" s="59">
        <v>45311</v>
      </c>
      <c r="I264" s="52">
        <v>11</v>
      </c>
      <c r="J264" s="57" t="s">
        <v>21</v>
      </c>
      <c r="K264" s="57" t="s">
        <v>22</v>
      </c>
      <c r="L264" s="57" t="s">
        <v>23</v>
      </c>
      <c r="M264" s="53">
        <f>95536000-9966667</f>
        <v>85569333</v>
      </c>
      <c r="N264" s="58" t="s">
        <v>249</v>
      </c>
      <c r="O264" s="58" t="s">
        <v>25</v>
      </c>
      <c r="P264" s="58" t="s">
        <v>26</v>
      </c>
    </row>
    <row r="265" spans="1:16" s="19" customFormat="1" ht="84" x14ac:dyDescent="0.35">
      <c r="A265" s="49">
        <v>20240129</v>
      </c>
      <c r="B265" s="49">
        <v>7658</v>
      </c>
      <c r="C265" s="50" t="s">
        <v>82</v>
      </c>
      <c r="D265" s="57" t="s">
        <v>248</v>
      </c>
      <c r="E265" s="58">
        <v>80111600</v>
      </c>
      <c r="F265" s="57" t="s">
        <v>255</v>
      </c>
      <c r="G265" s="51">
        <v>45301</v>
      </c>
      <c r="H265" s="59">
        <v>45311</v>
      </c>
      <c r="I265" s="52">
        <v>11</v>
      </c>
      <c r="J265" s="57" t="s">
        <v>21</v>
      </c>
      <c r="K265" s="57" t="s">
        <v>22</v>
      </c>
      <c r="L265" s="57" t="s">
        <v>23</v>
      </c>
      <c r="M265" s="53">
        <v>90717000</v>
      </c>
      <c r="N265" s="58" t="s">
        <v>249</v>
      </c>
      <c r="O265" s="58" t="s">
        <v>25</v>
      </c>
      <c r="P265" s="58" t="s">
        <v>26</v>
      </c>
    </row>
    <row r="266" spans="1:16" s="19" customFormat="1" ht="84" x14ac:dyDescent="0.35">
      <c r="A266" s="49">
        <v>20240131</v>
      </c>
      <c r="B266" s="49">
        <v>7658</v>
      </c>
      <c r="C266" s="50" t="s">
        <v>82</v>
      </c>
      <c r="D266" s="57" t="s">
        <v>248</v>
      </c>
      <c r="E266" s="58">
        <v>80111600</v>
      </c>
      <c r="F266" s="57" t="s">
        <v>256</v>
      </c>
      <c r="G266" s="51">
        <v>45301</v>
      </c>
      <c r="H266" s="59">
        <v>45311</v>
      </c>
      <c r="I266" s="52">
        <v>11</v>
      </c>
      <c r="J266" s="57" t="s">
        <v>21</v>
      </c>
      <c r="K266" s="57" t="s">
        <v>22</v>
      </c>
      <c r="L266" s="57" t="s">
        <v>23</v>
      </c>
      <c r="M266" s="53">
        <v>79079000</v>
      </c>
      <c r="N266" s="58" t="s">
        <v>249</v>
      </c>
      <c r="O266" s="58" t="s">
        <v>25</v>
      </c>
      <c r="P266" s="58" t="s">
        <v>26</v>
      </c>
    </row>
    <row r="267" spans="1:16" s="19" customFormat="1" ht="98" x14ac:dyDescent="0.35">
      <c r="A267" s="49">
        <v>20240132</v>
      </c>
      <c r="B267" s="49">
        <v>7658</v>
      </c>
      <c r="C267" s="50" t="s">
        <v>82</v>
      </c>
      <c r="D267" s="57" t="s">
        <v>248</v>
      </c>
      <c r="E267" s="58">
        <v>80111600</v>
      </c>
      <c r="F267" s="57" t="s">
        <v>257</v>
      </c>
      <c r="G267" s="51">
        <v>45301</v>
      </c>
      <c r="H267" s="59">
        <v>45311</v>
      </c>
      <c r="I267" s="52">
        <v>11</v>
      </c>
      <c r="J267" s="57" t="s">
        <v>21</v>
      </c>
      <c r="K267" s="57" t="s">
        <v>22</v>
      </c>
      <c r="L267" s="57" t="s">
        <v>23</v>
      </c>
      <c r="M267" s="53">
        <v>75592000</v>
      </c>
      <c r="N267" s="58" t="s">
        <v>249</v>
      </c>
      <c r="O267" s="58" t="s">
        <v>25</v>
      </c>
      <c r="P267" s="58" t="s">
        <v>26</v>
      </c>
    </row>
    <row r="268" spans="1:16" s="19" customFormat="1" ht="84" x14ac:dyDescent="0.35">
      <c r="A268" s="49">
        <v>20240133</v>
      </c>
      <c r="B268" s="49">
        <v>7658</v>
      </c>
      <c r="C268" s="50" t="s">
        <v>82</v>
      </c>
      <c r="D268" s="57" t="s">
        <v>248</v>
      </c>
      <c r="E268" s="58">
        <v>80111600</v>
      </c>
      <c r="F268" s="57" t="s">
        <v>499</v>
      </c>
      <c r="G268" s="51">
        <v>45301</v>
      </c>
      <c r="H268" s="59">
        <v>45311</v>
      </c>
      <c r="I268" s="52">
        <v>11</v>
      </c>
      <c r="J268" s="57" t="s">
        <v>21</v>
      </c>
      <c r="K268" s="57" t="s">
        <v>22</v>
      </c>
      <c r="L268" s="57" t="s">
        <v>23</v>
      </c>
      <c r="M268" s="53">
        <v>75592000</v>
      </c>
      <c r="N268" s="58" t="s">
        <v>249</v>
      </c>
      <c r="O268" s="58" t="s">
        <v>25</v>
      </c>
      <c r="P268" s="58" t="s">
        <v>26</v>
      </c>
    </row>
    <row r="269" spans="1:16" s="19" customFormat="1" ht="84" x14ac:dyDescent="0.35">
      <c r="A269" s="49">
        <v>20240134</v>
      </c>
      <c r="B269" s="49">
        <v>7658</v>
      </c>
      <c r="C269" s="50" t="s">
        <v>82</v>
      </c>
      <c r="D269" s="57" t="s">
        <v>248</v>
      </c>
      <c r="E269" s="58">
        <v>80111600</v>
      </c>
      <c r="F269" s="57" t="s">
        <v>500</v>
      </c>
      <c r="G269" s="51">
        <v>45301</v>
      </c>
      <c r="H269" s="59">
        <v>45311</v>
      </c>
      <c r="I269" s="52">
        <v>11</v>
      </c>
      <c r="J269" s="57" t="s">
        <v>21</v>
      </c>
      <c r="K269" s="57" t="s">
        <v>22</v>
      </c>
      <c r="L269" s="57" t="s">
        <v>23</v>
      </c>
      <c r="M269" s="53">
        <v>69773000</v>
      </c>
      <c r="N269" s="58" t="s">
        <v>249</v>
      </c>
      <c r="O269" s="58" t="s">
        <v>25</v>
      </c>
      <c r="P269" s="58" t="s">
        <v>26</v>
      </c>
    </row>
    <row r="270" spans="1:16" s="19" customFormat="1" ht="84" x14ac:dyDescent="0.35">
      <c r="A270" s="49">
        <v>20240135</v>
      </c>
      <c r="B270" s="49">
        <v>7658</v>
      </c>
      <c r="C270" s="50" t="s">
        <v>82</v>
      </c>
      <c r="D270" s="57" t="s">
        <v>248</v>
      </c>
      <c r="E270" s="58">
        <v>80111600</v>
      </c>
      <c r="F270" s="57" t="s">
        <v>501</v>
      </c>
      <c r="G270" s="51">
        <v>45301</v>
      </c>
      <c r="H270" s="59">
        <v>45311</v>
      </c>
      <c r="I270" s="52">
        <v>11</v>
      </c>
      <c r="J270" s="57" t="s">
        <v>21</v>
      </c>
      <c r="K270" s="57" t="s">
        <v>22</v>
      </c>
      <c r="L270" s="57" t="s">
        <v>23</v>
      </c>
      <c r="M270" s="53">
        <v>63965000</v>
      </c>
      <c r="N270" s="58" t="s">
        <v>249</v>
      </c>
      <c r="O270" s="58" t="s">
        <v>25</v>
      </c>
      <c r="P270" s="58" t="s">
        <v>26</v>
      </c>
    </row>
    <row r="271" spans="1:16" s="19" customFormat="1" ht="84" x14ac:dyDescent="0.35">
      <c r="A271" s="49">
        <v>20240136</v>
      </c>
      <c r="B271" s="49">
        <v>7658</v>
      </c>
      <c r="C271" s="50" t="s">
        <v>82</v>
      </c>
      <c r="D271" s="57" t="s">
        <v>248</v>
      </c>
      <c r="E271" s="58">
        <v>80111600</v>
      </c>
      <c r="F271" s="57" t="s">
        <v>258</v>
      </c>
      <c r="G271" s="51">
        <v>45301</v>
      </c>
      <c r="H271" s="59">
        <v>45311</v>
      </c>
      <c r="I271" s="52">
        <v>11</v>
      </c>
      <c r="J271" s="57" t="s">
        <v>21</v>
      </c>
      <c r="K271" s="57" t="s">
        <v>22</v>
      </c>
      <c r="L271" s="57" t="s">
        <v>23</v>
      </c>
      <c r="M271" s="53">
        <f>63965000-10266667</f>
        <v>53698333</v>
      </c>
      <c r="N271" s="58" t="s">
        <v>249</v>
      </c>
      <c r="O271" s="58" t="s">
        <v>25</v>
      </c>
      <c r="P271" s="58" t="s">
        <v>26</v>
      </c>
    </row>
    <row r="272" spans="1:16" s="19" customFormat="1" ht="84" x14ac:dyDescent="0.35">
      <c r="A272" s="49">
        <v>20240137</v>
      </c>
      <c r="B272" s="49">
        <v>7658</v>
      </c>
      <c r="C272" s="50" t="s">
        <v>82</v>
      </c>
      <c r="D272" s="57" t="s">
        <v>248</v>
      </c>
      <c r="E272" s="58">
        <v>80111600</v>
      </c>
      <c r="F272" s="57" t="s">
        <v>541</v>
      </c>
      <c r="G272" s="51">
        <v>45301</v>
      </c>
      <c r="H272" s="59">
        <v>45311</v>
      </c>
      <c r="I272" s="52">
        <v>11</v>
      </c>
      <c r="J272" s="57" t="s">
        <v>21</v>
      </c>
      <c r="K272" s="57" t="s">
        <v>22</v>
      </c>
      <c r="L272" s="57" t="s">
        <v>23</v>
      </c>
      <c r="M272" s="53">
        <v>62590000</v>
      </c>
      <c r="N272" s="58" t="s">
        <v>249</v>
      </c>
      <c r="O272" s="58" t="s">
        <v>25</v>
      </c>
      <c r="P272" s="58" t="s">
        <v>26</v>
      </c>
    </row>
    <row r="273" spans="1:16" s="19" customFormat="1" ht="84" x14ac:dyDescent="0.35">
      <c r="A273" s="49">
        <v>20240138</v>
      </c>
      <c r="B273" s="49">
        <v>7658</v>
      </c>
      <c r="C273" s="50" t="s">
        <v>82</v>
      </c>
      <c r="D273" s="57" t="s">
        <v>248</v>
      </c>
      <c r="E273" s="58">
        <v>80111600</v>
      </c>
      <c r="F273" s="57" t="s">
        <v>502</v>
      </c>
      <c r="G273" s="51">
        <v>45301</v>
      </c>
      <c r="H273" s="59">
        <v>45311</v>
      </c>
      <c r="I273" s="52">
        <v>11</v>
      </c>
      <c r="J273" s="57" t="s">
        <v>21</v>
      </c>
      <c r="K273" s="57" t="s">
        <v>22</v>
      </c>
      <c r="L273" s="57" t="s">
        <v>23</v>
      </c>
      <c r="M273" s="53">
        <v>59312000</v>
      </c>
      <c r="N273" s="58" t="s">
        <v>249</v>
      </c>
      <c r="O273" s="58" t="s">
        <v>25</v>
      </c>
      <c r="P273" s="58" t="s">
        <v>26</v>
      </c>
    </row>
    <row r="274" spans="1:16" s="19" customFormat="1" ht="140" x14ac:dyDescent="0.35">
      <c r="A274" s="49">
        <v>20240139</v>
      </c>
      <c r="B274" s="49">
        <v>7658</v>
      </c>
      <c r="C274" s="50" t="s">
        <v>82</v>
      </c>
      <c r="D274" s="57" t="s">
        <v>248</v>
      </c>
      <c r="E274" s="58">
        <v>80111600</v>
      </c>
      <c r="F274" s="57" t="s">
        <v>259</v>
      </c>
      <c r="G274" s="51">
        <v>45301</v>
      </c>
      <c r="H274" s="59">
        <v>45311</v>
      </c>
      <c r="I274" s="52">
        <v>11</v>
      </c>
      <c r="J274" s="57" t="s">
        <v>21</v>
      </c>
      <c r="K274" s="57" t="s">
        <v>22</v>
      </c>
      <c r="L274" s="57" t="s">
        <v>23</v>
      </c>
      <c r="M274" s="53">
        <v>58146000</v>
      </c>
      <c r="N274" s="58" t="s">
        <v>249</v>
      </c>
      <c r="O274" s="58" t="s">
        <v>25</v>
      </c>
      <c r="P274" s="58" t="s">
        <v>26</v>
      </c>
    </row>
    <row r="275" spans="1:16" s="19" customFormat="1" ht="84" x14ac:dyDescent="0.35">
      <c r="A275" s="49">
        <v>20240140</v>
      </c>
      <c r="B275" s="49">
        <v>7658</v>
      </c>
      <c r="C275" s="50" t="s">
        <v>82</v>
      </c>
      <c r="D275" s="57" t="s">
        <v>248</v>
      </c>
      <c r="E275" s="58">
        <v>80111600</v>
      </c>
      <c r="F275" s="57" t="s">
        <v>580</v>
      </c>
      <c r="G275" s="51">
        <v>45361</v>
      </c>
      <c r="H275" s="59">
        <v>45371</v>
      </c>
      <c r="I275" s="52">
        <v>10</v>
      </c>
      <c r="J275" s="57" t="s">
        <v>21</v>
      </c>
      <c r="K275" s="57" t="s">
        <v>22</v>
      </c>
      <c r="L275" s="57" t="s">
        <v>23</v>
      </c>
      <c r="M275" s="53">
        <v>56900000</v>
      </c>
      <c r="N275" s="58" t="s">
        <v>249</v>
      </c>
      <c r="O275" s="58" t="s">
        <v>25</v>
      </c>
      <c r="P275" s="58" t="s">
        <v>26</v>
      </c>
    </row>
    <row r="276" spans="1:16" s="19" customFormat="1" ht="84" x14ac:dyDescent="0.35">
      <c r="A276" s="49">
        <v>20240141</v>
      </c>
      <c r="B276" s="49">
        <v>7658</v>
      </c>
      <c r="C276" s="50" t="s">
        <v>82</v>
      </c>
      <c r="D276" s="57" t="s">
        <v>248</v>
      </c>
      <c r="E276" s="58">
        <v>80111600</v>
      </c>
      <c r="F276" s="57" t="s">
        <v>260</v>
      </c>
      <c r="G276" s="51">
        <v>45301</v>
      </c>
      <c r="H276" s="59">
        <v>45311</v>
      </c>
      <c r="I276" s="52">
        <v>11</v>
      </c>
      <c r="J276" s="57" t="s">
        <v>21</v>
      </c>
      <c r="K276" s="57" t="s">
        <v>22</v>
      </c>
      <c r="L276" s="57" t="s">
        <v>23</v>
      </c>
      <c r="M276" s="53">
        <f>55825000-6080000</f>
        <v>49745000</v>
      </c>
      <c r="N276" s="58" t="s">
        <v>249</v>
      </c>
      <c r="O276" s="58" t="s">
        <v>25</v>
      </c>
      <c r="P276" s="58" t="s">
        <v>26</v>
      </c>
    </row>
    <row r="277" spans="1:16" s="19" customFormat="1" ht="84" x14ac:dyDescent="0.35">
      <c r="A277" s="49">
        <v>20240142</v>
      </c>
      <c r="B277" s="49">
        <v>7658</v>
      </c>
      <c r="C277" s="50" t="s">
        <v>82</v>
      </c>
      <c r="D277" s="57" t="s">
        <v>248</v>
      </c>
      <c r="E277" s="58">
        <v>80111600</v>
      </c>
      <c r="F277" s="57" t="s">
        <v>261</v>
      </c>
      <c r="G277" s="51">
        <v>45301</v>
      </c>
      <c r="H277" s="59">
        <v>45311</v>
      </c>
      <c r="I277" s="52">
        <v>11</v>
      </c>
      <c r="J277" s="57" t="s">
        <v>21</v>
      </c>
      <c r="K277" s="57" t="s">
        <v>22</v>
      </c>
      <c r="L277" s="57" t="s">
        <v>23</v>
      </c>
      <c r="M277" s="53">
        <v>55825000</v>
      </c>
      <c r="N277" s="58" t="s">
        <v>249</v>
      </c>
      <c r="O277" s="58" t="s">
        <v>25</v>
      </c>
      <c r="P277" s="58" t="s">
        <v>26</v>
      </c>
    </row>
    <row r="278" spans="1:16" s="19" customFormat="1" ht="84" x14ac:dyDescent="0.35">
      <c r="A278" s="49">
        <v>20240143</v>
      </c>
      <c r="B278" s="49">
        <v>7658</v>
      </c>
      <c r="C278" s="50" t="s">
        <v>82</v>
      </c>
      <c r="D278" s="57" t="s">
        <v>248</v>
      </c>
      <c r="E278" s="58">
        <v>80111600</v>
      </c>
      <c r="F278" s="57" t="s">
        <v>262</v>
      </c>
      <c r="G278" s="51">
        <v>45301</v>
      </c>
      <c r="H278" s="59">
        <v>45311</v>
      </c>
      <c r="I278" s="52">
        <v>11</v>
      </c>
      <c r="J278" s="57" t="s">
        <v>21</v>
      </c>
      <c r="K278" s="57" t="s">
        <v>22</v>
      </c>
      <c r="L278" s="57" t="s">
        <v>23</v>
      </c>
      <c r="M278" s="53">
        <f>55132000-6320000</f>
        <v>48812000</v>
      </c>
      <c r="N278" s="58" t="s">
        <v>249</v>
      </c>
      <c r="O278" s="58" t="s">
        <v>25</v>
      </c>
      <c r="P278" s="58" t="s">
        <v>26</v>
      </c>
    </row>
    <row r="279" spans="1:16" s="19" customFormat="1" ht="84" x14ac:dyDescent="0.35">
      <c r="A279" s="49">
        <v>20240144</v>
      </c>
      <c r="B279" s="49">
        <v>7658</v>
      </c>
      <c r="C279" s="50" t="s">
        <v>82</v>
      </c>
      <c r="D279" s="57" t="s">
        <v>248</v>
      </c>
      <c r="E279" s="58">
        <v>80111600</v>
      </c>
      <c r="F279" s="57" t="s">
        <v>263</v>
      </c>
      <c r="G279" s="51">
        <v>45301</v>
      </c>
      <c r="H279" s="59">
        <v>45311</v>
      </c>
      <c r="I279" s="52">
        <v>11</v>
      </c>
      <c r="J279" s="57" t="s">
        <v>21</v>
      </c>
      <c r="K279" s="57" t="s">
        <v>22</v>
      </c>
      <c r="L279" s="57" t="s">
        <v>23</v>
      </c>
      <c r="M279" s="53">
        <v>52338000</v>
      </c>
      <c r="N279" s="58" t="s">
        <v>249</v>
      </c>
      <c r="O279" s="58" t="s">
        <v>25</v>
      </c>
      <c r="P279" s="58" t="s">
        <v>26</v>
      </c>
    </row>
    <row r="280" spans="1:16" s="19" customFormat="1" ht="84" x14ac:dyDescent="0.35">
      <c r="A280" s="49">
        <v>20240146</v>
      </c>
      <c r="B280" s="49">
        <v>7658</v>
      </c>
      <c r="C280" s="50" t="s">
        <v>82</v>
      </c>
      <c r="D280" s="57" t="s">
        <v>248</v>
      </c>
      <c r="E280" s="58">
        <v>80111600</v>
      </c>
      <c r="F280" s="57" t="s">
        <v>264</v>
      </c>
      <c r="G280" s="51">
        <v>45301</v>
      </c>
      <c r="H280" s="59">
        <v>45311</v>
      </c>
      <c r="I280" s="52">
        <v>11</v>
      </c>
      <c r="J280" s="57" t="s">
        <v>21</v>
      </c>
      <c r="K280" s="57" t="s">
        <v>22</v>
      </c>
      <c r="L280" s="57" t="s">
        <v>23</v>
      </c>
      <c r="M280" s="53">
        <v>52338000</v>
      </c>
      <c r="N280" s="58" t="s">
        <v>249</v>
      </c>
      <c r="O280" s="58" t="s">
        <v>25</v>
      </c>
      <c r="P280" s="58" t="s">
        <v>26</v>
      </c>
    </row>
    <row r="281" spans="1:16" s="19" customFormat="1" ht="98" x14ac:dyDescent="0.35">
      <c r="A281" s="49">
        <v>20240148</v>
      </c>
      <c r="B281" s="49">
        <v>7658</v>
      </c>
      <c r="C281" s="50" t="s">
        <v>82</v>
      </c>
      <c r="D281" s="57" t="s">
        <v>248</v>
      </c>
      <c r="E281" s="58">
        <v>80111600</v>
      </c>
      <c r="F281" s="57" t="s">
        <v>265</v>
      </c>
      <c r="G281" s="51">
        <v>45301</v>
      </c>
      <c r="H281" s="59">
        <v>45311</v>
      </c>
      <c r="I281" s="52">
        <v>11</v>
      </c>
      <c r="J281" s="57" t="s">
        <v>21</v>
      </c>
      <c r="K281" s="57" t="s">
        <v>22</v>
      </c>
      <c r="L281" s="57" t="s">
        <v>23</v>
      </c>
      <c r="M281" s="53">
        <v>52338000</v>
      </c>
      <c r="N281" s="58" t="s">
        <v>249</v>
      </c>
      <c r="O281" s="58" t="s">
        <v>25</v>
      </c>
      <c r="P281" s="58" t="s">
        <v>26</v>
      </c>
    </row>
    <row r="282" spans="1:16" s="19" customFormat="1" ht="84" x14ac:dyDescent="0.35">
      <c r="A282" s="49">
        <v>20240149</v>
      </c>
      <c r="B282" s="49">
        <v>7658</v>
      </c>
      <c r="C282" s="50" t="s">
        <v>82</v>
      </c>
      <c r="D282" s="57" t="s">
        <v>248</v>
      </c>
      <c r="E282" s="58">
        <v>80111600</v>
      </c>
      <c r="F282" s="57" t="s">
        <v>266</v>
      </c>
      <c r="G282" s="51">
        <v>45301</v>
      </c>
      <c r="H282" s="59">
        <v>45311</v>
      </c>
      <c r="I282" s="52">
        <v>11</v>
      </c>
      <c r="J282" s="57" t="s">
        <v>21</v>
      </c>
      <c r="K282" s="57" t="s">
        <v>22</v>
      </c>
      <c r="L282" s="57" t="s">
        <v>23</v>
      </c>
      <c r="M282" s="53">
        <v>52327000</v>
      </c>
      <c r="N282" s="58" t="s">
        <v>249</v>
      </c>
      <c r="O282" s="58" t="s">
        <v>25</v>
      </c>
      <c r="P282" s="58" t="s">
        <v>26</v>
      </c>
    </row>
    <row r="283" spans="1:16" s="19" customFormat="1" ht="84" x14ac:dyDescent="0.35">
      <c r="A283" s="49">
        <v>20240150</v>
      </c>
      <c r="B283" s="49">
        <v>7658</v>
      </c>
      <c r="C283" s="50" t="s">
        <v>82</v>
      </c>
      <c r="D283" s="57" t="s">
        <v>248</v>
      </c>
      <c r="E283" s="58">
        <v>80111600</v>
      </c>
      <c r="F283" s="57" t="s">
        <v>503</v>
      </c>
      <c r="G283" s="51">
        <v>45301</v>
      </c>
      <c r="H283" s="59">
        <v>45311</v>
      </c>
      <c r="I283" s="52">
        <v>11</v>
      </c>
      <c r="J283" s="57" t="s">
        <v>21</v>
      </c>
      <c r="K283" s="57" t="s">
        <v>22</v>
      </c>
      <c r="L283" s="57" t="s">
        <v>23</v>
      </c>
      <c r="M283" s="53">
        <f>52327000-3880016</f>
        <v>48446984</v>
      </c>
      <c r="N283" s="58" t="s">
        <v>249</v>
      </c>
      <c r="O283" s="58" t="s">
        <v>25</v>
      </c>
      <c r="P283" s="58" t="s">
        <v>26</v>
      </c>
    </row>
    <row r="284" spans="1:16" s="19" customFormat="1" ht="84" x14ac:dyDescent="0.35">
      <c r="A284" s="49">
        <v>20240152</v>
      </c>
      <c r="B284" s="49">
        <v>7658</v>
      </c>
      <c r="C284" s="50" t="s">
        <v>82</v>
      </c>
      <c r="D284" s="57" t="s">
        <v>248</v>
      </c>
      <c r="E284" s="58">
        <v>80111600</v>
      </c>
      <c r="F284" s="57" t="s">
        <v>267</v>
      </c>
      <c r="G284" s="51">
        <v>45301</v>
      </c>
      <c r="H284" s="59">
        <v>45311</v>
      </c>
      <c r="I284" s="52">
        <v>11</v>
      </c>
      <c r="J284" s="57" t="s">
        <v>21</v>
      </c>
      <c r="K284" s="57" t="s">
        <v>22</v>
      </c>
      <c r="L284" s="57" t="s">
        <v>23</v>
      </c>
      <c r="M284" s="53">
        <f>46530000-7105000</f>
        <v>39425000</v>
      </c>
      <c r="N284" s="58" t="s">
        <v>249</v>
      </c>
      <c r="O284" s="58" t="s">
        <v>25</v>
      </c>
      <c r="P284" s="58" t="s">
        <v>26</v>
      </c>
    </row>
    <row r="285" spans="1:16" s="19" customFormat="1" ht="84" x14ac:dyDescent="0.35">
      <c r="A285" s="49">
        <v>20240153</v>
      </c>
      <c r="B285" s="49">
        <v>7658</v>
      </c>
      <c r="C285" s="50" t="s">
        <v>82</v>
      </c>
      <c r="D285" s="57" t="s">
        <v>248</v>
      </c>
      <c r="E285" s="58">
        <v>80111600</v>
      </c>
      <c r="F285" s="57" t="s">
        <v>504</v>
      </c>
      <c r="G285" s="51">
        <v>45301</v>
      </c>
      <c r="H285" s="59">
        <v>45311</v>
      </c>
      <c r="I285" s="52">
        <v>11</v>
      </c>
      <c r="J285" s="57" t="s">
        <v>21</v>
      </c>
      <c r="K285" s="57" t="s">
        <v>22</v>
      </c>
      <c r="L285" s="57" t="s">
        <v>23</v>
      </c>
      <c r="M285" s="53">
        <f>29062000-6400000</f>
        <v>22662000</v>
      </c>
      <c r="N285" s="58" t="s">
        <v>249</v>
      </c>
      <c r="O285" s="58" t="s">
        <v>25</v>
      </c>
      <c r="P285" s="58" t="s">
        <v>26</v>
      </c>
    </row>
    <row r="286" spans="1:16" s="19" customFormat="1" ht="84" x14ac:dyDescent="0.35">
      <c r="A286" s="49">
        <v>20240154</v>
      </c>
      <c r="B286" s="49">
        <v>7658</v>
      </c>
      <c r="C286" s="50" t="s">
        <v>82</v>
      </c>
      <c r="D286" s="57" t="s">
        <v>248</v>
      </c>
      <c r="E286" s="58">
        <v>80111600</v>
      </c>
      <c r="F286" s="57" t="s">
        <v>269</v>
      </c>
      <c r="G286" s="51">
        <v>45301</v>
      </c>
      <c r="H286" s="59">
        <v>45311</v>
      </c>
      <c r="I286" s="52">
        <v>11</v>
      </c>
      <c r="J286" s="57" t="s">
        <v>21</v>
      </c>
      <c r="K286" s="57" t="s">
        <v>22</v>
      </c>
      <c r="L286" s="57" t="s">
        <v>23</v>
      </c>
      <c r="M286" s="53">
        <f>28490000-4050000</f>
        <v>24440000</v>
      </c>
      <c r="N286" s="58" t="s">
        <v>249</v>
      </c>
      <c r="O286" s="58" t="s">
        <v>25</v>
      </c>
      <c r="P286" s="58" t="s">
        <v>26</v>
      </c>
    </row>
    <row r="287" spans="1:16" s="19" customFormat="1" ht="84" x14ac:dyDescent="0.35">
      <c r="A287" s="49">
        <v>20240155</v>
      </c>
      <c r="B287" s="49">
        <v>7658</v>
      </c>
      <c r="C287" s="50" t="s">
        <v>82</v>
      </c>
      <c r="D287" s="57" t="s">
        <v>248</v>
      </c>
      <c r="E287" s="58">
        <v>80111600</v>
      </c>
      <c r="F287" s="57" t="s">
        <v>269</v>
      </c>
      <c r="G287" s="51">
        <v>45301</v>
      </c>
      <c r="H287" s="59">
        <v>45311</v>
      </c>
      <c r="I287" s="52">
        <v>11</v>
      </c>
      <c r="J287" s="57" t="s">
        <v>21</v>
      </c>
      <c r="K287" s="57" t="s">
        <v>22</v>
      </c>
      <c r="L287" s="57" t="s">
        <v>23</v>
      </c>
      <c r="M287" s="53">
        <f>28490000-4050000</f>
        <v>24440000</v>
      </c>
      <c r="N287" s="58" t="s">
        <v>249</v>
      </c>
      <c r="O287" s="58" t="s">
        <v>25</v>
      </c>
      <c r="P287" s="58" t="s">
        <v>26</v>
      </c>
    </row>
    <row r="288" spans="1:16" s="19" customFormat="1" ht="84" x14ac:dyDescent="0.35">
      <c r="A288" s="49">
        <v>20240156</v>
      </c>
      <c r="B288" s="49">
        <v>7658</v>
      </c>
      <c r="C288" s="50" t="s">
        <v>82</v>
      </c>
      <c r="D288" s="57" t="s">
        <v>248</v>
      </c>
      <c r="E288" s="58">
        <v>80111600</v>
      </c>
      <c r="F288" s="57" t="s">
        <v>269</v>
      </c>
      <c r="G288" s="51">
        <v>45301</v>
      </c>
      <c r="H288" s="59">
        <v>45311</v>
      </c>
      <c r="I288" s="52">
        <v>11</v>
      </c>
      <c r="J288" s="57" t="s">
        <v>21</v>
      </c>
      <c r="K288" s="57" t="s">
        <v>22</v>
      </c>
      <c r="L288" s="57" t="s">
        <v>23</v>
      </c>
      <c r="M288" s="53">
        <f>28490000-4050000</f>
        <v>24440000</v>
      </c>
      <c r="N288" s="58" t="s">
        <v>249</v>
      </c>
      <c r="O288" s="58" t="s">
        <v>25</v>
      </c>
      <c r="P288" s="58" t="s">
        <v>26</v>
      </c>
    </row>
    <row r="289" spans="1:16" s="19" customFormat="1" ht="84" x14ac:dyDescent="0.35">
      <c r="A289" s="49">
        <v>20240157</v>
      </c>
      <c r="B289" s="49">
        <v>7658</v>
      </c>
      <c r="C289" s="50" t="s">
        <v>82</v>
      </c>
      <c r="D289" s="57" t="s">
        <v>248</v>
      </c>
      <c r="E289" s="58">
        <v>80111600</v>
      </c>
      <c r="F289" s="57" t="s">
        <v>269</v>
      </c>
      <c r="G289" s="51">
        <v>45301</v>
      </c>
      <c r="H289" s="59">
        <v>45311</v>
      </c>
      <c r="I289" s="52">
        <v>11</v>
      </c>
      <c r="J289" s="57" t="s">
        <v>21</v>
      </c>
      <c r="K289" s="57" t="s">
        <v>22</v>
      </c>
      <c r="L289" s="57" t="s">
        <v>23</v>
      </c>
      <c r="M289" s="53">
        <f>28490000-10800000</f>
        <v>17690000</v>
      </c>
      <c r="N289" s="58" t="s">
        <v>249</v>
      </c>
      <c r="O289" s="58" t="s">
        <v>25</v>
      </c>
      <c r="P289" s="58" t="s">
        <v>26</v>
      </c>
    </row>
    <row r="290" spans="1:16" s="19" customFormat="1" ht="84" x14ac:dyDescent="0.35">
      <c r="A290" s="49">
        <v>20240158</v>
      </c>
      <c r="B290" s="49">
        <v>7658</v>
      </c>
      <c r="C290" s="50" t="s">
        <v>82</v>
      </c>
      <c r="D290" s="57" t="s">
        <v>248</v>
      </c>
      <c r="E290" s="58">
        <v>80111600</v>
      </c>
      <c r="F290" s="57" t="s">
        <v>505</v>
      </c>
      <c r="G290" s="51">
        <v>45301</v>
      </c>
      <c r="H290" s="59">
        <v>45311</v>
      </c>
      <c r="I290" s="52">
        <v>11</v>
      </c>
      <c r="J290" s="57" t="s">
        <v>21</v>
      </c>
      <c r="K290" s="57" t="s">
        <v>22</v>
      </c>
      <c r="L290" s="57" t="s">
        <v>23</v>
      </c>
      <c r="M290" s="53">
        <f>28490000-4050000</f>
        <v>24440000</v>
      </c>
      <c r="N290" s="58" t="s">
        <v>249</v>
      </c>
      <c r="O290" s="58" t="s">
        <v>25</v>
      </c>
      <c r="P290" s="58" t="s">
        <v>26</v>
      </c>
    </row>
    <row r="291" spans="1:16" s="19" customFormat="1" ht="84" x14ac:dyDescent="0.35">
      <c r="A291" s="49">
        <v>20240159</v>
      </c>
      <c r="B291" s="49">
        <v>7658</v>
      </c>
      <c r="C291" s="50" t="s">
        <v>82</v>
      </c>
      <c r="D291" s="57" t="s">
        <v>248</v>
      </c>
      <c r="E291" s="58">
        <v>80111600</v>
      </c>
      <c r="F291" s="57" t="s">
        <v>269</v>
      </c>
      <c r="G291" s="51">
        <v>45301</v>
      </c>
      <c r="H291" s="59">
        <v>45311</v>
      </c>
      <c r="I291" s="52">
        <v>11</v>
      </c>
      <c r="J291" s="57" t="s">
        <v>21</v>
      </c>
      <c r="K291" s="57" t="s">
        <v>22</v>
      </c>
      <c r="L291" s="57" t="s">
        <v>23</v>
      </c>
      <c r="M291" s="53">
        <f>28490000-4050000</f>
        <v>24440000</v>
      </c>
      <c r="N291" s="58" t="s">
        <v>249</v>
      </c>
      <c r="O291" s="58" t="s">
        <v>25</v>
      </c>
      <c r="P291" s="58" t="s">
        <v>26</v>
      </c>
    </row>
    <row r="292" spans="1:16" s="19" customFormat="1" ht="84" x14ac:dyDescent="0.35">
      <c r="A292" s="49">
        <v>20240160</v>
      </c>
      <c r="B292" s="49">
        <v>7658</v>
      </c>
      <c r="C292" s="50" t="s">
        <v>82</v>
      </c>
      <c r="D292" s="57" t="s">
        <v>248</v>
      </c>
      <c r="E292" s="58">
        <v>80111600</v>
      </c>
      <c r="F292" s="57" t="s">
        <v>269</v>
      </c>
      <c r="G292" s="51">
        <v>45301</v>
      </c>
      <c r="H292" s="59">
        <v>45311</v>
      </c>
      <c r="I292" s="52">
        <v>11</v>
      </c>
      <c r="J292" s="57" t="s">
        <v>21</v>
      </c>
      <c r="K292" s="57" t="s">
        <v>22</v>
      </c>
      <c r="L292" s="57" t="s">
        <v>23</v>
      </c>
      <c r="M292" s="53">
        <f>28490000-4050000</f>
        <v>24440000</v>
      </c>
      <c r="N292" s="58" t="s">
        <v>249</v>
      </c>
      <c r="O292" s="58" t="s">
        <v>25</v>
      </c>
      <c r="P292" s="58" t="s">
        <v>26</v>
      </c>
    </row>
    <row r="293" spans="1:16" s="19" customFormat="1" ht="84" x14ac:dyDescent="0.35">
      <c r="A293" s="49">
        <v>20240161</v>
      </c>
      <c r="B293" s="49">
        <v>7658</v>
      </c>
      <c r="C293" s="50" t="s">
        <v>82</v>
      </c>
      <c r="D293" s="57" t="s">
        <v>248</v>
      </c>
      <c r="E293" s="58">
        <v>80111600</v>
      </c>
      <c r="F293" s="57" t="s">
        <v>269</v>
      </c>
      <c r="G293" s="51">
        <v>45301</v>
      </c>
      <c r="H293" s="59">
        <v>45311</v>
      </c>
      <c r="I293" s="52">
        <v>11</v>
      </c>
      <c r="J293" s="57" t="s">
        <v>21</v>
      </c>
      <c r="K293" s="57" t="s">
        <v>22</v>
      </c>
      <c r="L293" s="57" t="s">
        <v>23</v>
      </c>
      <c r="M293" s="53">
        <f>28490000-4050000</f>
        <v>24440000</v>
      </c>
      <c r="N293" s="58" t="s">
        <v>249</v>
      </c>
      <c r="O293" s="58" t="s">
        <v>25</v>
      </c>
      <c r="P293" s="58" t="s">
        <v>26</v>
      </c>
    </row>
    <row r="294" spans="1:16" s="19" customFormat="1" ht="84" x14ac:dyDescent="0.35">
      <c r="A294" s="49">
        <v>20240162</v>
      </c>
      <c r="B294" s="49">
        <v>7658</v>
      </c>
      <c r="C294" s="50" t="s">
        <v>82</v>
      </c>
      <c r="D294" s="57" t="s">
        <v>248</v>
      </c>
      <c r="E294" s="58">
        <v>80111600</v>
      </c>
      <c r="F294" s="57" t="s">
        <v>270</v>
      </c>
      <c r="G294" s="51">
        <v>45301</v>
      </c>
      <c r="H294" s="59">
        <v>45311</v>
      </c>
      <c r="I294" s="52">
        <v>11</v>
      </c>
      <c r="J294" s="57" t="s">
        <v>21</v>
      </c>
      <c r="K294" s="57" t="s">
        <v>22</v>
      </c>
      <c r="L294" s="57" t="s">
        <v>23</v>
      </c>
      <c r="M294" s="53">
        <f>24420000-3680000</f>
        <v>20740000</v>
      </c>
      <c r="N294" s="58" t="s">
        <v>249</v>
      </c>
      <c r="O294" s="58" t="s">
        <v>25</v>
      </c>
      <c r="P294" s="58" t="s">
        <v>26</v>
      </c>
    </row>
    <row r="295" spans="1:16" s="19" customFormat="1" ht="84" x14ac:dyDescent="0.35">
      <c r="A295" s="49">
        <v>20240163</v>
      </c>
      <c r="B295" s="49">
        <v>7658</v>
      </c>
      <c r="C295" s="50" t="s">
        <v>82</v>
      </c>
      <c r="D295" s="57" t="s">
        <v>248</v>
      </c>
      <c r="E295" s="58">
        <v>80111600</v>
      </c>
      <c r="F295" s="57" t="s">
        <v>270</v>
      </c>
      <c r="G295" s="51">
        <v>45301</v>
      </c>
      <c r="H295" s="59">
        <v>45311</v>
      </c>
      <c r="I295" s="52">
        <v>11</v>
      </c>
      <c r="J295" s="57" t="s">
        <v>21</v>
      </c>
      <c r="K295" s="57" t="s">
        <v>22</v>
      </c>
      <c r="L295" s="57" t="s">
        <v>23</v>
      </c>
      <c r="M295" s="53">
        <f>24420000-3756667</f>
        <v>20663333</v>
      </c>
      <c r="N295" s="58" t="s">
        <v>249</v>
      </c>
      <c r="O295" s="58" t="s">
        <v>25</v>
      </c>
      <c r="P295" s="58" t="s">
        <v>26</v>
      </c>
    </row>
    <row r="296" spans="1:16" s="19" customFormat="1" ht="84" x14ac:dyDescent="0.35">
      <c r="A296" s="49">
        <v>20240164</v>
      </c>
      <c r="B296" s="49">
        <v>7658</v>
      </c>
      <c r="C296" s="50" t="s">
        <v>82</v>
      </c>
      <c r="D296" s="57" t="s">
        <v>248</v>
      </c>
      <c r="E296" s="58">
        <v>80111600</v>
      </c>
      <c r="F296" s="57" t="s">
        <v>270</v>
      </c>
      <c r="G296" s="51">
        <v>45301</v>
      </c>
      <c r="H296" s="59">
        <v>45311</v>
      </c>
      <c r="I296" s="52">
        <v>11</v>
      </c>
      <c r="J296" s="57" t="s">
        <v>21</v>
      </c>
      <c r="K296" s="57" t="s">
        <v>22</v>
      </c>
      <c r="L296" s="57" t="s">
        <v>23</v>
      </c>
      <c r="M296" s="53">
        <f>24420000-4140000</f>
        <v>20280000</v>
      </c>
      <c r="N296" s="58" t="s">
        <v>249</v>
      </c>
      <c r="O296" s="58" t="s">
        <v>25</v>
      </c>
      <c r="P296" s="58" t="s">
        <v>26</v>
      </c>
    </row>
    <row r="297" spans="1:16" s="19" customFormat="1" ht="84" x14ac:dyDescent="0.35">
      <c r="A297" s="49">
        <v>20240165</v>
      </c>
      <c r="B297" s="49">
        <v>7658</v>
      </c>
      <c r="C297" s="50" t="s">
        <v>82</v>
      </c>
      <c r="D297" s="57" t="s">
        <v>248</v>
      </c>
      <c r="E297" s="58">
        <v>80111600</v>
      </c>
      <c r="F297" s="57" t="s">
        <v>270</v>
      </c>
      <c r="G297" s="51">
        <v>45301</v>
      </c>
      <c r="H297" s="59">
        <v>45311</v>
      </c>
      <c r="I297" s="52">
        <v>11</v>
      </c>
      <c r="J297" s="57" t="s">
        <v>21</v>
      </c>
      <c r="K297" s="57" t="s">
        <v>22</v>
      </c>
      <c r="L297" s="57" t="s">
        <v>23</v>
      </c>
      <c r="M297" s="53">
        <f>24420000-4063333</f>
        <v>20356667</v>
      </c>
      <c r="N297" s="58" t="s">
        <v>249</v>
      </c>
      <c r="O297" s="58" t="s">
        <v>25</v>
      </c>
      <c r="P297" s="58" t="s">
        <v>26</v>
      </c>
    </row>
    <row r="298" spans="1:16" s="19" customFormat="1" ht="84" x14ac:dyDescent="0.35">
      <c r="A298" s="49">
        <v>20240166</v>
      </c>
      <c r="B298" s="49">
        <v>7658</v>
      </c>
      <c r="C298" s="50" t="s">
        <v>82</v>
      </c>
      <c r="D298" s="57" t="s">
        <v>248</v>
      </c>
      <c r="E298" s="58">
        <v>80111600</v>
      </c>
      <c r="F298" s="57" t="s">
        <v>270</v>
      </c>
      <c r="G298" s="51">
        <v>45301</v>
      </c>
      <c r="H298" s="59">
        <v>45311</v>
      </c>
      <c r="I298" s="52">
        <v>11</v>
      </c>
      <c r="J298" s="57" t="s">
        <v>21</v>
      </c>
      <c r="K298" s="57" t="s">
        <v>22</v>
      </c>
      <c r="L298" s="57" t="s">
        <v>23</v>
      </c>
      <c r="M298" s="53">
        <f>24420000-4140000</f>
        <v>20280000</v>
      </c>
      <c r="N298" s="58" t="s">
        <v>249</v>
      </c>
      <c r="O298" s="58" t="s">
        <v>25</v>
      </c>
      <c r="P298" s="58" t="s">
        <v>26</v>
      </c>
    </row>
    <row r="299" spans="1:16" s="19" customFormat="1" ht="84" x14ac:dyDescent="0.35">
      <c r="A299" s="49">
        <v>20240167</v>
      </c>
      <c r="B299" s="49">
        <v>7658</v>
      </c>
      <c r="C299" s="50" t="s">
        <v>82</v>
      </c>
      <c r="D299" s="57" t="s">
        <v>248</v>
      </c>
      <c r="E299" s="58">
        <v>80111600</v>
      </c>
      <c r="F299" s="57" t="s">
        <v>270</v>
      </c>
      <c r="G299" s="51">
        <v>45301</v>
      </c>
      <c r="H299" s="59">
        <v>45311</v>
      </c>
      <c r="I299" s="52">
        <v>11</v>
      </c>
      <c r="J299" s="57" t="s">
        <v>21</v>
      </c>
      <c r="K299" s="57" t="s">
        <v>22</v>
      </c>
      <c r="L299" s="57" t="s">
        <v>23</v>
      </c>
      <c r="M299" s="53">
        <v>24420000</v>
      </c>
      <c r="N299" s="58" t="s">
        <v>249</v>
      </c>
      <c r="O299" s="58" t="s">
        <v>25</v>
      </c>
      <c r="P299" s="58" t="s">
        <v>26</v>
      </c>
    </row>
    <row r="300" spans="1:16" s="19" customFormat="1" ht="84" x14ac:dyDescent="0.35">
      <c r="A300" s="49">
        <v>20240168</v>
      </c>
      <c r="B300" s="49">
        <v>7658</v>
      </c>
      <c r="C300" s="50" t="s">
        <v>82</v>
      </c>
      <c r="D300" s="57" t="s">
        <v>248</v>
      </c>
      <c r="E300" s="58">
        <v>80111600</v>
      </c>
      <c r="F300" s="57" t="s">
        <v>270</v>
      </c>
      <c r="G300" s="51">
        <v>45301</v>
      </c>
      <c r="H300" s="59">
        <v>45311</v>
      </c>
      <c r="I300" s="52">
        <v>11</v>
      </c>
      <c r="J300" s="57" t="s">
        <v>21</v>
      </c>
      <c r="K300" s="57" t="s">
        <v>22</v>
      </c>
      <c r="L300" s="57" t="s">
        <v>23</v>
      </c>
      <c r="M300" s="53">
        <v>24420000</v>
      </c>
      <c r="N300" s="58" t="s">
        <v>249</v>
      </c>
      <c r="O300" s="58" t="s">
        <v>25</v>
      </c>
      <c r="P300" s="58" t="s">
        <v>26</v>
      </c>
    </row>
    <row r="301" spans="1:16" s="19" customFormat="1" ht="84" x14ac:dyDescent="0.35">
      <c r="A301" s="49">
        <v>20240169</v>
      </c>
      <c r="B301" s="49">
        <v>7658</v>
      </c>
      <c r="C301" s="50" t="s">
        <v>82</v>
      </c>
      <c r="D301" s="57" t="s">
        <v>248</v>
      </c>
      <c r="E301" s="58">
        <v>80111600</v>
      </c>
      <c r="F301" s="57" t="s">
        <v>270</v>
      </c>
      <c r="G301" s="51">
        <v>45301</v>
      </c>
      <c r="H301" s="59">
        <v>45311</v>
      </c>
      <c r="I301" s="52">
        <v>11</v>
      </c>
      <c r="J301" s="57" t="s">
        <v>21</v>
      </c>
      <c r="K301" s="57" t="s">
        <v>22</v>
      </c>
      <c r="L301" s="57" t="s">
        <v>23</v>
      </c>
      <c r="M301" s="53">
        <f>24420000-3986667</f>
        <v>20433333</v>
      </c>
      <c r="N301" s="58" t="s">
        <v>249</v>
      </c>
      <c r="O301" s="58" t="s">
        <v>25</v>
      </c>
      <c r="P301" s="58" t="s">
        <v>26</v>
      </c>
    </row>
    <row r="302" spans="1:16" s="19" customFormat="1" ht="84" x14ac:dyDescent="0.35">
      <c r="A302" s="49">
        <v>20240170</v>
      </c>
      <c r="B302" s="49">
        <v>7658</v>
      </c>
      <c r="C302" s="50" t="s">
        <v>82</v>
      </c>
      <c r="D302" s="57" t="s">
        <v>248</v>
      </c>
      <c r="E302" s="58">
        <v>80111600</v>
      </c>
      <c r="F302" s="57" t="s">
        <v>270</v>
      </c>
      <c r="G302" s="51">
        <v>45301</v>
      </c>
      <c r="H302" s="59">
        <v>45311</v>
      </c>
      <c r="I302" s="52">
        <v>11</v>
      </c>
      <c r="J302" s="57" t="s">
        <v>21</v>
      </c>
      <c r="K302" s="57" t="s">
        <v>22</v>
      </c>
      <c r="L302" s="57" t="s">
        <v>23</v>
      </c>
      <c r="M302" s="53">
        <f>24420000-3066667</f>
        <v>21353333</v>
      </c>
      <c r="N302" s="58" t="s">
        <v>249</v>
      </c>
      <c r="O302" s="58" t="s">
        <v>25</v>
      </c>
      <c r="P302" s="58" t="s">
        <v>26</v>
      </c>
    </row>
    <row r="303" spans="1:16" s="19" customFormat="1" ht="84" x14ac:dyDescent="0.35">
      <c r="A303" s="49">
        <v>20240171</v>
      </c>
      <c r="B303" s="49">
        <v>7658</v>
      </c>
      <c r="C303" s="50" t="s">
        <v>82</v>
      </c>
      <c r="D303" s="57" t="s">
        <v>248</v>
      </c>
      <c r="E303" s="58">
        <v>80111600</v>
      </c>
      <c r="F303" s="57" t="s">
        <v>270</v>
      </c>
      <c r="G303" s="51">
        <v>45301</v>
      </c>
      <c r="H303" s="59">
        <v>45311</v>
      </c>
      <c r="I303" s="52">
        <v>11</v>
      </c>
      <c r="J303" s="57" t="s">
        <v>21</v>
      </c>
      <c r="K303" s="57" t="s">
        <v>22</v>
      </c>
      <c r="L303" s="57" t="s">
        <v>23</v>
      </c>
      <c r="M303" s="53">
        <f>24420000-4216667</f>
        <v>20203333</v>
      </c>
      <c r="N303" s="58" t="s">
        <v>249</v>
      </c>
      <c r="O303" s="58" t="s">
        <v>25</v>
      </c>
      <c r="P303" s="58" t="s">
        <v>26</v>
      </c>
    </row>
    <row r="304" spans="1:16" s="19" customFormat="1" ht="84" x14ac:dyDescent="0.35">
      <c r="A304" s="49">
        <v>20240172</v>
      </c>
      <c r="B304" s="49">
        <v>7658</v>
      </c>
      <c r="C304" s="50" t="s">
        <v>82</v>
      </c>
      <c r="D304" s="57" t="s">
        <v>248</v>
      </c>
      <c r="E304" s="58">
        <v>80111600</v>
      </c>
      <c r="F304" s="57" t="s">
        <v>270</v>
      </c>
      <c r="G304" s="51">
        <v>45301</v>
      </c>
      <c r="H304" s="59">
        <v>45311</v>
      </c>
      <c r="I304" s="52">
        <v>11</v>
      </c>
      <c r="J304" s="57" t="s">
        <v>21</v>
      </c>
      <c r="K304" s="57" t="s">
        <v>22</v>
      </c>
      <c r="L304" s="57" t="s">
        <v>23</v>
      </c>
      <c r="M304" s="53">
        <v>24420000</v>
      </c>
      <c r="N304" s="58" t="s">
        <v>249</v>
      </c>
      <c r="O304" s="58" t="s">
        <v>25</v>
      </c>
      <c r="P304" s="58" t="s">
        <v>26</v>
      </c>
    </row>
    <row r="305" spans="1:16" s="19" customFormat="1" ht="84" x14ac:dyDescent="0.35">
      <c r="A305" s="49">
        <v>20240173</v>
      </c>
      <c r="B305" s="49">
        <v>7658</v>
      </c>
      <c r="C305" s="50" t="s">
        <v>82</v>
      </c>
      <c r="D305" s="57" t="s">
        <v>248</v>
      </c>
      <c r="E305" s="58">
        <v>80111600</v>
      </c>
      <c r="F305" s="57" t="s">
        <v>270</v>
      </c>
      <c r="G305" s="51">
        <v>45301</v>
      </c>
      <c r="H305" s="59">
        <v>45311</v>
      </c>
      <c r="I305" s="52">
        <v>11</v>
      </c>
      <c r="J305" s="57" t="s">
        <v>21</v>
      </c>
      <c r="K305" s="57" t="s">
        <v>22</v>
      </c>
      <c r="L305" s="57" t="s">
        <v>23</v>
      </c>
      <c r="M305" s="53">
        <v>24420000</v>
      </c>
      <c r="N305" s="58" t="s">
        <v>249</v>
      </c>
      <c r="O305" s="58" t="s">
        <v>25</v>
      </c>
      <c r="P305" s="58" t="s">
        <v>26</v>
      </c>
    </row>
    <row r="306" spans="1:16" s="19" customFormat="1" ht="84" x14ac:dyDescent="0.35">
      <c r="A306" s="49">
        <v>20240174</v>
      </c>
      <c r="B306" s="49">
        <v>7658</v>
      </c>
      <c r="C306" s="50" t="s">
        <v>82</v>
      </c>
      <c r="D306" s="57" t="s">
        <v>248</v>
      </c>
      <c r="E306" s="58">
        <v>80111600</v>
      </c>
      <c r="F306" s="57" t="s">
        <v>270</v>
      </c>
      <c r="G306" s="51">
        <v>45301</v>
      </c>
      <c r="H306" s="59">
        <v>45311</v>
      </c>
      <c r="I306" s="52">
        <v>11</v>
      </c>
      <c r="J306" s="57" t="s">
        <v>21</v>
      </c>
      <c r="K306" s="57" t="s">
        <v>22</v>
      </c>
      <c r="L306" s="57" t="s">
        <v>23</v>
      </c>
      <c r="M306" s="53">
        <f>24420000-3680000</f>
        <v>20740000</v>
      </c>
      <c r="N306" s="58" t="s">
        <v>249</v>
      </c>
      <c r="O306" s="58" t="s">
        <v>25</v>
      </c>
      <c r="P306" s="58" t="s">
        <v>26</v>
      </c>
    </row>
    <row r="307" spans="1:16" s="19" customFormat="1" ht="84" x14ac:dyDescent="0.35">
      <c r="A307" s="49">
        <v>20240175</v>
      </c>
      <c r="B307" s="49">
        <v>7658</v>
      </c>
      <c r="C307" s="50" t="s">
        <v>82</v>
      </c>
      <c r="D307" s="57" t="s">
        <v>248</v>
      </c>
      <c r="E307" s="58">
        <v>80111600</v>
      </c>
      <c r="F307" s="57" t="s">
        <v>270</v>
      </c>
      <c r="G307" s="51">
        <v>45301</v>
      </c>
      <c r="H307" s="59">
        <v>45311</v>
      </c>
      <c r="I307" s="52">
        <v>11</v>
      </c>
      <c r="J307" s="57" t="s">
        <v>21</v>
      </c>
      <c r="K307" s="57" t="s">
        <v>22</v>
      </c>
      <c r="L307" s="57" t="s">
        <v>23</v>
      </c>
      <c r="M307" s="53">
        <f>24420000-3220000</f>
        <v>21200000</v>
      </c>
      <c r="N307" s="58" t="s">
        <v>249</v>
      </c>
      <c r="O307" s="58" t="s">
        <v>25</v>
      </c>
      <c r="P307" s="58" t="s">
        <v>26</v>
      </c>
    </row>
    <row r="308" spans="1:16" s="19" customFormat="1" ht="84" x14ac:dyDescent="0.35">
      <c r="A308" s="49">
        <v>20240176</v>
      </c>
      <c r="B308" s="49">
        <v>7658</v>
      </c>
      <c r="C308" s="50" t="s">
        <v>82</v>
      </c>
      <c r="D308" s="57" t="s">
        <v>248</v>
      </c>
      <c r="E308" s="58">
        <v>80111600</v>
      </c>
      <c r="F308" s="57" t="s">
        <v>270</v>
      </c>
      <c r="G308" s="51">
        <v>45301</v>
      </c>
      <c r="H308" s="59">
        <v>45311</v>
      </c>
      <c r="I308" s="52">
        <v>11</v>
      </c>
      <c r="J308" s="57" t="s">
        <v>21</v>
      </c>
      <c r="K308" s="57" t="s">
        <v>22</v>
      </c>
      <c r="L308" s="57" t="s">
        <v>23</v>
      </c>
      <c r="M308" s="53">
        <f>24420000-3066667</f>
        <v>21353333</v>
      </c>
      <c r="N308" s="58" t="s">
        <v>249</v>
      </c>
      <c r="O308" s="58" t="s">
        <v>25</v>
      </c>
      <c r="P308" s="58" t="s">
        <v>26</v>
      </c>
    </row>
    <row r="309" spans="1:16" s="19" customFormat="1" ht="84" x14ac:dyDescent="0.35">
      <c r="A309" s="49">
        <v>20240177</v>
      </c>
      <c r="B309" s="49">
        <v>7658</v>
      </c>
      <c r="C309" s="50" t="s">
        <v>82</v>
      </c>
      <c r="D309" s="57" t="s">
        <v>248</v>
      </c>
      <c r="E309" s="58">
        <v>80111600</v>
      </c>
      <c r="F309" s="57" t="s">
        <v>270</v>
      </c>
      <c r="G309" s="51">
        <v>45301</v>
      </c>
      <c r="H309" s="59">
        <v>45311</v>
      </c>
      <c r="I309" s="52">
        <v>11</v>
      </c>
      <c r="J309" s="57" t="s">
        <v>21</v>
      </c>
      <c r="K309" s="57" t="s">
        <v>22</v>
      </c>
      <c r="L309" s="57" t="s">
        <v>23</v>
      </c>
      <c r="M309" s="53">
        <v>24420000</v>
      </c>
      <c r="N309" s="58" t="s">
        <v>249</v>
      </c>
      <c r="O309" s="58" t="s">
        <v>25</v>
      </c>
      <c r="P309" s="58" t="s">
        <v>26</v>
      </c>
    </row>
    <row r="310" spans="1:16" s="19" customFormat="1" ht="84" x14ac:dyDescent="0.35">
      <c r="A310" s="49">
        <v>20240178</v>
      </c>
      <c r="B310" s="49">
        <v>7658</v>
      </c>
      <c r="C310" s="50" t="s">
        <v>82</v>
      </c>
      <c r="D310" s="57" t="s">
        <v>248</v>
      </c>
      <c r="E310" s="58">
        <v>80111600</v>
      </c>
      <c r="F310" s="57" t="s">
        <v>506</v>
      </c>
      <c r="G310" s="51">
        <v>45301</v>
      </c>
      <c r="H310" s="59">
        <v>45311</v>
      </c>
      <c r="I310" s="52">
        <v>11</v>
      </c>
      <c r="J310" s="57" t="s">
        <v>21</v>
      </c>
      <c r="K310" s="57" t="s">
        <v>22</v>
      </c>
      <c r="L310" s="57" t="s">
        <v>23</v>
      </c>
      <c r="M310" s="53">
        <f>24420000-4700000</f>
        <v>19720000</v>
      </c>
      <c r="N310" s="58" t="s">
        <v>249</v>
      </c>
      <c r="O310" s="58" t="s">
        <v>25</v>
      </c>
      <c r="P310" s="58" t="s">
        <v>26</v>
      </c>
    </row>
    <row r="311" spans="1:16" s="19" customFormat="1" ht="56" x14ac:dyDescent="0.35">
      <c r="A311" s="49">
        <v>20240179</v>
      </c>
      <c r="B311" s="49">
        <v>7655</v>
      </c>
      <c r="C311" s="50" t="s">
        <v>18</v>
      </c>
      <c r="D311" s="57" t="s">
        <v>106</v>
      </c>
      <c r="E311" s="58">
        <v>80111600</v>
      </c>
      <c r="F311" s="57" t="s">
        <v>109</v>
      </c>
      <c r="G311" s="51">
        <v>45303</v>
      </c>
      <c r="H311" s="59">
        <v>45303</v>
      </c>
      <c r="I311" s="52">
        <v>11</v>
      </c>
      <c r="J311" s="57" t="s">
        <v>21</v>
      </c>
      <c r="K311" s="57" t="s">
        <v>22</v>
      </c>
      <c r="L311" s="57" t="s">
        <v>29</v>
      </c>
      <c r="M311" s="53">
        <f>40850000+6450000</f>
        <v>47300000</v>
      </c>
      <c r="N311" s="58" t="s">
        <v>24</v>
      </c>
      <c r="O311" s="58" t="s">
        <v>80</v>
      </c>
      <c r="P311" s="58" t="s">
        <v>26</v>
      </c>
    </row>
    <row r="312" spans="1:16" s="19" customFormat="1" ht="70" x14ac:dyDescent="0.35">
      <c r="A312" s="49">
        <v>20240180</v>
      </c>
      <c r="B312" s="49">
        <v>7637</v>
      </c>
      <c r="C312" s="50" t="s">
        <v>183</v>
      </c>
      <c r="D312" s="57" t="s">
        <v>222</v>
      </c>
      <c r="E312" s="58" t="s">
        <v>431</v>
      </c>
      <c r="F312" s="57" t="s">
        <v>203</v>
      </c>
      <c r="G312" s="51">
        <v>45446</v>
      </c>
      <c r="H312" s="59">
        <v>45488</v>
      </c>
      <c r="I312" s="52">
        <v>9</v>
      </c>
      <c r="J312" s="57" t="s">
        <v>97</v>
      </c>
      <c r="K312" s="57" t="s">
        <v>22</v>
      </c>
      <c r="L312" s="57" t="s">
        <v>191</v>
      </c>
      <c r="M312" s="53">
        <v>30000000</v>
      </c>
      <c r="N312" s="58" t="s">
        <v>187</v>
      </c>
      <c r="O312" s="58" t="s">
        <v>188</v>
      </c>
      <c r="P312" s="58" t="s">
        <v>26</v>
      </c>
    </row>
    <row r="313" spans="1:16" s="19" customFormat="1" ht="56" x14ac:dyDescent="0.35">
      <c r="A313" s="49">
        <v>20240181</v>
      </c>
      <c r="B313" s="49">
        <v>7655</v>
      </c>
      <c r="C313" s="50" t="s">
        <v>18</v>
      </c>
      <c r="D313" s="57" t="s">
        <v>222</v>
      </c>
      <c r="E313" s="58">
        <v>80111600</v>
      </c>
      <c r="F313" s="57" t="s">
        <v>223</v>
      </c>
      <c r="G313" s="51">
        <v>45306</v>
      </c>
      <c r="H313" s="59">
        <v>45323</v>
      </c>
      <c r="I313" s="52">
        <v>11</v>
      </c>
      <c r="J313" s="57" t="s">
        <v>21</v>
      </c>
      <c r="K313" s="57" t="s">
        <v>22</v>
      </c>
      <c r="L313" s="57" t="s">
        <v>23</v>
      </c>
      <c r="M313" s="53">
        <f>99000000+2500000-8500000</f>
        <v>93000000</v>
      </c>
      <c r="N313" s="58" t="s">
        <v>24</v>
      </c>
      <c r="O313" s="58" t="s">
        <v>80</v>
      </c>
      <c r="P313" s="58" t="s">
        <v>26</v>
      </c>
    </row>
    <row r="314" spans="1:16" s="19" customFormat="1" ht="56" x14ac:dyDescent="0.35">
      <c r="A314" s="49">
        <v>20240182</v>
      </c>
      <c r="B314" s="49">
        <v>7655</v>
      </c>
      <c r="C314" s="50" t="s">
        <v>18</v>
      </c>
      <c r="D314" s="57" t="s">
        <v>222</v>
      </c>
      <c r="E314" s="58">
        <v>80111600</v>
      </c>
      <c r="F314" s="57" t="s">
        <v>224</v>
      </c>
      <c r="G314" s="51">
        <v>45306</v>
      </c>
      <c r="H314" s="59">
        <v>45323</v>
      </c>
      <c r="I314" s="52">
        <v>11</v>
      </c>
      <c r="J314" s="57" t="s">
        <v>21</v>
      </c>
      <c r="K314" s="57" t="s">
        <v>22</v>
      </c>
      <c r="L314" s="57" t="s">
        <v>23</v>
      </c>
      <c r="M314" s="53">
        <f>99000000+3300000-275000</f>
        <v>102025000</v>
      </c>
      <c r="N314" s="58" t="s">
        <v>24</v>
      </c>
      <c r="O314" s="58" t="s">
        <v>80</v>
      </c>
      <c r="P314" s="58" t="s">
        <v>26</v>
      </c>
    </row>
    <row r="315" spans="1:16" s="19" customFormat="1" ht="56" x14ac:dyDescent="0.35">
      <c r="A315" s="49">
        <v>20240183</v>
      </c>
      <c r="B315" s="49">
        <v>7655</v>
      </c>
      <c r="C315" s="50" t="s">
        <v>18</v>
      </c>
      <c r="D315" s="57" t="s">
        <v>222</v>
      </c>
      <c r="E315" s="58">
        <v>80111600</v>
      </c>
      <c r="F315" s="57" t="s">
        <v>564</v>
      </c>
      <c r="G315" s="51">
        <v>45306</v>
      </c>
      <c r="H315" s="59">
        <v>45323</v>
      </c>
      <c r="I315" s="52">
        <v>11</v>
      </c>
      <c r="J315" s="57" t="s">
        <v>21</v>
      </c>
      <c r="K315" s="57" t="s">
        <v>22</v>
      </c>
      <c r="L315" s="57" t="s">
        <v>23</v>
      </c>
      <c r="M315" s="53">
        <f>88000000-8000000</f>
        <v>80000000</v>
      </c>
      <c r="N315" s="58" t="s">
        <v>24</v>
      </c>
      <c r="O315" s="58" t="s">
        <v>80</v>
      </c>
      <c r="P315" s="58" t="s">
        <v>26</v>
      </c>
    </row>
    <row r="316" spans="1:16" s="19" customFormat="1" ht="56" x14ac:dyDescent="0.35">
      <c r="A316" s="49">
        <v>20240184</v>
      </c>
      <c r="B316" s="49">
        <v>7655</v>
      </c>
      <c r="C316" s="50" t="s">
        <v>18</v>
      </c>
      <c r="D316" s="57" t="s">
        <v>222</v>
      </c>
      <c r="E316" s="58">
        <v>80111600</v>
      </c>
      <c r="F316" s="57" t="s">
        <v>225</v>
      </c>
      <c r="G316" s="51">
        <v>45306</v>
      </c>
      <c r="H316" s="59">
        <v>45323</v>
      </c>
      <c r="I316" s="52">
        <v>12</v>
      </c>
      <c r="J316" s="57" t="s">
        <v>21</v>
      </c>
      <c r="K316" s="57" t="s">
        <v>22</v>
      </c>
      <c r="L316" s="57" t="s">
        <v>23</v>
      </c>
      <c r="M316" s="53">
        <f>92700000-15700000-7000000</f>
        <v>70000000</v>
      </c>
      <c r="N316" s="58" t="s">
        <v>24</v>
      </c>
      <c r="O316" s="58" t="s">
        <v>80</v>
      </c>
      <c r="P316" s="58" t="s">
        <v>26</v>
      </c>
    </row>
    <row r="317" spans="1:16" s="19" customFormat="1" ht="56" x14ac:dyDescent="0.35">
      <c r="A317" s="49">
        <v>20240186</v>
      </c>
      <c r="B317" s="49">
        <v>7655</v>
      </c>
      <c r="C317" s="50" t="s">
        <v>18</v>
      </c>
      <c r="D317" s="57" t="s">
        <v>222</v>
      </c>
      <c r="E317" s="58">
        <v>80111600</v>
      </c>
      <c r="F317" s="57" t="s">
        <v>228</v>
      </c>
      <c r="G317" s="51">
        <v>45306</v>
      </c>
      <c r="H317" s="59">
        <v>45323</v>
      </c>
      <c r="I317" s="52">
        <v>11</v>
      </c>
      <c r="J317" s="57" t="s">
        <v>21</v>
      </c>
      <c r="K317" s="57" t="s">
        <v>22</v>
      </c>
      <c r="L317" s="57" t="s">
        <v>23</v>
      </c>
      <c r="M317" s="53">
        <f>55000000-2500000-2400000-1000000-2900000</f>
        <v>46200000</v>
      </c>
      <c r="N317" s="58" t="s">
        <v>24</v>
      </c>
      <c r="O317" s="58" t="s">
        <v>80</v>
      </c>
      <c r="P317" s="58" t="s">
        <v>26</v>
      </c>
    </row>
    <row r="318" spans="1:16" s="19" customFormat="1" ht="84" x14ac:dyDescent="0.35">
      <c r="A318" s="49">
        <v>20240187</v>
      </c>
      <c r="B318" s="49">
        <v>7655</v>
      </c>
      <c r="C318" s="50" t="s">
        <v>18</v>
      </c>
      <c r="D318" s="57" t="s">
        <v>222</v>
      </c>
      <c r="E318" s="58">
        <v>80111600</v>
      </c>
      <c r="F318" s="57" t="s">
        <v>231</v>
      </c>
      <c r="G318" s="51">
        <v>45306</v>
      </c>
      <c r="H318" s="59">
        <v>45323</v>
      </c>
      <c r="I318" s="52">
        <v>11</v>
      </c>
      <c r="J318" s="57" t="s">
        <v>21</v>
      </c>
      <c r="K318" s="57" t="s">
        <v>22</v>
      </c>
      <c r="L318" s="57" t="s">
        <v>23</v>
      </c>
      <c r="M318" s="53">
        <f>49500000-3300000</f>
        <v>46200000</v>
      </c>
      <c r="N318" s="58" t="s">
        <v>24</v>
      </c>
      <c r="O318" s="58" t="s">
        <v>80</v>
      </c>
      <c r="P318" s="58" t="s">
        <v>26</v>
      </c>
    </row>
    <row r="319" spans="1:16" s="19" customFormat="1" ht="56" x14ac:dyDescent="0.35">
      <c r="A319" s="49">
        <v>20240188</v>
      </c>
      <c r="B319" s="49">
        <v>7655</v>
      </c>
      <c r="C319" s="50" t="s">
        <v>18</v>
      </c>
      <c r="D319" s="57" t="s">
        <v>222</v>
      </c>
      <c r="E319" s="58">
        <v>80111600</v>
      </c>
      <c r="F319" s="57" t="s">
        <v>236</v>
      </c>
      <c r="G319" s="51">
        <v>45306</v>
      </c>
      <c r="H319" s="59">
        <v>45323</v>
      </c>
      <c r="I319" s="52">
        <v>11</v>
      </c>
      <c r="J319" s="57" t="s">
        <v>21</v>
      </c>
      <c r="K319" s="57" t="s">
        <v>22</v>
      </c>
      <c r="L319" s="57" t="s">
        <v>23</v>
      </c>
      <c r="M319" s="53">
        <f>36300000-33000000</f>
        <v>3300000</v>
      </c>
      <c r="N319" s="58" t="s">
        <v>24</v>
      </c>
      <c r="O319" s="58" t="s">
        <v>80</v>
      </c>
      <c r="P319" s="58" t="s">
        <v>26</v>
      </c>
    </row>
    <row r="320" spans="1:16" s="19" customFormat="1" ht="56" x14ac:dyDescent="0.35">
      <c r="A320" s="49">
        <v>20240189</v>
      </c>
      <c r="B320" s="49">
        <v>7655</v>
      </c>
      <c r="C320" s="50" t="s">
        <v>18</v>
      </c>
      <c r="D320" s="57" t="s">
        <v>220</v>
      </c>
      <c r="E320" s="58">
        <v>80111600</v>
      </c>
      <c r="F320" s="57" t="s">
        <v>221</v>
      </c>
      <c r="G320" s="51">
        <v>45306</v>
      </c>
      <c r="H320" s="59">
        <v>45323</v>
      </c>
      <c r="I320" s="52">
        <v>10</v>
      </c>
      <c r="J320" s="57" t="s">
        <v>21</v>
      </c>
      <c r="K320" s="57" t="s">
        <v>22</v>
      </c>
      <c r="L320" s="57" t="s">
        <v>23</v>
      </c>
      <c r="M320" s="53">
        <f>86400000+9600000+9600000</f>
        <v>105600000</v>
      </c>
      <c r="N320" s="58" t="s">
        <v>24</v>
      </c>
      <c r="O320" s="58" t="s">
        <v>80</v>
      </c>
      <c r="P320" s="58" t="s">
        <v>26</v>
      </c>
    </row>
    <row r="321" spans="1:16" s="19" customFormat="1" ht="56" x14ac:dyDescent="0.35">
      <c r="A321" s="49">
        <v>20240190</v>
      </c>
      <c r="B321" s="49">
        <v>7655</v>
      </c>
      <c r="C321" s="50" t="s">
        <v>18</v>
      </c>
      <c r="D321" s="57" t="s">
        <v>220</v>
      </c>
      <c r="E321" s="60">
        <v>80111600</v>
      </c>
      <c r="F321" s="57" t="s">
        <v>476</v>
      </c>
      <c r="G321" s="51">
        <v>45306</v>
      </c>
      <c r="H321" s="59">
        <v>45323</v>
      </c>
      <c r="I321" s="52">
        <v>9</v>
      </c>
      <c r="J321" s="57" t="s">
        <v>21</v>
      </c>
      <c r="K321" s="57" t="s">
        <v>22</v>
      </c>
      <c r="L321" s="57" t="s">
        <v>23</v>
      </c>
      <c r="M321" s="53">
        <f>24715000+21485000+3800000</f>
        <v>50000000</v>
      </c>
      <c r="N321" s="60" t="s">
        <v>24</v>
      </c>
      <c r="O321" s="60" t="s">
        <v>80</v>
      </c>
      <c r="P321" s="58" t="s">
        <v>26</v>
      </c>
    </row>
    <row r="322" spans="1:16" s="19" customFormat="1" ht="70" x14ac:dyDescent="0.35">
      <c r="A322" s="49">
        <v>20240191</v>
      </c>
      <c r="B322" s="49">
        <v>7655</v>
      </c>
      <c r="C322" s="50" t="s">
        <v>18</v>
      </c>
      <c r="D322" s="57" t="s">
        <v>220</v>
      </c>
      <c r="E322" s="58">
        <v>80111600</v>
      </c>
      <c r="F322" s="57" t="s">
        <v>227</v>
      </c>
      <c r="G322" s="51">
        <v>45306</v>
      </c>
      <c r="H322" s="59">
        <v>45323</v>
      </c>
      <c r="I322" s="52">
        <v>9</v>
      </c>
      <c r="J322" s="57" t="s">
        <v>21</v>
      </c>
      <c r="K322" s="57" t="s">
        <v>22</v>
      </c>
      <c r="L322" s="57" t="s">
        <v>23</v>
      </c>
      <c r="M322" s="53">
        <f>59400000+600000+6000000-12000000</f>
        <v>54000000</v>
      </c>
      <c r="N322" s="58" t="s">
        <v>24</v>
      </c>
      <c r="O322" s="58" t="s">
        <v>80</v>
      </c>
      <c r="P322" s="58" t="s">
        <v>26</v>
      </c>
    </row>
    <row r="323" spans="1:16" s="19" customFormat="1" ht="76.5" customHeight="1" x14ac:dyDescent="0.35">
      <c r="A323" s="49">
        <v>20240192</v>
      </c>
      <c r="B323" s="49">
        <v>7655</v>
      </c>
      <c r="C323" s="50" t="s">
        <v>18</v>
      </c>
      <c r="D323" s="57" t="s">
        <v>220</v>
      </c>
      <c r="E323" s="58">
        <v>80111600</v>
      </c>
      <c r="F323" s="57" t="s">
        <v>229</v>
      </c>
      <c r="G323" s="51">
        <v>45306</v>
      </c>
      <c r="H323" s="59">
        <v>45323</v>
      </c>
      <c r="I323" s="52">
        <v>9</v>
      </c>
      <c r="J323" s="57" t="s">
        <v>21</v>
      </c>
      <c r="K323" s="57" t="s">
        <v>22</v>
      </c>
      <c r="L323" s="57" t="s">
        <v>23</v>
      </c>
      <c r="M323" s="53">
        <f>45000000+5000000+5000000-10000000</f>
        <v>45000000</v>
      </c>
      <c r="N323" s="58" t="s">
        <v>24</v>
      </c>
      <c r="O323" s="58" t="s">
        <v>80</v>
      </c>
      <c r="P323" s="58" t="s">
        <v>26</v>
      </c>
    </row>
    <row r="324" spans="1:16" s="19" customFormat="1" ht="56" x14ac:dyDescent="0.35">
      <c r="A324" s="49">
        <v>20240193</v>
      </c>
      <c r="B324" s="49">
        <v>7655</v>
      </c>
      <c r="C324" s="50" t="s">
        <v>18</v>
      </c>
      <c r="D324" s="57" t="s">
        <v>220</v>
      </c>
      <c r="E324" s="58">
        <v>80111600</v>
      </c>
      <c r="F324" s="57" t="s">
        <v>230</v>
      </c>
      <c r="G324" s="51">
        <v>45306</v>
      </c>
      <c r="H324" s="59">
        <v>45323</v>
      </c>
      <c r="I324" s="52">
        <v>9</v>
      </c>
      <c r="J324" s="57" t="s">
        <v>21</v>
      </c>
      <c r="K324" s="57" t="s">
        <v>22</v>
      </c>
      <c r="L324" s="57" t="s">
        <v>23</v>
      </c>
      <c r="M324" s="53">
        <f>45000000+5000000+5000000-10000000</f>
        <v>45000000</v>
      </c>
      <c r="N324" s="58" t="s">
        <v>24</v>
      </c>
      <c r="O324" s="58" t="s">
        <v>80</v>
      </c>
      <c r="P324" s="58" t="s">
        <v>26</v>
      </c>
    </row>
    <row r="325" spans="1:16" s="19" customFormat="1" ht="56" x14ac:dyDescent="0.35">
      <c r="A325" s="49">
        <v>20240194</v>
      </c>
      <c r="B325" s="49">
        <v>7655</v>
      </c>
      <c r="C325" s="50" t="s">
        <v>18</v>
      </c>
      <c r="D325" s="57" t="s">
        <v>220</v>
      </c>
      <c r="E325" s="58">
        <v>80111600</v>
      </c>
      <c r="F325" s="57" t="s">
        <v>232</v>
      </c>
      <c r="G325" s="51">
        <v>45306</v>
      </c>
      <c r="H325" s="59">
        <v>45323</v>
      </c>
      <c r="I325" s="52">
        <v>9</v>
      </c>
      <c r="J325" s="57" t="s">
        <v>21</v>
      </c>
      <c r="K325" s="57" t="s">
        <v>22</v>
      </c>
      <c r="L325" s="57" t="s">
        <v>23</v>
      </c>
      <c r="M325" s="53">
        <f>33300000+16700000+5000000-10000000</f>
        <v>45000000</v>
      </c>
      <c r="N325" s="58" t="s">
        <v>24</v>
      </c>
      <c r="O325" s="58" t="s">
        <v>80</v>
      </c>
      <c r="P325" s="58" t="s">
        <v>26</v>
      </c>
    </row>
    <row r="326" spans="1:16" s="19" customFormat="1" ht="56" x14ac:dyDescent="0.35">
      <c r="A326" s="49">
        <v>20240195</v>
      </c>
      <c r="B326" s="49">
        <v>7655</v>
      </c>
      <c r="C326" s="50" t="s">
        <v>18</v>
      </c>
      <c r="D326" s="57" t="s">
        <v>220</v>
      </c>
      <c r="E326" s="58">
        <v>80111600</v>
      </c>
      <c r="F326" s="57" t="s">
        <v>233</v>
      </c>
      <c r="G326" s="51">
        <v>45306</v>
      </c>
      <c r="H326" s="59">
        <v>45323</v>
      </c>
      <c r="I326" s="52">
        <v>9</v>
      </c>
      <c r="J326" s="57" t="s">
        <v>21</v>
      </c>
      <c r="K326" s="57" t="s">
        <v>22</v>
      </c>
      <c r="L326" s="57" t="s">
        <v>23</v>
      </c>
      <c r="M326" s="53">
        <f>27000000+6600000+2400000+2000000</f>
        <v>38000000</v>
      </c>
      <c r="N326" s="58" t="s">
        <v>24</v>
      </c>
      <c r="O326" s="58" t="s">
        <v>80</v>
      </c>
      <c r="P326" s="58" t="s">
        <v>26</v>
      </c>
    </row>
    <row r="327" spans="1:16" s="19" customFormat="1" ht="56" x14ac:dyDescent="0.35">
      <c r="A327" s="49">
        <v>20240196</v>
      </c>
      <c r="B327" s="49">
        <v>7655</v>
      </c>
      <c r="C327" s="50" t="s">
        <v>18</v>
      </c>
      <c r="D327" s="57" t="s">
        <v>220</v>
      </c>
      <c r="E327" s="58">
        <v>80111600</v>
      </c>
      <c r="F327" s="57" t="s">
        <v>234</v>
      </c>
      <c r="G327" s="51">
        <v>45306</v>
      </c>
      <c r="H327" s="59">
        <v>45323</v>
      </c>
      <c r="I327" s="52">
        <v>9</v>
      </c>
      <c r="J327" s="57" t="s">
        <v>21</v>
      </c>
      <c r="K327" s="57" t="s">
        <v>22</v>
      </c>
      <c r="L327" s="57" t="s">
        <v>23</v>
      </c>
      <c r="M327" s="53">
        <f>33300000+15700000+1000000+5000000-10000000</f>
        <v>45000000</v>
      </c>
      <c r="N327" s="58" t="s">
        <v>24</v>
      </c>
      <c r="O327" s="58" t="s">
        <v>80</v>
      </c>
      <c r="P327" s="58" t="s">
        <v>26</v>
      </c>
    </row>
    <row r="328" spans="1:16" s="19" customFormat="1" ht="56" x14ac:dyDescent="0.35">
      <c r="A328" s="49">
        <v>20240197</v>
      </c>
      <c r="B328" s="49">
        <v>7655</v>
      </c>
      <c r="C328" s="50" t="s">
        <v>18</v>
      </c>
      <c r="D328" s="57" t="s">
        <v>220</v>
      </c>
      <c r="E328" s="58">
        <v>80111600</v>
      </c>
      <c r="F328" s="57" t="s">
        <v>235</v>
      </c>
      <c r="G328" s="51">
        <v>45306</v>
      </c>
      <c r="H328" s="59">
        <v>45323</v>
      </c>
      <c r="I328" s="52">
        <v>9</v>
      </c>
      <c r="J328" s="57" t="s">
        <v>21</v>
      </c>
      <c r="K328" s="57" t="s">
        <v>22</v>
      </c>
      <c r="L328" s="57" t="s">
        <v>23</v>
      </c>
      <c r="M328" s="53">
        <f>30600000+2900000+3350000-6700000</f>
        <v>30150000</v>
      </c>
      <c r="N328" s="58" t="s">
        <v>24</v>
      </c>
      <c r="O328" s="58" t="s">
        <v>80</v>
      </c>
      <c r="P328" s="58" t="s">
        <v>26</v>
      </c>
    </row>
    <row r="329" spans="1:16" s="19" customFormat="1" ht="56" x14ac:dyDescent="0.35">
      <c r="A329" s="49">
        <v>20240199</v>
      </c>
      <c r="B329" s="49">
        <v>7655</v>
      </c>
      <c r="C329" s="50" t="s">
        <v>18</v>
      </c>
      <c r="D329" s="57" t="s">
        <v>106</v>
      </c>
      <c r="E329" s="58">
        <v>80111600</v>
      </c>
      <c r="F329" s="57" t="s">
        <v>111</v>
      </c>
      <c r="G329" s="51">
        <v>45306</v>
      </c>
      <c r="H329" s="59">
        <v>45306</v>
      </c>
      <c r="I329" s="52">
        <v>11</v>
      </c>
      <c r="J329" s="57" t="s">
        <v>21</v>
      </c>
      <c r="K329" s="57" t="s">
        <v>22</v>
      </c>
      <c r="L329" s="57" t="s">
        <v>23</v>
      </c>
      <c r="M329" s="53">
        <f>72000000+7200000</f>
        <v>79200000</v>
      </c>
      <c r="N329" s="58" t="s">
        <v>24</v>
      </c>
      <c r="O329" s="58" t="s">
        <v>80</v>
      </c>
      <c r="P329" s="58" t="s">
        <v>26</v>
      </c>
    </row>
    <row r="330" spans="1:16" s="19" customFormat="1" ht="70" x14ac:dyDescent="0.35">
      <c r="A330" s="49">
        <v>20240200</v>
      </c>
      <c r="B330" s="49">
        <v>7655</v>
      </c>
      <c r="C330" s="50" t="s">
        <v>18</v>
      </c>
      <c r="D330" s="57" t="s">
        <v>106</v>
      </c>
      <c r="E330" s="58">
        <v>80111600</v>
      </c>
      <c r="F330" s="57" t="s">
        <v>112</v>
      </c>
      <c r="G330" s="51">
        <v>45306</v>
      </c>
      <c r="H330" s="59">
        <v>45306</v>
      </c>
      <c r="I330" s="52">
        <v>10</v>
      </c>
      <c r="J330" s="57" t="s">
        <v>21</v>
      </c>
      <c r="K330" s="57" t="s">
        <v>22</v>
      </c>
      <c r="L330" s="57" t="s">
        <v>29</v>
      </c>
      <c r="M330" s="53">
        <f>63000000+7000000</f>
        <v>70000000</v>
      </c>
      <c r="N330" s="58" t="s">
        <v>24</v>
      </c>
      <c r="O330" s="58" t="s">
        <v>80</v>
      </c>
      <c r="P330" s="58" t="s">
        <v>26</v>
      </c>
    </row>
    <row r="331" spans="1:16" s="19" customFormat="1" ht="56" x14ac:dyDescent="0.35">
      <c r="A331" s="49">
        <v>20240201</v>
      </c>
      <c r="B331" s="49">
        <v>7655</v>
      </c>
      <c r="C331" s="50" t="s">
        <v>18</v>
      </c>
      <c r="D331" s="57" t="s">
        <v>106</v>
      </c>
      <c r="E331" s="58">
        <v>80111600</v>
      </c>
      <c r="F331" s="57" t="s">
        <v>109</v>
      </c>
      <c r="G331" s="51">
        <v>45306</v>
      </c>
      <c r="H331" s="59">
        <v>45311</v>
      </c>
      <c r="I331" s="54">
        <v>8.5</v>
      </c>
      <c r="J331" s="57" t="s">
        <v>21</v>
      </c>
      <c r="K331" s="57" t="s">
        <v>22</v>
      </c>
      <c r="L331" s="57" t="s">
        <v>29</v>
      </c>
      <c r="M331" s="53">
        <f>38000000-4000000</f>
        <v>34000000</v>
      </c>
      <c r="N331" s="58" t="s">
        <v>24</v>
      </c>
      <c r="O331" s="58" t="s">
        <v>80</v>
      </c>
      <c r="P331" s="58" t="s">
        <v>26</v>
      </c>
    </row>
    <row r="332" spans="1:16" s="19" customFormat="1" ht="56" x14ac:dyDescent="0.35">
      <c r="A332" s="49">
        <v>20240203</v>
      </c>
      <c r="B332" s="49">
        <v>7655</v>
      </c>
      <c r="C332" s="50" t="s">
        <v>18</v>
      </c>
      <c r="D332" s="57" t="s">
        <v>106</v>
      </c>
      <c r="E332" s="58">
        <v>80111600</v>
      </c>
      <c r="F332" s="57" t="s">
        <v>115</v>
      </c>
      <c r="G332" s="51">
        <v>45306</v>
      </c>
      <c r="H332" s="59">
        <v>45306</v>
      </c>
      <c r="I332" s="54">
        <v>10.5</v>
      </c>
      <c r="J332" s="57" t="s">
        <v>21</v>
      </c>
      <c r="K332" s="57" t="s">
        <v>22</v>
      </c>
      <c r="L332" s="57" t="s">
        <v>23</v>
      </c>
      <c r="M332" s="53">
        <f>29881200+2668800</f>
        <v>32550000</v>
      </c>
      <c r="N332" s="58" t="s">
        <v>24</v>
      </c>
      <c r="O332" s="58" t="s">
        <v>80</v>
      </c>
      <c r="P332" s="58" t="s">
        <v>26</v>
      </c>
    </row>
    <row r="333" spans="1:16" s="19" customFormat="1" ht="56" x14ac:dyDescent="0.35">
      <c r="A333" s="49">
        <v>20240205</v>
      </c>
      <c r="B333" s="49">
        <v>7655</v>
      </c>
      <c r="C333" s="50" t="s">
        <v>18</v>
      </c>
      <c r="D333" s="57" t="s">
        <v>106</v>
      </c>
      <c r="E333" s="58">
        <v>80111600</v>
      </c>
      <c r="F333" s="57" t="s">
        <v>406</v>
      </c>
      <c r="G333" s="51">
        <v>45306</v>
      </c>
      <c r="H333" s="59">
        <v>45311</v>
      </c>
      <c r="I333" s="52">
        <v>1</v>
      </c>
      <c r="J333" s="57" t="s">
        <v>21</v>
      </c>
      <c r="K333" s="57" t="s">
        <v>22</v>
      </c>
      <c r="L333" s="57" t="s">
        <v>29</v>
      </c>
      <c r="M333" s="53">
        <v>10710000</v>
      </c>
      <c r="N333" s="58" t="s">
        <v>24</v>
      </c>
      <c r="O333" s="58" t="s">
        <v>80</v>
      </c>
      <c r="P333" s="58" t="s">
        <v>26</v>
      </c>
    </row>
    <row r="334" spans="1:16" s="19" customFormat="1" ht="56" x14ac:dyDescent="0.35">
      <c r="A334" s="49">
        <v>20240206</v>
      </c>
      <c r="B334" s="49">
        <v>7655</v>
      </c>
      <c r="C334" s="50" t="s">
        <v>18</v>
      </c>
      <c r="D334" s="57" t="s">
        <v>19</v>
      </c>
      <c r="E334" s="58">
        <v>80111600</v>
      </c>
      <c r="F334" s="57" t="s">
        <v>20</v>
      </c>
      <c r="G334" s="51">
        <v>45306</v>
      </c>
      <c r="H334" s="59">
        <v>45311</v>
      </c>
      <c r="I334" s="52">
        <v>4</v>
      </c>
      <c r="J334" s="57" t="s">
        <v>21</v>
      </c>
      <c r="K334" s="57" t="s">
        <v>22</v>
      </c>
      <c r="L334" s="57" t="s">
        <v>23</v>
      </c>
      <c r="M334" s="53">
        <f>31673600-6334720</f>
        <v>25338880</v>
      </c>
      <c r="N334" s="58" t="s">
        <v>24</v>
      </c>
      <c r="O334" s="58" t="s">
        <v>80</v>
      </c>
      <c r="P334" s="58" t="s">
        <v>26</v>
      </c>
    </row>
    <row r="335" spans="1:16" s="19" customFormat="1" ht="56" x14ac:dyDescent="0.35">
      <c r="A335" s="49">
        <v>20240207</v>
      </c>
      <c r="B335" s="49">
        <v>7655</v>
      </c>
      <c r="C335" s="50" t="s">
        <v>18</v>
      </c>
      <c r="D335" s="57" t="s">
        <v>19</v>
      </c>
      <c r="E335" s="58">
        <v>80111600</v>
      </c>
      <c r="F335" s="57" t="s">
        <v>552</v>
      </c>
      <c r="G335" s="51">
        <v>45306</v>
      </c>
      <c r="H335" s="59">
        <v>45311</v>
      </c>
      <c r="I335" s="52">
        <v>10</v>
      </c>
      <c r="J335" s="57" t="s">
        <v>21</v>
      </c>
      <c r="K335" s="57" t="s">
        <v>22</v>
      </c>
      <c r="L335" s="57" t="s">
        <v>23</v>
      </c>
      <c r="M335" s="53">
        <v>23755200</v>
      </c>
      <c r="N335" s="58" t="s">
        <v>24</v>
      </c>
      <c r="O335" s="58" t="s">
        <v>80</v>
      </c>
      <c r="P335" s="58" t="s">
        <v>26</v>
      </c>
    </row>
    <row r="336" spans="1:16" s="19" customFormat="1" ht="70" x14ac:dyDescent="0.35">
      <c r="A336" s="49">
        <v>20240208</v>
      </c>
      <c r="B336" s="49">
        <v>7655</v>
      </c>
      <c r="C336" s="50" t="s">
        <v>18</v>
      </c>
      <c r="D336" s="57" t="s">
        <v>19</v>
      </c>
      <c r="E336" s="58">
        <v>80111600</v>
      </c>
      <c r="F336" s="57" t="s">
        <v>352</v>
      </c>
      <c r="G336" s="51">
        <v>45306</v>
      </c>
      <c r="H336" s="59">
        <v>45311</v>
      </c>
      <c r="I336" s="52">
        <v>4</v>
      </c>
      <c r="J336" s="57" t="s">
        <v>21</v>
      </c>
      <c r="K336" s="57" t="s">
        <v>22</v>
      </c>
      <c r="L336" s="57" t="s">
        <v>29</v>
      </c>
      <c r="M336" s="53">
        <f>82577600-29200000-16515520</f>
        <v>36862080</v>
      </c>
      <c r="N336" s="58" t="s">
        <v>24</v>
      </c>
      <c r="O336" s="58" t="s">
        <v>80</v>
      </c>
      <c r="P336" s="58" t="s">
        <v>26</v>
      </c>
    </row>
    <row r="337" spans="1:16" s="19" customFormat="1" ht="56" x14ac:dyDescent="0.35">
      <c r="A337" s="49">
        <v>20240209</v>
      </c>
      <c r="B337" s="49">
        <v>7655</v>
      </c>
      <c r="C337" s="50" t="s">
        <v>18</v>
      </c>
      <c r="D337" s="57" t="s">
        <v>19</v>
      </c>
      <c r="E337" s="58">
        <v>80111600</v>
      </c>
      <c r="F337" s="57" t="s">
        <v>84</v>
      </c>
      <c r="G337" s="51">
        <v>45306</v>
      </c>
      <c r="H337" s="59">
        <v>45311</v>
      </c>
      <c r="I337" s="52">
        <v>4</v>
      </c>
      <c r="J337" s="57" t="s">
        <v>21</v>
      </c>
      <c r="K337" s="57" t="s">
        <v>22</v>
      </c>
      <c r="L337" s="57" t="s">
        <v>23</v>
      </c>
      <c r="M337" s="53">
        <f>57691200-10180800</f>
        <v>47510400</v>
      </c>
      <c r="N337" s="58" t="s">
        <v>24</v>
      </c>
      <c r="O337" s="58" t="s">
        <v>80</v>
      </c>
      <c r="P337" s="58" t="s">
        <v>26</v>
      </c>
    </row>
    <row r="338" spans="1:16" s="19" customFormat="1" ht="70" x14ac:dyDescent="0.35">
      <c r="A338" s="49">
        <v>20240210</v>
      </c>
      <c r="B338" s="49">
        <v>7655</v>
      </c>
      <c r="C338" s="50" t="s">
        <v>18</v>
      </c>
      <c r="D338" s="57" t="s">
        <v>19</v>
      </c>
      <c r="E338" s="58">
        <v>80111600</v>
      </c>
      <c r="F338" s="57" t="s">
        <v>353</v>
      </c>
      <c r="G338" s="51">
        <v>45306</v>
      </c>
      <c r="H338" s="59">
        <v>45311</v>
      </c>
      <c r="I338" s="52">
        <v>8</v>
      </c>
      <c r="J338" s="57" t="s">
        <v>21</v>
      </c>
      <c r="K338" s="57" t="s">
        <v>22</v>
      </c>
      <c r="L338" s="57" t="s">
        <v>23</v>
      </c>
      <c r="M338" s="53">
        <v>74206720</v>
      </c>
      <c r="N338" s="58" t="s">
        <v>24</v>
      </c>
      <c r="O338" s="58" t="s">
        <v>80</v>
      </c>
      <c r="P338" s="58" t="s">
        <v>26</v>
      </c>
    </row>
    <row r="339" spans="1:16" s="19" customFormat="1" ht="56" x14ac:dyDescent="0.35">
      <c r="A339" s="49">
        <v>20240211</v>
      </c>
      <c r="B339" s="49">
        <v>7655</v>
      </c>
      <c r="C339" s="50" t="s">
        <v>18</v>
      </c>
      <c r="D339" s="57" t="s">
        <v>19</v>
      </c>
      <c r="E339" s="58">
        <v>80111600</v>
      </c>
      <c r="F339" s="57" t="s">
        <v>27</v>
      </c>
      <c r="G339" s="51">
        <v>45306</v>
      </c>
      <c r="H339" s="59">
        <v>45311</v>
      </c>
      <c r="I339" s="52">
        <v>4</v>
      </c>
      <c r="J339" s="57" t="s">
        <v>21</v>
      </c>
      <c r="K339" s="57" t="s">
        <v>22</v>
      </c>
      <c r="L339" s="57" t="s">
        <v>23</v>
      </c>
      <c r="M339" s="53">
        <f>62216000-11200000</f>
        <v>51016000</v>
      </c>
      <c r="N339" s="58" t="s">
        <v>24</v>
      </c>
      <c r="O339" s="58" t="s">
        <v>80</v>
      </c>
      <c r="P339" s="58" t="s">
        <v>26</v>
      </c>
    </row>
    <row r="340" spans="1:16" s="19" customFormat="1" ht="56" x14ac:dyDescent="0.35">
      <c r="A340" s="49">
        <v>20240212</v>
      </c>
      <c r="B340" s="49">
        <v>7655</v>
      </c>
      <c r="C340" s="50" t="s">
        <v>18</v>
      </c>
      <c r="D340" s="57" t="s">
        <v>19</v>
      </c>
      <c r="E340" s="58">
        <v>80111600</v>
      </c>
      <c r="F340" s="57" t="s">
        <v>579</v>
      </c>
      <c r="G340" s="51">
        <v>45352</v>
      </c>
      <c r="H340" s="59">
        <v>45361</v>
      </c>
      <c r="I340" s="52">
        <v>8</v>
      </c>
      <c r="J340" s="57" t="s">
        <v>21</v>
      </c>
      <c r="K340" s="57" t="s">
        <v>22</v>
      </c>
      <c r="L340" s="57" t="s">
        <v>23</v>
      </c>
      <c r="M340" s="53">
        <v>34840960</v>
      </c>
      <c r="N340" s="58" t="s">
        <v>24</v>
      </c>
      <c r="O340" s="58" t="s">
        <v>80</v>
      </c>
      <c r="P340" s="58" t="s">
        <v>26</v>
      </c>
    </row>
    <row r="341" spans="1:16" s="19" customFormat="1" ht="70" x14ac:dyDescent="0.35">
      <c r="A341" s="49">
        <v>20240213</v>
      </c>
      <c r="B341" s="49">
        <v>7655</v>
      </c>
      <c r="C341" s="50" t="s">
        <v>18</v>
      </c>
      <c r="D341" s="57" t="s">
        <v>19</v>
      </c>
      <c r="E341" s="58">
        <v>80111600</v>
      </c>
      <c r="F341" s="57" t="s">
        <v>28</v>
      </c>
      <c r="G341" s="51">
        <v>45306</v>
      </c>
      <c r="H341" s="59">
        <v>45311</v>
      </c>
      <c r="I341" s="52">
        <v>4</v>
      </c>
      <c r="J341" s="57" t="s">
        <v>21</v>
      </c>
      <c r="K341" s="57" t="s">
        <v>22</v>
      </c>
      <c r="L341" s="57" t="s">
        <v>29</v>
      </c>
      <c r="M341" s="53">
        <f>57691200-11538240</f>
        <v>46152960</v>
      </c>
      <c r="N341" s="58" t="s">
        <v>24</v>
      </c>
      <c r="O341" s="58" t="s">
        <v>80</v>
      </c>
      <c r="P341" s="58" t="s">
        <v>26</v>
      </c>
    </row>
    <row r="342" spans="1:16" s="19" customFormat="1" ht="56" x14ac:dyDescent="0.35">
      <c r="A342" s="49">
        <v>20240214</v>
      </c>
      <c r="B342" s="49">
        <v>7655</v>
      </c>
      <c r="C342" s="50" t="s">
        <v>18</v>
      </c>
      <c r="D342" s="57" t="s">
        <v>19</v>
      </c>
      <c r="E342" s="58">
        <v>80111600</v>
      </c>
      <c r="F342" s="57" t="s">
        <v>30</v>
      </c>
      <c r="G342" s="51">
        <v>45306</v>
      </c>
      <c r="H342" s="59">
        <v>45311</v>
      </c>
      <c r="I342" s="52">
        <v>4</v>
      </c>
      <c r="J342" s="57" t="s">
        <v>21</v>
      </c>
      <c r="K342" s="57" t="s">
        <v>22</v>
      </c>
      <c r="L342" s="57" t="s">
        <v>23</v>
      </c>
      <c r="M342" s="53">
        <f>76921600-13910000</f>
        <v>63011600</v>
      </c>
      <c r="N342" s="58" t="s">
        <v>24</v>
      </c>
      <c r="O342" s="58" t="s">
        <v>80</v>
      </c>
      <c r="P342" s="58" t="s">
        <v>26</v>
      </c>
    </row>
    <row r="343" spans="1:16" s="19" customFormat="1" ht="56" x14ac:dyDescent="0.35">
      <c r="A343" s="49">
        <v>20240217</v>
      </c>
      <c r="B343" s="49">
        <v>7655</v>
      </c>
      <c r="C343" s="50" t="s">
        <v>18</v>
      </c>
      <c r="D343" s="57" t="s">
        <v>19</v>
      </c>
      <c r="E343" s="58">
        <v>80111600</v>
      </c>
      <c r="F343" s="57" t="s">
        <v>31</v>
      </c>
      <c r="G343" s="51">
        <v>45306</v>
      </c>
      <c r="H343" s="59">
        <v>45311</v>
      </c>
      <c r="I343" s="52">
        <v>10</v>
      </c>
      <c r="J343" s="57" t="s">
        <v>21</v>
      </c>
      <c r="K343" s="57" t="s">
        <v>22</v>
      </c>
      <c r="L343" s="57" t="s">
        <v>23</v>
      </c>
      <c r="M343" s="53">
        <v>27714400</v>
      </c>
      <c r="N343" s="58" t="s">
        <v>24</v>
      </c>
      <c r="O343" s="58" t="s">
        <v>80</v>
      </c>
      <c r="P343" s="58" t="s">
        <v>26</v>
      </c>
    </row>
    <row r="344" spans="1:16" s="19" customFormat="1" ht="56" x14ac:dyDescent="0.35">
      <c r="A344" s="49">
        <v>20240218</v>
      </c>
      <c r="B344" s="49">
        <v>7655</v>
      </c>
      <c r="C344" s="50" t="s">
        <v>18</v>
      </c>
      <c r="D344" s="57" t="s">
        <v>19</v>
      </c>
      <c r="E344" s="58">
        <v>80111600</v>
      </c>
      <c r="F344" s="57" t="s">
        <v>32</v>
      </c>
      <c r="G344" s="51">
        <v>45306</v>
      </c>
      <c r="H344" s="59">
        <v>45311</v>
      </c>
      <c r="I344" s="52">
        <v>10</v>
      </c>
      <c r="J344" s="57" t="s">
        <v>21</v>
      </c>
      <c r="K344" s="57" t="s">
        <v>22</v>
      </c>
      <c r="L344" s="57" t="s">
        <v>23</v>
      </c>
      <c r="M344" s="53">
        <v>27714400</v>
      </c>
      <c r="N344" s="58" t="s">
        <v>24</v>
      </c>
      <c r="O344" s="58" t="s">
        <v>80</v>
      </c>
      <c r="P344" s="58" t="s">
        <v>26</v>
      </c>
    </row>
    <row r="345" spans="1:16" s="19" customFormat="1" ht="56" x14ac:dyDescent="0.35">
      <c r="A345" s="49">
        <v>20240219</v>
      </c>
      <c r="B345" s="49">
        <v>7655</v>
      </c>
      <c r="C345" s="50" t="s">
        <v>18</v>
      </c>
      <c r="D345" s="57" t="s">
        <v>19</v>
      </c>
      <c r="E345" s="58">
        <v>80111600</v>
      </c>
      <c r="F345" s="57" t="s">
        <v>32</v>
      </c>
      <c r="G345" s="51">
        <v>45306</v>
      </c>
      <c r="H345" s="59">
        <v>45311</v>
      </c>
      <c r="I345" s="52">
        <v>10</v>
      </c>
      <c r="J345" s="57" t="s">
        <v>21</v>
      </c>
      <c r="K345" s="57" t="s">
        <v>22</v>
      </c>
      <c r="L345" s="57" t="s">
        <v>23</v>
      </c>
      <c r="M345" s="53">
        <v>27714400</v>
      </c>
      <c r="N345" s="58" t="s">
        <v>24</v>
      </c>
      <c r="O345" s="58" t="s">
        <v>80</v>
      </c>
      <c r="P345" s="58" t="s">
        <v>26</v>
      </c>
    </row>
    <row r="346" spans="1:16" s="19" customFormat="1" ht="56" x14ac:dyDescent="0.35">
      <c r="A346" s="49">
        <v>20240220</v>
      </c>
      <c r="B346" s="49">
        <v>7655</v>
      </c>
      <c r="C346" s="50" t="s">
        <v>18</v>
      </c>
      <c r="D346" s="57" t="s">
        <v>19</v>
      </c>
      <c r="E346" s="58">
        <v>80111600</v>
      </c>
      <c r="F346" s="57" t="s">
        <v>32</v>
      </c>
      <c r="G346" s="51">
        <v>45306</v>
      </c>
      <c r="H346" s="59">
        <v>45311</v>
      </c>
      <c r="I346" s="52">
        <v>10</v>
      </c>
      <c r="J346" s="57" t="s">
        <v>21</v>
      </c>
      <c r="K346" s="57" t="s">
        <v>22</v>
      </c>
      <c r="L346" s="57" t="s">
        <v>23</v>
      </c>
      <c r="M346" s="53">
        <v>27714400</v>
      </c>
      <c r="N346" s="58" t="s">
        <v>24</v>
      </c>
      <c r="O346" s="58" t="s">
        <v>80</v>
      </c>
      <c r="P346" s="58" t="s">
        <v>26</v>
      </c>
    </row>
    <row r="347" spans="1:16" s="19" customFormat="1" ht="56" x14ac:dyDescent="0.35">
      <c r="A347" s="49">
        <v>20240221</v>
      </c>
      <c r="B347" s="49">
        <v>7655</v>
      </c>
      <c r="C347" s="50" t="s">
        <v>18</v>
      </c>
      <c r="D347" s="57" t="s">
        <v>19</v>
      </c>
      <c r="E347" s="58">
        <v>80111600</v>
      </c>
      <c r="F347" s="57" t="s">
        <v>32</v>
      </c>
      <c r="G347" s="51">
        <v>45306</v>
      </c>
      <c r="H347" s="59">
        <v>45311</v>
      </c>
      <c r="I347" s="52">
        <v>10</v>
      </c>
      <c r="J347" s="57" t="s">
        <v>21</v>
      </c>
      <c r="K347" s="57" t="s">
        <v>22</v>
      </c>
      <c r="L347" s="57" t="s">
        <v>23</v>
      </c>
      <c r="M347" s="53">
        <v>27714400</v>
      </c>
      <c r="N347" s="58" t="s">
        <v>24</v>
      </c>
      <c r="O347" s="58" t="s">
        <v>80</v>
      </c>
      <c r="P347" s="58" t="s">
        <v>26</v>
      </c>
    </row>
    <row r="348" spans="1:16" s="19" customFormat="1" ht="56" x14ac:dyDescent="0.35">
      <c r="A348" s="49">
        <v>20240222</v>
      </c>
      <c r="B348" s="49">
        <v>7655</v>
      </c>
      <c r="C348" s="50" t="s">
        <v>18</v>
      </c>
      <c r="D348" s="57" t="s">
        <v>19</v>
      </c>
      <c r="E348" s="58">
        <v>80111600</v>
      </c>
      <c r="F348" s="57" t="s">
        <v>354</v>
      </c>
      <c r="G348" s="51">
        <v>45306</v>
      </c>
      <c r="H348" s="59">
        <v>45311</v>
      </c>
      <c r="I348" s="52">
        <v>10</v>
      </c>
      <c r="J348" s="57" t="s">
        <v>21</v>
      </c>
      <c r="K348" s="57" t="s">
        <v>22</v>
      </c>
      <c r="L348" s="57" t="s">
        <v>23</v>
      </c>
      <c r="M348" s="53">
        <v>27714400</v>
      </c>
      <c r="N348" s="58" t="s">
        <v>24</v>
      </c>
      <c r="O348" s="58" t="s">
        <v>80</v>
      </c>
      <c r="P348" s="58" t="s">
        <v>26</v>
      </c>
    </row>
    <row r="349" spans="1:16" s="19" customFormat="1" ht="56" x14ac:dyDescent="0.35">
      <c r="A349" s="49">
        <v>20240223</v>
      </c>
      <c r="B349" s="49">
        <v>7655</v>
      </c>
      <c r="C349" s="50" t="s">
        <v>18</v>
      </c>
      <c r="D349" s="57" t="s">
        <v>19</v>
      </c>
      <c r="E349" s="58">
        <v>80111600</v>
      </c>
      <c r="F349" s="57" t="s">
        <v>32</v>
      </c>
      <c r="G349" s="51">
        <v>45306</v>
      </c>
      <c r="H349" s="59">
        <v>45311</v>
      </c>
      <c r="I349" s="52">
        <v>10</v>
      </c>
      <c r="J349" s="57" t="s">
        <v>21</v>
      </c>
      <c r="K349" s="57" t="s">
        <v>22</v>
      </c>
      <c r="L349" s="57" t="s">
        <v>23</v>
      </c>
      <c r="M349" s="53">
        <v>27714400</v>
      </c>
      <c r="N349" s="58" t="s">
        <v>24</v>
      </c>
      <c r="O349" s="58" t="s">
        <v>80</v>
      </c>
      <c r="P349" s="58" t="s">
        <v>26</v>
      </c>
    </row>
    <row r="350" spans="1:16" s="19" customFormat="1" ht="56" x14ac:dyDescent="0.35">
      <c r="A350" s="49">
        <v>20240224</v>
      </c>
      <c r="B350" s="49">
        <v>7655</v>
      </c>
      <c r="C350" s="50" t="s">
        <v>18</v>
      </c>
      <c r="D350" s="57" t="s">
        <v>19</v>
      </c>
      <c r="E350" s="58">
        <v>80111600</v>
      </c>
      <c r="F350" s="57" t="s">
        <v>31</v>
      </c>
      <c r="G350" s="51">
        <v>45306</v>
      </c>
      <c r="H350" s="59">
        <v>45311</v>
      </c>
      <c r="I350" s="52">
        <v>10</v>
      </c>
      <c r="J350" s="57" t="s">
        <v>21</v>
      </c>
      <c r="K350" s="57" t="s">
        <v>22</v>
      </c>
      <c r="L350" s="57" t="s">
        <v>23</v>
      </c>
      <c r="M350" s="53">
        <v>27714400</v>
      </c>
      <c r="N350" s="58" t="s">
        <v>24</v>
      </c>
      <c r="O350" s="58" t="s">
        <v>80</v>
      </c>
      <c r="P350" s="58" t="s">
        <v>26</v>
      </c>
    </row>
    <row r="351" spans="1:16" s="19" customFormat="1" ht="56" x14ac:dyDescent="0.35">
      <c r="A351" s="49">
        <v>20240225</v>
      </c>
      <c r="B351" s="49">
        <v>7655</v>
      </c>
      <c r="C351" s="50" t="s">
        <v>18</v>
      </c>
      <c r="D351" s="57" t="s">
        <v>19</v>
      </c>
      <c r="E351" s="58">
        <v>80111600</v>
      </c>
      <c r="F351" s="57" t="s">
        <v>32</v>
      </c>
      <c r="G351" s="51">
        <v>45306</v>
      </c>
      <c r="H351" s="59">
        <v>45311</v>
      </c>
      <c r="I351" s="52">
        <v>10</v>
      </c>
      <c r="J351" s="57" t="s">
        <v>21</v>
      </c>
      <c r="K351" s="57" t="s">
        <v>22</v>
      </c>
      <c r="L351" s="57" t="s">
        <v>23</v>
      </c>
      <c r="M351" s="53">
        <v>27714400</v>
      </c>
      <c r="N351" s="58" t="s">
        <v>24</v>
      </c>
      <c r="O351" s="58" t="s">
        <v>80</v>
      </c>
      <c r="P351" s="58" t="s">
        <v>26</v>
      </c>
    </row>
    <row r="352" spans="1:16" s="19" customFormat="1" ht="56" x14ac:dyDescent="0.35">
      <c r="A352" s="49">
        <v>20240226</v>
      </c>
      <c r="B352" s="49">
        <v>7655</v>
      </c>
      <c r="C352" s="50" t="s">
        <v>18</v>
      </c>
      <c r="D352" s="57" t="s">
        <v>19</v>
      </c>
      <c r="E352" s="58">
        <v>80111600</v>
      </c>
      <c r="F352" s="57" t="s">
        <v>33</v>
      </c>
      <c r="G352" s="51">
        <v>45306</v>
      </c>
      <c r="H352" s="59">
        <v>45311</v>
      </c>
      <c r="I352" s="52">
        <v>10</v>
      </c>
      <c r="J352" s="57" t="s">
        <v>21</v>
      </c>
      <c r="K352" s="57" t="s">
        <v>22</v>
      </c>
      <c r="L352" s="57" t="s">
        <v>23</v>
      </c>
      <c r="M352" s="53">
        <v>76921600</v>
      </c>
      <c r="N352" s="58" t="s">
        <v>24</v>
      </c>
      <c r="O352" s="58" t="s">
        <v>80</v>
      </c>
      <c r="P352" s="58" t="s">
        <v>26</v>
      </c>
    </row>
    <row r="353" spans="1:16" s="19" customFormat="1" ht="56" x14ac:dyDescent="0.35">
      <c r="A353" s="49">
        <v>20240227</v>
      </c>
      <c r="B353" s="49">
        <v>7655</v>
      </c>
      <c r="C353" s="50" t="s">
        <v>18</v>
      </c>
      <c r="D353" s="57" t="s">
        <v>19</v>
      </c>
      <c r="E353" s="58">
        <v>80111600</v>
      </c>
      <c r="F353" s="57" t="s">
        <v>32</v>
      </c>
      <c r="G353" s="51">
        <v>45306</v>
      </c>
      <c r="H353" s="59">
        <v>45311</v>
      </c>
      <c r="I353" s="52">
        <v>10</v>
      </c>
      <c r="J353" s="57" t="s">
        <v>21</v>
      </c>
      <c r="K353" s="57" t="s">
        <v>22</v>
      </c>
      <c r="L353" s="57" t="s">
        <v>23</v>
      </c>
      <c r="M353" s="53">
        <v>27714400</v>
      </c>
      <c r="N353" s="58" t="s">
        <v>24</v>
      </c>
      <c r="O353" s="58" t="s">
        <v>80</v>
      </c>
      <c r="P353" s="58" t="s">
        <v>26</v>
      </c>
    </row>
    <row r="354" spans="1:16" s="19" customFormat="1" ht="56" x14ac:dyDescent="0.35">
      <c r="A354" s="49">
        <v>20240228</v>
      </c>
      <c r="B354" s="49">
        <v>7655</v>
      </c>
      <c r="C354" s="50" t="s">
        <v>18</v>
      </c>
      <c r="D354" s="57" t="s">
        <v>19</v>
      </c>
      <c r="E354" s="58">
        <v>80111600</v>
      </c>
      <c r="F354" s="57" t="s">
        <v>32</v>
      </c>
      <c r="G354" s="51">
        <v>45306</v>
      </c>
      <c r="H354" s="59">
        <v>45311</v>
      </c>
      <c r="I354" s="52">
        <v>10</v>
      </c>
      <c r="J354" s="57" t="s">
        <v>21</v>
      </c>
      <c r="K354" s="57" t="s">
        <v>22</v>
      </c>
      <c r="L354" s="57" t="s">
        <v>23</v>
      </c>
      <c r="M354" s="53">
        <v>27714400</v>
      </c>
      <c r="N354" s="58" t="s">
        <v>24</v>
      </c>
      <c r="O354" s="58" t="s">
        <v>80</v>
      </c>
      <c r="P354" s="58" t="s">
        <v>26</v>
      </c>
    </row>
    <row r="355" spans="1:16" s="19" customFormat="1" ht="56" x14ac:dyDescent="0.35">
      <c r="A355" s="49">
        <v>20240229</v>
      </c>
      <c r="B355" s="49">
        <v>7655</v>
      </c>
      <c r="C355" s="50" t="s">
        <v>18</v>
      </c>
      <c r="D355" s="57" t="s">
        <v>19</v>
      </c>
      <c r="E355" s="58">
        <v>80111600</v>
      </c>
      <c r="F355" s="57" t="s">
        <v>524</v>
      </c>
      <c r="G355" s="51">
        <v>45306</v>
      </c>
      <c r="H355" s="59">
        <v>45311</v>
      </c>
      <c r="I355" s="52">
        <v>4</v>
      </c>
      <c r="J355" s="57" t="s">
        <v>21</v>
      </c>
      <c r="K355" s="57" t="s">
        <v>22</v>
      </c>
      <c r="L355" s="57" t="s">
        <v>23</v>
      </c>
      <c r="M355" s="53">
        <f>57691200-5231360</f>
        <v>52459840</v>
      </c>
      <c r="N355" s="58" t="s">
        <v>24</v>
      </c>
      <c r="O355" s="58" t="s">
        <v>80</v>
      </c>
      <c r="P355" s="58" t="s">
        <v>26</v>
      </c>
    </row>
    <row r="356" spans="1:16" s="19" customFormat="1" ht="56" x14ac:dyDescent="0.35">
      <c r="A356" s="49">
        <v>20240230</v>
      </c>
      <c r="B356" s="49">
        <v>7655</v>
      </c>
      <c r="C356" s="50" t="s">
        <v>18</v>
      </c>
      <c r="D356" s="57" t="s">
        <v>19</v>
      </c>
      <c r="E356" s="58">
        <v>80111600</v>
      </c>
      <c r="F356" s="57" t="s">
        <v>34</v>
      </c>
      <c r="G356" s="51">
        <v>45306</v>
      </c>
      <c r="H356" s="59">
        <v>45311</v>
      </c>
      <c r="I356" s="52">
        <v>4</v>
      </c>
      <c r="J356" s="57" t="s">
        <v>21</v>
      </c>
      <c r="K356" s="57" t="s">
        <v>22</v>
      </c>
      <c r="L356" s="57" t="s">
        <v>23</v>
      </c>
      <c r="M356" s="53">
        <f>76921600-36000000-10152960</f>
        <v>30768640</v>
      </c>
      <c r="N356" s="58" t="s">
        <v>24</v>
      </c>
      <c r="O356" s="58" t="s">
        <v>80</v>
      </c>
      <c r="P356" s="58" t="s">
        <v>26</v>
      </c>
    </row>
    <row r="357" spans="1:16" s="19" customFormat="1" ht="56" x14ac:dyDescent="0.35">
      <c r="A357" s="49">
        <v>20240231</v>
      </c>
      <c r="B357" s="49">
        <v>7655</v>
      </c>
      <c r="C357" s="50" t="s">
        <v>18</v>
      </c>
      <c r="D357" s="57" t="s">
        <v>19</v>
      </c>
      <c r="E357" s="58">
        <v>80111600</v>
      </c>
      <c r="F357" s="57" t="s">
        <v>69</v>
      </c>
      <c r="G357" s="51">
        <v>45306</v>
      </c>
      <c r="H357" s="59">
        <v>45311</v>
      </c>
      <c r="I357" s="52">
        <v>4</v>
      </c>
      <c r="J357" s="57" t="s">
        <v>21</v>
      </c>
      <c r="K357" s="57" t="s">
        <v>22</v>
      </c>
      <c r="L357" s="57" t="s">
        <v>23</v>
      </c>
      <c r="M357" s="53">
        <f>27714400-5542880</f>
        <v>22171520</v>
      </c>
      <c r="N357" s="58" t="s">
        <v>24</v>
      </c>
      <c r="O357" s="58" t="s">
        <v>80</v>
      </c>
      <c r="P357" s="58" t="s">
        <v>26</v>
      </c>
    </row>
    <row r="358" spans="1:16" s="19" customFormat="1" ht="56" x14ac:dyDescent="0.35">
      <c r="A358" s="49">
        <v>20240232</v>
      </c>
      <c r="B358" s="49">
        <v>7655</v>
      </c>
      <c r="C358" s="50" t="s">
        <v>18</v>
      </c>
      <c r="D358" s="57" t="s">
        <v>19</v>
      </c>
      <c r="E358" s="58">
        <v>80111600</v>
      </c>
      <c r="F358" s="57" t="s">
        <v>70</v>
      </c>
      <c r="G358" s="51">
        <v>45306</v>
      </c>
      <c r="H358" s="59">
        <v>45311</v>
      </c>
      <c r="I358" s="52">
        <v>4</v>
      </c>
      <c r="J358" s="57" t="s">
        <v>21</v>
      </c>
      <c r="K358" s="57" t="s">
        <v>22</v>
      </c>
      <c r="L358" s="57" t="s">
        <v>23</v>
      </c>
      <c r="M358" s="53">
        <f>50904000-10180000</f>
        <v>40724000</v>
      </c>
      <c r="N358" s="58" t="s">
        <v>24</v>
      </c>
      <c r="O358" s="58" t="s">
        <v>80</v>
      </c>
      <c r="P358" s="58" t="s">
        <v>26</v>
      </c>
    </row>
    <row r="359" spans="1:16" s="19" customFormat="1" ht="56" x14ac:dyDescent="0.35">
      <c r="A359" s="49">
        <v>20240234</v>
      </c>
      <c r="B359" s="49">
        <v>7655</v>
      </c>
      <c r="C359" s="50" t="s">
        <v>18</v>
      </c>
      <c r="D359" s="57" t="s">
        <v>19</v>
      </c>
      <c r="E359" s="58">
        <v>80111600</v>
      </c>
      <c r="F359" s="57" t="s">
        <v>72</v>
      </c>
      <c r="G359" s="51">
        <v>45306</v>
      </c>
      <c r="H359" s="59">
        <v>45311</v>
      </c>
      <c r="I359" s="52">
        <v>4</v>
      </c>
      <c r="J359" s="57" t="s">
        <v>21</v>
      </c>
      <c r="K359" s="57" t="s">
        <v>22</v>
      </c>
      <c r="L359" s="57" t="s">
        <v>23</v>
      </c>
      <c r="M359" s="53">
        <f>43351200-8670240</f>
        <v>34680960</v>
      </c>
      <c r="N359" s="58" t="s">
        <v>24</v>
      </c>
      <c r="O359" s="58" t="s">
        <v>80</v>
      </c>
      <c r="P359" s="58" t="s">
        <v>26</v>
      </c>
    </row>
    <row r="360" spans="1:16" s="19" customFormat="1" ht="56" x14ac:dyDescent="0.35">
      <c r="A360" s="49">
        <v>20240235</v>
      </c>
      <c r="B360" s="49">
        <v>7655</v>
      </c>
      <c r="C360" s="50" t="s">
        <v>18</v>
      </c>
      <c r="D360" s="57" t="s">
        <v>19</v>
      </c>
      <c r="E360" s="58">
        <v>80111600</v>
      </c>
      <c r="F360" s="57" t="s">
        <v>69</v>
      </c>
      <c r="G360" s="51">
        <v>45306</v>
      </c>
      <c r="H360" s="59">
        <v>45311</v>
      </c>
      <c r="I360" s="52">
        <v>4</v>
      </c>
      <c r="J360" s="57" t="s">
        <v>21</v>
      </c>
      <c r="K360" s="57" t="s">
        <v>22</v>
      </c>
      <c r="L360" s="57" t="s">
        <v>23</v>
      </c>
      <c r="M360" s="53">
        <f>27714400-5542880</f>
        <v>22171520</v>
      </c>
      <c r="N360" s="58" t="s">
        <v>24</v>
      </c>
      <c r="O360" s="58" t="s">
        <v>80</v>
      </c>
      <c r="P360" s="58" t="s">
        <v>26</v>
      </c>
    </row>
    <row r="361" spans="1:16" s="19" customFormat="1" ht="56" x14ac:dyDescent="0.35">
      <c r="A361" s="49">
        <v>20240236</v>
      </c>
      <c r="B361" s="49">
        <v>7655</v>
      </c>
      <c r="C361" s="50" t="s">
        <v>18</v>
      </c>
      <c r="D361" s="57" t="s">
        <v>19</v>
      </c>
      <c r="E361" s="58">
        <v>80111600</v>
      </c>
      <c r="F361" s="57" t="s">
        <v>73</v>
      </c>
      <c r="G361" s="51">
        <v>45306</v>
      </c>
      <c r="H361" s="59">
        <v>45311</v>
      </c>
      <c r="I361" s="52">
        <v>4</v>
      </c>
      <c r="J361" s="57" t="s">
        <v>21</v>
      </c>
      <c r="K361" s="57" t="s">
        <v>22</v>
      </c>
      <c r="L361" s="57" t="s">
        <v>23</v>
      </c>
      <c r="M361" s="53">
        <f>37895200-7579040</f>
        <v>30316160</v>
      </c>
      <c r="N361" s="58" t="s">
        <v>24</v>
      </c>
      <c r="O361" s="58" t="s">
        <v>80</v>
      </c>
      <c r="P361" s="58" t="s">
        <v>26</v>
      </c>
    </row>
    <row r="362" spans="1:16" s="19" customFormat="1" ht="56" x14ac:dyDescent="0.35">
      <c r="A362" s="49">
        <v>20240238</v>
      </c>
      <c r="B362" s="49">
        <v>7655</v>
      </c>
      <c r="C362" s="50" t="s">
        <v>18</v>
      </c>
      <c r="D362" s="57" t="s">
        <v>19</v>
      </c>
      <c r="E362" s="58">
        <v>80111600</v>
      </c>
      <c r="F362" s="57" t="s">
        <v>69</v>
      </c>
      <c r="G362" s="51">
        <v>45306</v>
      </c>
      <c r="H362" s="59">
        <v>45311</v>
      </c>
      <c r="I362" s="52">
        <v>4</v>
      </c>
      <c r="J362" s="57" t="s">
        <v>21</v>
      </c>
      <c r="K362" s="57" t="s">
        <v>22</v>
      </c>
      <c r="L362" s="57" t="s">
        <v>23</v>
      </c>
      <c r="M362" s="53">
        <f>27714400-5542880</f>
        <v>22171520</v>
      </c>
      <c r="N362" s="58" t="s">
        <v>24</v>
      </c>
      <c r="O362" s="58" t="s">
        <v>80</v>
      </c>
      <c r="P362" s="58" t="s">
        <v>26</v>
      </c>
    </row>
    <row r="363" spans="1:16" s="19" customFormat="1" ht="56" x14ac:dyDescent="0.35">
      <c r="A363" s="49">
        <v>20240239</v>
      </c>
      <c r="B363" s="49">
        <v>7655</v>
      </c>
      <c r="C363" s="50" t="s">
        <v>18</v>
      </c>
      <c r="D363" s="57" t="s">
        <v>19</v>
      </c>
      <c r="E363" s="58">
        <v>80111600</v>
      </c>
      <c r="F363" s="57" t="s">
        <v>74</v>
      </c>
      <c r="G363" s="51">
        <v>45306</v>
      </c>
      <c r="H363" s="59">
        <v>45311</v>
      </c>
      <c r="I363" s="52">
        <v>4</v>
      </c>
      <c r="J363" s="57" t="s">
        <v>21</v>
      </c>
      <c r="K363" s="57" t="s">
        <v>22</v>
      </c>
      <c r="L363" s="57" t="s">
        <v>23</v>
      </c>
      <c r="M363" s="53">
        <f>27714400-5542880</f>
        <v>22171520</v>
      </c>
      <c r="N363" s="58" t="s">
        <v>24</v>
      </c>
      <c r="O363" s="58" t="s">
        <v>80</v>
      </c>
      <c r="P363" s="58" t="s">
        <v>26</v>
      </c>
    </row>
    <row r="364" spans="1:16" s="19" customFormat="1" ht="56" x14ac:dyDescent="0.35">
      <c r="A364" s="49">
        <v>20240240</v>
      </c>
      <c r="B364" s="49">
        <v>7655</v>
      </c>
      <c r="C364" s="50" t="s">
        <v>18</v>
      </c>
      <c r="D364" s="57" t="s">
        <v>19</v>
      </c>
      <c r="E364" s="58">
        <v>80111600</v>
      </c>
      <c r="F364" s="57" t="s">
        <v>75</v>
      </c>
      <c r="G364" s="51">
        <v>45306</v>
      </c>
      <c r="H364" s="59">
        <v>45311</v>
      </c>
      <c r="I364" s="52">
        <v>10</v>
      </c>
      <c r="J364" s="57" t="s">
        <v>21</v>
      </c>
      <c r="K364" s="57" t="s">
        <v>22</v>
      </c>
      <c r="L364" s="57" t="s">
        <v>23</v>
      </c>
      <c r="M364" s="53">
        <v>27714400</v>
      </c>
      <c r="N364" s="58" t="s">
        <v>24</v>
      </c>
      <c r="O364" s="58" t="s">
        <v>80</v>
      </c>
      <c r="P364" s="58" t="s">
        <v>26</v>
      </c>
    </row>
    <row r="365" spans="1:16" s="19" customFormat="1" ht="56" x14ac:dyDescent="0.35">
      <c r="A365" s="49">
        <v>20240241</v>
      </c>
      <c r="B365" s="49">
        <v>7655</v>
      </c>
      <c r="C365" s="50" t="s">
        <v>18</v>
      </c>
      <c r="D365" s="57" t="s">
        <v>19</v>
      </c>
      <c r="E365" s="58">
        <v>80111600</v>
      </c>
      <c r="F365" s="57" t="s">
        <v>75</v>
      </c>
      <c r="G365" s="51">
        <v>45306</v>
      </c>
      <c r="H365" s="59">
        <v>45311</v>
      </c>
      <c r="I365" s="52">
        <v>4</v>
      </c>
      <c r="J365" s="57" t="s">
        <v>21</v>
      </c>
      <c r="K365" s="57" t="s">
        <v>22</v>
      </c>
      <c r="L365" s="57" t="s">
        <v>23</v>
      </c>
      <c r="M365" s="53">
        <f>27714400-5542880</f>
        <v>22171520</v>
      </c>
      <c r="N365" s="58" t="s">
        <v>24</v>
      </c>
      <c r="O365" s="58" t="s">
        <v>80</v>
      </c>
      <c r="P365" s="58" t="s">
        <v>26</v>
      </c>
    </row>
    <row r="366" spans="1:16" s="19" customFormat="1" ht="94.5" customHeight="1" x14ac:dyDescent="0.35">
      <c r="A366" s="49">
        <v>20240242</v>
      </c>
      <c r="B366" s="49">
        <v>7655</v>
      </c>
      <c r="C366" s="50" t="s">
        <v>18</v>
      </c>
      <c r="D366" s="57" t="s">
        <v>19</v>
      </c>
      <c r="E366" s="58">
        <v>80111600</v>
      </c>
      <c r="F366" s="57" t="s">
        <v>76</v>
      </c>
      <c r="G366" s="51">
        <v>45306</v>
      </c>
      <c r="H366" s="59">
        <v>45311</v>
      </c>
      <c r="I366" s="52">
        <v>4</v>
      </c>
      <c r="J366" s="57" t="s">
        <v>21</v>
      </c>
      <c r="K366" s="57" t="s">
        <v>22</v>
      </c>
      <c r="L366" s="57" t="s">
        <v>23</v>
      </c>
      <c r="M366" s="53">
        <f>69229440-14980000</f>
        <v>54249440</v>
      </c>
      <c r="N366" s="58" t="s">
        <v>24</v>
      </c>
      <c r="O366" s="58" t="s">
        <v>80</v>
      </c>
      <c r="P366" s="58" t="s">
        <v>26</v>
      </c>
    </row>
    <row r="367" spans="1:16" s="19" customFormat="1" ht="56" x14ac:dyDescent="0.35">
      <c r="A367" s="49">
        <v>20240243</v>
      </c>
      <c r="B367" s="49">
        <v>7655</v>
      </c>
      <c r="C367" s="50" t="s">
        <v>18</v>
      </c>
      <c r="D367" s="57" t="s">
        <v>19</v>
      </c>
      <c r="E367" s="58">
        <v>80111600</v>
      </c>
      <c r="F367" s="57" t="s">
        <v>74</v>
      </c>
      <c r="G367" s="51">
        <v>45306</v>
      </c>
      <c r="H367" s="59">
        <v>45311</v>
      </c>
      <c r="I367" s="52">
        <v>10</v>
      </c>
      <c r="J367" s="57" t="s">
        <v>21</v>
      </c>
      <c r="K367" s="57" t="s">
        <v>22</v>
      </c>
      <c r="L367" s="57" t="s">
        <v>23</v>
      </c>
      <c r="M367" s="53">
        <v>27714400</v>
      </c>
      <c r="N367" s="58" t="s">
        <v>24</v>
      </c>
      <c r="O367" s="58" t="s">
        <v>80</v>
      </c>
      <c r="P367" s="58" t="s">
        <v>26</v>
      </c>
    </row>
    <row r="368" spans="1:16" s="19" customFormat="1" ht="56" x14ac:dyDescent="0.35">
      <c r="A368" s="49">
        <v>20240244</v>
      </c>
      <c r="B368" s="49">
        <v>7655</v>
      </c>
      <c r="C368" s="50" t="s">
        <v>18</v>
      </c>
      <c r="D368" s="57" t="s">
        <v>19</v>
      </c>
      <c r="E368" s="58">
        <v>80111600</v>
      </c>
      <c r="F368" s="57" t="s">
        <v>355</v>
      </c>
      <c r="G368" s="51">
        <v>45306</v>
      </c>
      <c r="H368" s="59">
        <v>45311</v>
      </c>
      <c r="I368" s="52">
        <v>4</v>
      </c>
      <c r="J368" s="57" t="s">
        <v>21</v>
      </c>
      <c r="K368" s="57" t="s">
        <v>22</v>
      </c>
      <c r="L368" s="57" t="s">
        <v>23</v>
      </c>
      <c r="M368" s="53">
        <f>50904000-10180800</f>
        <v>40723200</v>
      </c>
      <c r="N368" s="58" t="s">
        <v>24</v>
      </c>
      <c r="O368" s="58" t="s">
        <v>80</v>
      </c>
      <c r="P368" s="58" t="s">
        <v>26</v>
      </c>
    </row>
    <row r="369" spans="1:16" s="19" customFormat="1" ht="56" x14ac:dyDescent="0.35">
      <c r="A369" s="49">
        <v>20240245</v>
      </c>
      <c r="B369" s="49">
        <v>7655</v>
      </c>
      <c r="C369" s="50" t="s">
        <v>18</v>
      </c>
      <c r="D369" s="57" t="s">
        <v>19</v>
      </c>
      <c r="E369" s="58">
        <v>80111600</v>
      </c>
      <c r="F369" s="57" t="s">
        <v>70</v>
      </c>
      <c r="G369" s="51">
        <v>45306</v>
      </c>
      <c r="H369" s="59">
        <v>45311</v>
      </c>
      <c r="I369" s="52">
        <v>4</v>
      </c>
      <c r="J369" s="57" t="s">
        <v>21</v>
      </c>
      <c r="K369" s="57" t="s">
        <v>22</v>
      </c>
      <c r="L369" s="57" t="s">
        <v>23</v>
      </c>
      <c r="M369" s="53">
        <f>43551200-10180000</f>
        <v>33371200</v>
      </c>
      <c r="N369" s="58" t="s">
        <v>24</v>
      </c>
      <c r="O369" s="58" t="s">
        <v>80</v>
      </c>
      <c r="P369" s="58" t="s">
        <v>26</v>
      </c>
    </row>
    <row r="370" spans="1:16" s="19" customFormat="1" ht="70" x14ac:dyDescent="0.35">
      <c r="A370" s="49">
        <v>20240246</v>
      </c>
      <c r="B370" s="49">
        <v>7655</v>
      </c>
      <c r="C370" s="50" t="s">
        <v>18</v>
      </c>
      <c r="D370" s="57" t="s">
        <v>19</v>
      </c>
      <c r="E370" s="58">
        <v>80111600</v>
      </c>
      <c r="F370" s="57" t="s">
        <v>77</v>
      </c>
      <c r="G370" s="51">
        <v>45306</v>
      </c>
      <c r="H370" s="59">
        <v>45311</v>
      </c>
      <c r="I370" s="52">
        <v>10</v>
      </c>
      <c r="J370" s="57" t="s">
        <v>21</v>
      </c>
      <c r="K370" s="57" t="s">
        <v>22</v>
      </c>
      <c r="L370" s="57" t="s">
        <v>23</v>
      </c>
      <c r="M370" s="53">
        <v>43351200</v>
      </c>
      <c r="N370" s="58" t="s">
        <v>24</v>
      </c>
      <c r="O370" s="58" t="s">
        <v>80</v>
      </c>
      <c r="P370" s="58" t="s">
        <v>26</v>
      </c>
    </row>
    <row r="371" spans="1:16" s="19" customFormat="1" ht="56" x14ac:dyDescent="0.35">
      <c r="A371" s="49">
        <v>20240248</v>
      </c>
      <c r="B371" s="49">
        <v>7655</v>
      </c>
      <c r="C371" s="50" t="s">
        <v>18</v>
      </c>
      <c r="D371" s="57" t="s">
        <v>19</v>
      </c>
      <c r="E371" s="58">
        <v>80111600</v>
      </c>
      <c r="F371" s="57" t="s">
        <v>356</v>
      </c>
      <c r="G371" s="51">
        <v>45306</v>
      </c>
      <c r="H371" s="59">
        <v>45311</v>
      </c>
      <c r="I371" s="52">
        <v>4</v>
      </c>
      <c r="J371" s="57" t="s">
        <v>21</v>
      </c>
      <c r="K371" s="57" t="s">
        <v>22</v>
      </c>
      <c r="L371" s="57" t="s">
        <v>23</v>
      </c>
      <c r="M371" s="53">
        <f>61537280-13600000</f>
        <v>47937280</v>
      </c>
      <c r="N371" s="58" t="s">
        <v>24</v>
      </c>
      <c r="O371" s="58" t="s">
        <v>80</v>
      </c>
      <c r="P371" s="58" t="s">
        <v>26</v>
      </c>
    </row>
    <row r="372" spans="1:16" s="19" customFormat="1" ht="56" x14ac:dyDescent="0.35">
      <c r="A372" s="49">
        <v>20240249</v>
      </c>
      <c r="B372" s="49">
        <v>7655</v>
      </c>
      <c r="C372" s="50" t="s">
        <v>18</v>
      </c>
      <c r="D372" s="57" t="s">
        <v>19</v>
      </c>
      <c r="E372" s="58">
        <v>80111600</v>
      </c>
      <c r="F372" s="57" t="s">
        <v>32</v>
      </c>
      <c r="G372" s="51">
        <v>45306</v>
      </c>
      <c r="H372" s="59">
        <v>45311</v>
      </c>
      <c r="I372" s="52">
        <v>10</v>
      </c>
      <c r="J372" s="57" t="s">
        <v>21</v>
      </c>
      <c r="K372" s="57" t="s">
        <v>22</v>
      </c>
      <c r="L372" s="57" t="s">
        <v>23</v>
      </c>
      <c r="M372" s="53">
        <v>27714400</v>
      </c>
      <c r="N372" s="58" t="s">
        <v>24</v>
      </c>
      <c r="O372" s="58" t="s">
        <v>80</v>
      </c>
      <c r="P372" s="58" t="s">
        <v>26</v>
      </c>
    </row>
    <row r="373" spans="1:16" s="19" customFormat="1" ht="56" x14ac:dyDescent="0.35">
      <c r="A373" s="49">
        <v>20240250</v>
      </c>
      <c r="B373" s="49">
        <v>7655</v>
      </c>
      <c r="C373" s="50" t="s">
        <v>18</v>
      </c>
      <c r="D373" s="57" t="s">
        <v>19</v>
      </c>
      <c r="E373" s="58">
        <v>80111600</v>
      </c>
      <c r="F373" s="57" t="s">
        <v>32</v>
      </c>
      <c r="G373" s="51">
        <v>45306</v>
      </c>
      <c r="H373" s="59">
        <v>45311</v>
      </c>
      <c r="I373" s="52">
        <v>10</v>
      </c>
      <c r="J373" s="57" t="s">
        <v>21</v>
      </c>
      <c r="K373" s="57" t="s">
        <v>22</v>
      </c>
      <c r="L373" s="57" t="s">
        <v>23</v>
      </c>
      <c r="M373" s="53">
        <v>27714400</v>
      </c>
      <c r="N373" s="58" t="s">
        <v>24</v>
      </c>
      <c r="O373" s="58" t="s">
        <v>80</v>
      </c>
      <c r="P373" s="58" t="s">
        <v>26</v>
      </c>
    </row>
    <row r="374" spans="1:16" s="19" customFormat="1" ht="56" x14ac:dyDescent="0.35">
      <c r="A374" s="49">
        <v>20240251</v>
      </c>
      <c r="B374" s="49">
        <v>7655</v>
      </c>
      <c r="C374" s="50" t="s">
        <v>18</v>
      </c>
      <c r="D374" s="57" t="s">
        <v>19</v>
      </c>
      <c r="E374" s="58">
        <v>80111600</v>
      </c>
      <c r="F374" s="57" t="s">
        <v>74</v>
      </c>
      <c r="G374" s="51">
        <v>45306</v>
      </c>
      <c r="H374" s="59">
        <v>45311</v>
      </c>
      <c r="I374" s="52">
        <v>4</v>
      </c>
      <c r="J374" s="57" t="s">
        <v>21</v>
      </c>
      <c r="K374" s="57" t="s">
        <v>22</v>
      </c>
      <c r="L374" s="57" t="s">
        <v>23</v>
      </c>
      <c r="M374" s="53">
        <f>31108000-5542880</f>
        <v>25565120</v>
      </c>
      <c r="N374" s="58" t="s">
        <v>24</v>
      </c>
      <c r="O374" s="58" t="s">
        <v>80</v>
      </c>
      <c r="P374" s="58" t="s">
        <v>26</v>
      </c>
    </row>
    <row r="375" spans="1:16" s="19" customFormat="1" ht="56" x14ac:dyDescent="0.35">
      <c r="A375" s="49">
        <v>20240252</v>
      </c>
      <c r="B375" s="49">
        <v>7655</v>
      </c>
      <c r="C375" s="50" t="s">
        <v>18</v>
      </c>
      <c r="D375" s="57" t="s">
        <v>19</v>
      </c>
      <c r="E375" s="58">
        <v>80111600</v>
      </c>
      <c r="F375" s="57" t="s">
        <v>81</v>
      </c>
      <c r="G375" s="51">
        <v>45306</v>
      </c>
      <c r="H375" s="59">
        <v>45311</v>
      </c>
      <c r="I375" s="52">
        <v>10</v>
      </c>
      <c r="J375" s="57" t="s">
        <v>21</v>
      </c>
      <c r="K375" s="57" t="s">
        <v>22</v>
      </c>
      <c r="L375" s="57" t="s">
        <v>23</v>
      </c>
      <c r="M375" s="53">
        <f>76921600-29104000</f>
        <v>47817600</v>
      </c>
      <c r="N375" s="58" t="s">
        <v>24</v>
      </c>
      <c r="O375" s="58" t="s">
        <v>80</v>
      </c>
      <c r="P375" s="58" t="s">
        <v>26</v>
      </c>
    </row>
    <row r="376" spans="1:16" s="19" customFormat="1" ht="56" x14ac:dyDescent="0.35">
      <c r="A376" s="49">
        <v>20240253</v>
      </c>
      <c r="B376" s="49">
        <v>7655</v>
      </c>
      <c r="C376" s="50" t="s">
        <v>18</v>
      </c>
      <c r="D376" s="57" t="s">
        <v>19</v>
      </c>
      <c r="E376" s="58">
        <v>80111600</v>
      </c>
      <c r="F376" s="57" t="s">
        <v>32</v>
      </c>
      <c r="G376" s="51">
        <v>45306</v>
      </c>
      <c r="H376" s="59">
        <v>45311</v>
      </c>
      <c r="I376" s="52">
        <v>10</v>
      </c>
      <c r="J376" s="57" t="s">
        <v>21</v>
      </c>
      <c r="K376" s="57" t="s">
        <v>22</v>
      </c>
      <c r="L376" s="57" t="s">
        <v>23</v>
      </c>
      <c r="M376" s="53">
        <v>27714400</v>
      </c>
      <c r="N376" s="58" t="s">
        <v>24</v>
      </c>
      <c r="O376" s="58" t="s">
        <v>80</v>
      </c>
      <c r="P376" s="58" t="s">
        <v>26</v>
      </c>
    </row>
    <row r="377" spans="1:16" s="19" customFormat="1" ht="56" x14ac:dyDescent="0.35">
      <c r="A377" s="49">
        <v>20240254</v>
      </c>
      <c r="B377" s="49">
        <v>7655</v>
      </c>
      <c r="C377" s="50" t="s">
        <v>18</v>
      </c>
      <c r="D377" s="57" t="s">
        <v>19</v>
      </c>
      <c r="E377" s="58">
        <v>80111600</v>
      </c>
      <c r="F377" s="57" t="s">
        <v>32</v>
      </c>
      <c r="G377" s="51">
        <v>45306</v>
      </c>
      <c r="H377" s="59">
        <v>45311</v>
      </c>
      <c r="I377" s="52">
        <v>10</v>
      </c>
      <c r="J377" s="57" t="s">
        <v>21</v>
      </c>
      <c r="K377" s="57" t="s">
        <v>22</v>
      </c>
      <c r="L377" s="57" t="s">
        <v>23</v>
      </c>
      <c r="M377" s="53">
        <v>27714400</v>
      </c>
      <c r="N377" s="58" t="s">
        <v>24</v>
      </c>
      <c r="O377" s="58" t="s">
        <v>80</v>
      </c>
      <c r="P377" s="58" t="s">
        <v>26</v>
      </c>
    </row>
    <row r="378" spans="1:16" s="19" customFormat="1" ht="56" x14ac:dyDescent="0.35">
      <c r="A378" s="49">
        <v>20240255</v>
      </c>
      <c r="B378" s="49">
        <v>7655</v>
      </c>
      <c r="C378" s="50" t="s">
        <v>18</v>
      </c>
      <c r="D378" s="57" t="s">
        <v>19</v>
      </c>
      <c r="E378" s="58">
        <v>80111600</v>
      </c>
      <c r="F378" s="57" t="s">
        <v>32</v>
      </c>
      <c r="G378" s="51">
        <v>45306</v>
      </c>
      <c r="H378" s="59">
        <v>45311</v>
      </c>
      <c r="I378" s="52">
        <v>10</v>
      </c>
      <c r="J378" s="57" t="s">
        <v>21</v>
      </c>
      <c r="K378" s="57" t="s">
        <v>22</v>
      </c>
      <c r="L378" s="57" t="s">
        <v>23</v>
      </c>
      <c r="M378" s="53">
        <v>27714400</v>
      </c>
      <c r="N378" s="58" t="s">
        <v>24</v>
      </c>
      <c r="O378" s="58" t="s">
        <v>80</v>
      </c>
      <c r="P378" s="58" t="s">
        <v>26</v>
      </c>
    </row>
    <row r="379" spans="1:16" s="19" customFormat="1" ht="56" x14ac:dyDescent="0.35">
      <c r="A379" s="49">
        <v>20240256</v>
      </c>
      <c r="B379" s="49">
        <v>7655</v>
      </c>
      <c r="C379" s="50" t="s">
        <v>18</v>
      </c>
      <c r="D379" s="57" t="s">
        <v>19</v>
      </c>
      <c r="E379" s="58">
        <v>80111600</v>
      </c>
      <c r="F379" s="57" t="s">
        <v>32</v>
      </c>
      <c r="G379" s="51">
        <v>45306</v>
      </c>
      <c r="H379" s="59">
        <v>45311</v>
      </c>
      <c r="I379" s="52">
        <v>10</v>
      </c>
      <c r="J379" s="57" t="s">
        <v>21</v>
      </c>
      <c r="K379" s="57" t="s">
        <v>22</v>
      </c>
      <c r="L379" s="57" t="s">
        <v>23</v>
      </c>
      <c r="M379" s="53">
        <v>27714400</v>
      </c>
      <c r="N379" s="58" t="s">
        <v>24</v>
      </c>
      <c r="O379" s="58" t="s">
        <v>80</v>
      </c>
      <c r="P379" s="58" t="s">
        <v>26</v>
      </c>
    </row>
    <row r="380" spans="1:16" s="19" customFormat="1" ht="56" x14ac:dyDescent="0.35">
      <c r="A380" s="49">
        <v>20240257</v>
      </c>
      <c r="B380" s="49">
        <v>7655</v>
      </c>
      <c r="C380" s="50" t="s">
        <v>18</v>
      </c>
      <c r="D380" s="57" t="s">
        <v>19</v>
      </c>
      <c r="E380" s="58">
        <v>80111600</v>
      </c>
      <c r="F380" s="57" t="s">
        <v>553</v>
      </c>
      <c r="G380" s="51">
        <v>45306</v>
      </c>
      <c r="H380" s="59">
        <v>45311</v>
      </c>
      <c r="I380" s="52">
        <v>5</v>
      </c>
      <c r="J380" s="57" t="s">
        <v>21</v>
      </c>
      <c r="K380" s="57" t="s">
        <v>22</v>
      </c>
      <c r="L380" s="57" t="s">
        <v>29</v>
      </c>
      <c r="M380" s="53">
        <v>33785280</v>
      </c>
      <c r="N380" s="58" t="s">
        <v>24</v>
      </c>
      <c r="O380" s="58" t="s">
        <v>80</v>
      </c>
      <c r="P380" s="58" t="s">
        <v>26</v>
      </c>
    </row>
    <row r="381" spans="1:16" s="19" customFormat="1" ht="56" x14ac:dyDescent="0.35">
      <c r="A381" s="49">
        <v>20240258</v>
      </c>
      <c r="B381" s="49">
        <v>7655</v>
      </c>
      <c r="C381" s="50" t="s">
        <v>18</v>
      </c>
      <c r="D381" s="57" t="s">
        <v>19</v>
      </c>
      <c r="E381" s="58">
        <v>80111600</v>
      </c>
      <c r="F381" s="57" t="s">
        <v>83</v>
      </c>
      <c r="G381" s="51">
        <v>45306</v>
      </c>
      <c r="H381" s="59">
        <v>45311</v>
      </c>
      <c r="I381" s="52">
        <v>10</v>
      </c>
      <c r="J381" s="57" t="s">
        <v>21</v>
      </c>
      <c r="K381" s="57" t="s">
        <v>22</v>
      </c>
      <c r="L381" s="57" t="s">
        <v>23</v>
      </c>
      <c r="M381" s="53">
        <v>62216000</v>
      </c>
      <c r="N381" s="58" t="s">
        <v>24</v>
      </c>
      <c r="O381" s="58" t="s">
        <v>80</v>
      </c>
      <c r="P381" s="58" t="s">
        <v>26</v>
      </c>
    </row>
    <row r="382" spans="1:16" s="19" customFormat="1" ht="56" x14ac:dyDescent="0.35">
      <c r="A382" s="49">
        <v>20240259</v>
      </c>
      <c r="B382" s="49">
        <v>7655</v>
      </c>
      <c r="C382" s="50" t="s">
        <v>18</v>
      </c>
      <c r="D382" s="57" t="s">
        <v>19</v>
      </c>
      <c r="E382" s="58">
        <v>80111600</v>
      </c>
      <c r="F382" s="57" t="s">
        <v>84</v>
      </c>
      <c r="G382" s="51">
        <v>45306</v>
      </c>
      <c r="H382" s="59">
        <v>45311</v>
      </c>
      <c r="I382" s="52">
        <v>4</v>
      </c>
      <c r="J382" s="57" t="s">
        <v>21</v>
      </c>
      <c r="K382" s="57" t="s">
        <v>22</v>
      </c>
      <c r="L382" s="57" t="s">
        <v>23</v>
      </c>
      <c r="M382" s="53">
        <f>62216000-12443200</f>
        <v>49772800</v>
      </c>
      <c r="N382" s="58" t="s">
        <v>24</v>
      </c>
      <c r="O382" s="58" t="s">
        <v>80</v>
      </c>
      <c r="P382" s="58" t="s">
        <v>26</v>
      </c>
    </row>
    <row r="383" spans="1:16" s="19" customFormat="1" ht="84" x14ac:dyDescent="0.35">
      <c r="A383" s="49">
        <v>20240260</v>
      </c>
      <c r="B383" s="49">
        <v>7658</v>
      </c>
      <c r="C383" s="50" t="s">
        <v>82</v>
      </c>
      <c r="D383" s="57" t="s">
        <v>19</v>
      </c>
      <c r="E383" s="58">
        <v>80111600</v>
      </c>
      <c r="F383" s="57" t="s">
        <v>57</v>
      </c>
      <c r="G383" s="51">
        <v>45306</v>
      </c>
      <c r="H383" s="59">
        <v>45311</v>
      </c>
      <c r="I383" s="52">
        <v>10</v>
      </c>
      <c r="J383" s="57" t="s">
        <v>21</v>
      </c>
      <c r="K383" s="57" t="s">
        <v>22</v>
      </c>
      <c r="L383" s="57" t="s">
        <v>29</v>
      </c>
      <c r="M383" s="53">
        <v>92758400</v>
      </c>
      <c r="N383" s="58" t="s">
        <v>38</v>
      </c>
      <c r="O383" s="58" t="s">
        <v>25</v>
      </c>
      <c r="P383" s="58" t="s">
        <v>26</v>
      </c>
    </row>
    <row r="384" spans="1:16" s="19" customFormat="1" ht="84" x14ac:dyDescent="0.35">
      <c r="A384" s="49">
        <v>20240261</v>
      </c>
      <c r="B384" s="49">
        <v>7658</v>
      </c>
      <c r="C384" s="50" t="s">
        <v>82</v>
      </c>
      <c r="D384" s="57" t="s">
        <v>19</v>
      </c>
      <c r="E384" s="58">
        <v>80111600</v>
      </c>
      <c r="F384" s="57" t="s">
        <v>59</v>
      </c>
      <c r="G384" s="51">
        <v>45306</v>
      </c>
      <c r="H384" s="59">
        <v>45311</v>
      </c>
      <c r="I384" s="52">
        <v>10</v>
      </c>
      <c r="J384" s="57" t="s">
        <v>21</v>
      </c>
      <c r="K384" s="57" t="s">
        <v>22</v>
      </c>
      <c r="L384" s="57" t="s">
        <v>23</v>
      </c>
      <c r="M384" s="53">
        <v>92758400</v>
      </c>
      <c r="N384" s="58" t="s">
        <v>38</v>
      </c>
      <c r="O384" s="58" t="s">
        <v>25</v>
      </c>
      <c r="P384" s="58" t="s">
        <v>26</v>
      </c>
    </row>
    <row r="385" spans="1:16" s="19" customFormat="1" ht="84" x14ac:dyDescent="0.35">
      <c r="A385" s="49">
        <v>20240265</v>
      </c>
      <c r="B385" s="49">
        <v>7658</v>
      </c>
      <c r="C385" s="50" t="s">
        <v>82</v>
      </c>
      <c r="D385" s="57" t="s">
        <v>19</v>
      </c>
      <c r="E385" s="58">
        <v>80111600</v>
      </c>
      <c r="F385" s="57" t="s">
        <v>61</v>
      </c>
      <c r="G385" s="51">
        <v>45306</v>
      </c>
      <c r="H385" s="59">
        <v>45311</v>
      </c>
      <c r="I385" s="52">
        <v>10</v>
      </c>
      <c r="J385" s="57" t="s">
        <v>21</v>
      </c>
      <c r="K385" s="57" t="s">
        <v>22</v>
      </c>
      <c r="L385" s="57" t="s">
        <v>23</v>
      </c>
      <c r="M385" s="53">
        <v>92758400</v>
      </c>
      <c r="N385" s="58" t="s">
        <v>38</v>
      </c>
      <c r="O385" s="58" t="s">
        <v>25</v>
      </c>
      <c r="P385" s="58" t="s">
        <v>26</v>
      </c>
    </row>
    <row r="386" spans="1:16" s="19" customFormat="1" ht="84" x14ac:dyDescent="0.35">
      <c r="A386" s="49">
        <v>20240267</v>
      </c>
      <c r="B386" s="49">
        <v>7658</v>
      </c>
      <c r="C386" s="50" t="s">
        <v>82</v>
      </c>
      <c r="D386" s="57" t="s">
        <v>19</v>
      </c>
      <c r="E386" s="58">
        <v>80111600</v>
      </c>
      <c r="F386" s="57" t="s">
        <v>63</v>
      </c>
      <c r="G386" s="51">
        <v>45306</v>
      </c>
      <c r="H386" s="59">
        <v>45311</v>
      </c>
      <c r="I386" s="52">
        <v>10</v>
      </c>
      <c r="J386" s="57" t="s">
        <v>21</v>
      </c>
      <c r="K386" s="57" t="s">
        <v>22</v>
      </c>
      <c r="L386" s="57" t="s">
        <v>23</v>
      </c>
      <c r="M386" s="53">
        <v>62216000</v>
      </c>
      <c r="N386" s="58" t="s">
        <v>38</v>
      </c>
      <c r="O386" s="58" t="s">
        <v>25</v>
      </c>
      <c r="P386" s="58" t="s">
        <v>26</v>
      </c>
    </row>
    <row r="387" spans="1:16" s="19" customFormat="1" ht="84" x14ac:dyDescent="0.35">
      <c r="A387" s="49">
        <v>20240268</v>
      </c>
      <c r="B387" s="49">
        <v>7658</v>
      </c>
      <c r="C387" s="50" t="s">
        <v>82</v>
      </c>
      <c r="D387" s="57" t="s">
        <v>19</v>
      </c>
      <c r="E387" s="58">
        <v>80111600</v>
      </c>
      <c r="F387" s="57" t="s">
        <v>64</v>
      </c>
      <c r="G387" s="51">
        <v>45306</v>
      </c>
      <c r="H387" s="59">
        <v>45311</v>
      </c>
      <c r="I387" s="52">
        <v>10</v>
      </c>
      <c r="J387" s="57" t="s">
        <v>21</v>
      </c>
      <c r="K387" s="57" t="s">
        <v>22</v>
      </c>
      <c r="L387" s="57" t="s">
        <v>23</v>
      </c>
      <c r="M387" s="53">
        <v>92758400</v>
      </c>
      <c r="N387" s="58" t="s">
        <v>38</v>
      </c>
      <c r="O387" s="58" t="s">
        <v>25</v>
      </c>
      <c r="P387" s="58" t="s">
        <v>26</v>
      </c>
    </row>
    <row r="388" spans="1:16" s="19" customFormat="1" ht="84" x14ac:dyDescent="0.35">
      <c r="A388" s="49">
        <v>20240270</v>
      </c>
      <c r="B388" s="49">
        <v>7658</v>
      </c>
      <c r="C388" s="50" t="s">
        <v>82</v>
      </c>
      <c r="D388" s="57" t="s">
        <v>19</v>
      </c>
      <c r="E388" s="58">
        <v>80111600</v>
      </c>
      <c r="F388" s="57" t="s">
        <v>58</v>
      </c>
      <c r="G388" s="51">
        <v>45306</v>
      </c>
      <c r="H388" s="59">
        <v>45311</v>
      </c>
      <c r="I388" s="52">
        <v>10</v>
      </c>
      <c r="J388" s="57" t="s">
        <v>21</v>
      </c>
      <c r="K388" s="57" t="s">
        <v>22</v>
      </c>
      <c r="L388" s="57" t="s">
        <v>23</v>
      </c>
      <c r="M388" s="53">
        <v>31673600</v>
      </c>
      <c r="N388" s="58" t="s">
        <v>38</v>
      </c>
      <c r="O388" s="58" t="s">
        <v>25</v>
      </c>
      <c r="P388" s="58" t="s">
        <v>26</v>
      </c>
    </row>
    <row r="389" spans="1:16" s="19" customFormat="1" ht="84" x14ac:dyDescent="0.35">
      <c r="A389" s="49">
        <v>20240271</v>
      </c>
      <c r="B389" s="49">
        <v>7658</v>
      </c>
      <c r="C389" s="50" t="s">
        <v>82</v>
      </c>
      <c r="D389" s="57" t="s">
        <v>19</v>
      </c>
      <c r="E389" s="58">
        <v>80111600</v>
      </c>
      <c r="F389" s="57" t="s">
        <v>65</v>
      </c>
      <c r="G389" s="51">
        <v>45306</v>
      </c>
      <c r="H389" s="59">
        <v>45311</v>
      </c>
      <c r="I389" s="52">
        <v>10</v>
      </c>
      <c r="J389" s="57" t="s">
        <v>21</v>
      </c>
      <c r="K389" s="57" t="s">
        <v>22</v>
      </c>
      <c r="L389" s="57" t="s">
        <v>23</v>
      </c>
      <c r="M389" s="53">
        <v>27714400</v>
      </c>
      <c r="N389" s="58" t="s">
        <v>38</v>
      </c>
      <c r="O389" s="58" t="s">
        <v>25</v>
      </c>
      <c r="P389" s="58" t="s">
        <v>26</v>
      </c>
    </row>
    <row r="390" spans="1:16" s="19" customFormat="1" ht="84" x14ac:dyDescent="0.35">
      <c r="A390" s="49">
        <v>20240272</v>
      </c>
      <c r="B390" s="49">
        <v>7658</v>
      </c>
      <c r="C390" s="50" t="s">
        <v>82</v>
      </c>
      <c r="D390" s="57" t="s">
        <v>19</v>
      </c>
      <c r="E390" s="58">
        <v>80111600</v>
      </c>
      <c r="F390" s="57" t="s">
        <v>65</v>
      </c>
      <c r="G390" s="51">
        <v>45306</v>
      </c>
      <c r="H390" s="59">
        <v>45311</v>
      </c>
      <c r="I390" s="52">
        <v>10</v>
      </c>
      <c r="J390" s="57" t="s">
        <v>21</v>
      </c>
      <c r="K390" s="57" t="s">
        <v>22</v>
      </c>
      <c r="L390" s="57" t="s">
        <v>23</v>
      </c>
      <c r="M390" s="53">
        <v>27714400</v>
      </c>
      <c r="N390" s="58" t="s">
        <v>38</v>
      </c>
      <c r="O390" s="58" t="s">
        <v>25</v>
      </c>
      <c r="P390" s="58" t="s">
        <v>26</v>
      </c>
    </row>
    <row r="391" spans="1:16" s="19" customFormat="1" ht="84" x14ac:dyDescent="0.35">
      <c r="A391" s="49">
        <v>20240273</v>
      </c>
      <c r="B391" s="49">
        <v>7658</v>
      </c>
      <c r="C391" s="50" t="s">
        <v>82</v>
      </c>
      <c r="D391" s="57" t="s">
        <v>19</v>
      </c>
      <c r="E391" s="58">
        <v>80111600</v>
      </c>
      <c r="F391" s="57" t="s">
        <v>65</v>
      </c>
      <c r="G391" s="51">
        <v>45306</v>
      </c>
      <c r="H391" s="59">
        <v>45311</v>
      </c>
      <c r="I391" s="52">
        <v>10</v>
      </c>
      <c r="J391" s="57" t="s">
        <v>21</v>
      </c>
      <c r="K391" s="57" t="s">
        <v>22</v>
      </c>
      <c r="L391" s="57" t="s">
        <v>23</v>
      </c>
      <c r="M391" s="53">
        <v>27714400</v>
      </c>
      <c r="N391" s="58" t="s">
        <v>38</v>
      </c>
      <c r="O391" s="58" t="s">
        <v>25</v>
      </c>
      <c r="P391" s="58" t="s">
        <v>26</v>
      </c>
    </row>
    <row r="392" spans="1:16" s="19" customFormat="1" ht="84" x14ac:dyDescent="0.35">
      <c r="A392" s="49">
        <v>20240274</v>
      </c>
      <c r="B392" s="49">
        <v>7658</v>
      </c>
      <c r="C392" s="50" t="s">
        <v>82</v>
      </c>
      <c r="D392" s="57" t="s">
        <v>19</v>
      </c>
      <c r="E392" s="58">
        <v>80111600</v>
      </c>
      <c r="F392" s="57" t="s">
        <v>65</v>
      </c>
      <c r="G392" s="51">
        <v>45306</v>
      </c>
      <c r="H392" s="59">
        <v>45311</v>
      </c>
      <c r="I392" s="52">
        <v>10</v>
      </c>
      <c r="J392" s="57" t="s">
        <v>21</v>
      </c>
      <c r="K392" s="57" t="s">
        <v>22</v>
      </c>
      <c r="L392" s="57" t="s">
        <v>23</v>
      </c>
      <c r="M392" s="53">
        <v>27714400</v>
      </c>
      <c r="N392" s="58" t="s">
        <v>38</v>
      </c>
      <c r="O392" s="58" t="s">
        <v>25</v>
      </c>
      <c r="P392" s="58" t="s">
        <v>26</v>
      </c>
    </row>
    <row r="393" spans="1:16" s="19" customFormat="1" ht="84" x14ac:dyDescent="0.35">
      <c r="A393" s="49">
        <v>20240275</v>
      </c>
      <c r="B393" s="49">
        <v>7658</v>
      </c>
      <c r="C393" s="50" t="s">
        <v>82</v>
      </c>
      <c r="D393" s="57" t="s">
        <v>19</v>
      </c>
      <c r="E393" s="58">
        <v>80111600</v>
      </c>
      <c r="F393" s="57" t="s">
        <v>65</v>
      </c>
      <c r="G393" s="51">
        <v>45306</v>
      </c>
      <c r="H393" s="59">
        <v>45311</v>
      </c>
      <c r="I393" s="52">
        <v>10</v>
      </c>
      <c r="J393" s="57" t="s">
        <v>21</v>
      </c>
      <c r="K393" s="57" t="s">
        <v>22</v>
      </c>
      <c r="L393" s="57" t="s">
        <v>23</v>
      </c>
      <c r="M393" s="53">
        <v>27714400</v>
      </c>
      <c r="N393" s="58" t="s">
        <v>38</v>
      </c>
      <c r="O393" s="58" t="s">
        <v>25</v>
      </c>
      <c r="P393" s="58" t="s">
        <v>26</v>
      </c>
    </row>
    <row r="394" spans="1:16" s="19" customFormat="1" ht="84" x14ac:dyDescent="0.35">
      <c r="A394" s="49">
        <v>20240276</v>
      </c>
      <c r="B394" s="49">
        <v>7658</v>
      </c>
      <c r="C394" s="50" t="s">
        <v>82</v>
      </c>
      <c r="D394" s="57" t="s">
        <v>19</v>
      </c>
      <c r="E394" s="58">
        <v>80111600</v>
      </c>
      <c r="F394" s="57" t="s">
        <v>65</v>
      </c>
      <c r="G394" s="51">
        <v>45306</v>
      </c>
      <c r="H394" s="59">
        <v>45311</v>
      </c>
      <c r="I394" s="52">
        <v>10</v>
      </c>
      <c r="J394" s="57" t="s">
        <v>21</v>
      </c>
      <c r="K394" s="57" t="s">
        <v>22</v>
      </c>
      <c r="L394" s="57" t="s">
        <v>23</v>
      </c>
      <c r="M394" s="53">
        <v>27714400</v>
      </c>
      <c r="N394" s="58" t="s">
        <v>38</v>
      </c>
      <c r="O394" s="58" t="s">
        <v>25</v>
      </c>
      <c r="P394" s="58" t="s">
        <v>26</v>
      </c>
    </row>
    <row r="395" spans="1:16" s="19" customFormat="1" ht="84" x14ac:dyDescent="0.35">
      <c r="A395" s="49">
        <v>20240277</v>
      </c>
      <c r="B395" s="49">
        <v>7658</v>
      </c>
      <c r="C395" s="50" t="s">
        <v>82</v>
      </c>
      <c r="D395" s="57" t="s">
        <v>19</v>
      </c>
      <c r="E395" s="58">
        <v>80111600</v>
      </c>
      <c r="F395" s="57" t="s">
        <v>65</v>
      </c>
      <c r="G395" s="51">
        <v>45306</v>
      </c>
      <c r="H395" s="59">
        <v>45311</v>
      </c>
      <c r="I395" s="52">
        <v>10</v>
      </c>
      <c r="J395" s="57" t="s">
        <v>21</v>
      </c>
      <c r="K395" s="57" t="s">
        <v>22</v>
      </c>
      <c r="L395" s="57" t="s">
        <v>23</v>
      </c>
      <c r="M395" s="53">
        <v>27714400</v>
      </c>
      <c r="N395" s="58" t="s">
        <v>38</v>
      </c>
      <c r="O395" s="58" t="s">
        <v>25</v>
      </c>
      <c r="P395" s="58" t="s">
        <v>26</v>
      </c>
    </row>
    <row r="396" spans="1:16" s="19" customFormat="1" ht="84" x14ac:dyDescent="0.35">
      <c r="A396" s="49">
        <v>20240278</v>
      </c>
      <c r="B396" s="49">
        <v>7658</v>
      </c>
      <c r="C396" s="50" t="s">
        <v>82</v>
      </c>
      <c r="D396" s="57" t="s">
        <v>19</v>
      </c>
      <c r="E396" s="58">
        <v>80111600</v>
      </c>
      <c r="F396" s="57" t="s">
        <v>65</v>
      </c>
      <c r="G396" s="51">
        <v>45306</v>
      </c>
      <c r="H396" s="59">
        <v>45311</v>
      </c>
      <c r="I396" s="52">
        <v>10</v>
      </c>
      <c r="J396" s="57" t="s">
        <v>21</v>
      </c>
      <c r="K396" s="57" t="s">
        <v>22</v>
      </c>
      <c r="L396" s="57" t="s">
        <v>23</v>
      </c>
      <c r="M396" s="53">
        <v>27714400</v>
      </c>
      <c r="N396" s="58" t="s">
        <v>38</v>
      </c>
      <c r="O396" s="58" t="s">
        <v>25</v>
      </c>
      <c r="P396" s="58" t="s">
        <v>26</v>
      </c>
    </row>
    <row r="397" spans="1:16" s="19" customFormat="1" ht="84" x14ac:dyDescent="0.35">
      <c r="A397" s="49">
        <v>20240279</v>
      </c>
      <c r="B397" s="49">
        <v>7658</v>
      </c>
      <c r="C397" s="50" t="s">
        <v>82</v>
      </c>
      <c r="D397" s="57" t="s">
        <v>19</v>
      </c>
      <c r="E397" s="58">
        <v>80111600</v>
      </c>
      <c r="F397" s="57" t="s">
        <v>65</v>
      </c>
      <c r="G397" s="51">
        <v>45306</v>
      </c>
      <c r="H397" s="59">
        <v>45311</v>
      </c>
      <c r="I397" s="52">
        <v>10</v>
      </c>
      <c r="J397" s="57" t="s">
        <v>21</v>
      </c>
      <c r="K397" s="57" t="s">
        <v>22</v>
      </c>
      <c r="L397" s="57" t="s">
        <v>23</v>
      </c>
      <c r="M397" s="53">
        <v>27714400</v>
      </c>
      <c r="N397" s="58" t="s">
        <v>38</v>
      </c>
      <c r="O397" s="58" t="s">
        <v>25</v>
      </c>
      <c r="P397" s="58" t="s">
        <v>26</v>
      </c>
    </row>
    <row r="398" spans="1:16" s="19" customFormat="1" ht="84" x14ac:dyDescent="0.35">
      <c r="A398" s="49">
        <v>20240280</v>
      </c>
      <c r="B398" s="49">
        <v>7658</v>
      </c>
      <c r="C398" s="50" t="s">
        <v>82</v>
      </c>
      <c r="D398" s="57" t="s">
        <v>19</v>
      </c>
      <c r="E398" s="58">
        <v>80111600</v>
      </c>
      <c r="F398" s="57" t="s">
        <v>65</v>
      </c>
      <c r="G398" s="51">
        <v>45306</v>
      </c>
      <c r="H398" s="59">
        <v>45311</v>
      </c>
      <c r="I398" s="52">
        <v>10</v>
      </c>
      <c r="J398" s="57" t="s">
        <v>21</v>
      </c>
      <c r="K398" s="57" t="s">
        <v>22</v>
      </c>
      <c r="L398" s="57" t="s">
        <v>23</v>
      </c>
      <c r="M398" s="53">
        <v>27714400</v>
      </c>
      <c r="N398" s="58" t="s">
        <v>38</v>
      </c>
      <c r="O398" s="58" t="s">
        <v>25</v>
      </c>
      <c r="P398" s="58" t="s">
        <v>26</v>
      </c>
    </row>
    <row r="399" spans="1:16" s="19" customFormat="1" ht="84" x14ac:dyDescent="0.35">
      <c r="A399" s="49">
        <v>20240281</v>
      </c>
      <c r="B399" s="49">
        <v>7658</v>
      </c>
      <c r="C399" s="50" t="s">
        <v>82</v>
      </c>
      <c r="D399" s="57" t="s">
        <v>19</v>
      </c>
      <c r="E399" s="58">
        <v>80111600</v>
      </c>
      <c r="F399" s="57" t="s">
        <v>65</v>
      </c>
      <c r="G399" s="51">
        <v>45306</v>
      </c>
      <c r="H399" s="59">
        <v>45311</v>
      </c>
      <c r="I399" s="52">
        <v>10</v>
      </c>
      <c r="J399" s="57" t="s">
        <v>21</v>
      </c>
      <c r="K399" s="57" t="s">
        <v>22</v>
      </c>
      <c r="L399" s="57" t="s">
        <v>23</v>
      </c>
      <c r="M399" s="53">
        <v>27714400</v>
      </c>
      <c r="N399" s="58" t="s">
        <v>38</v>
      </c>
      <c r="O399" s="58" t="s">
        <v>25</v>
      </c>
      <c r="P399" s="58" t="s">
        <v>26</v>
      </c>
    </row>
    <row r="400" spans="1:16" s="19" customFormat="1" ht="84" x14ac:dyDescent="0.35">
      <c r="A400" s="49">
        <v>20240282</v>
      </c>
      <c r="B400" s="49">
        <v>7658</v>
      </c>
      <c r="C400" s="50" t="s">
        <v>82</v>
      </c>
      <c r="D400" s="57" t="s">
        <v>19</v>
      </c>
      <c r="E400" s="58">
        <v>80111600</v>
      </c>
      <c r="F400" s="57" t="s">
        <v>65</v>
      </c>
      <c r="G400" s="51">
        <v>45306</v>
      </c>
      <c r="H400" s="59">
        <v>45311</v>
      </c>
      <c r="I400" s="52">
        <v>10</v>
      </c>
      <c r="J400" s="57" t="s">
        <v>21</v>
      </c>
      <c r="K400" s="57" t="s">
        <v>22</v>
      </c>
      <c r="L400" s="57" t="s">
        <v>23</v>
      </c>
      <c r="M400" s="53">
        <v>27714400</v>
      </c>
      <c r="N400" s="58" t="s">
        <v>38</v>
      </c>
      <c r="O400" s="58" t="s">
        <v>25</v>
      </c>
      <c r="P400" s="58" t="s">
        <v>26</v>
      </c>
    </row>
    <row r="401" spans="1:16" s="19" customFormat="1" ht="84" x14ac:dyDescent="0.35">
      <c r="A401" s="49">
        <v>20240283</v>
      </c>
      <c r="B401" s="49">
        <v>7658</v>
      </c>
      <c r="C401" s="50" t="s">
        <v>82</v>
      </c>
      <c r="D401" s="57" t="s">
        <v>19</v>
      </c>
      <c r="E401" s="58">
        <v>80111600</v>
      </c>
      <c r="F401" s="57" t="s">
        <v>65</v>
      </c>
      <c r="G401" s="51">
        <v>45306</v>
      </c>
      <c r="H401" s="59">
        <v>45311</v>
      </c>
      <c r="I401" s="52">
        <v>10</v>
      </c>
      <c r="J401" s="57" t="s">
        <v>21</v>
      </c>
      <c r="K401" s="57" t="s">
        <v>22</v>
      </c>
      <c r="L401" s="57" t="s">
        <v>23</v>
      </c>
      <c r="M401" s="53">
        <v>27714400</v>
      </c>
      <c r="N401" s="58" t="s">
        <v>38</v>
      </c>
      <c r="O401" s="58" t="s">
        <v>25</v>
      </c>
      <c r="P401" s="58" t="s">
        <v>26</v>
      </c>
    </row>
    <row r="402" spans="1:16" s="19" customFormat="1" ht="84" x14ac:dyDescent="0.35">
      <c r="A402" s="49">
        <v>20240286</v>
      </c>
      <c r="B402" s="49">
        <v>7658</v>
      </c>
      <c r="C402" s="50" t="s">
        <v>82</v>
      </c>
      <c r="D402" s="57" t="s">
        <v>19</v>
      </c>
      <c r="E402" s="58">
        <v>80111600</v>
      </c>
      <c r="F402" s="57" t="s">
        <v>367</v>
      </c>
      <c r="G402" s="51">
        <v>45306</v>
      </c>
      <c r="H402" s="59">
        <v>45311</v>
      </c>
      <c r="I402" s="52">
        <v>10</v>
      </c>
      <c r="J402" s="57" t="s">
        <v>21</v>
      </c>
      <c r="K402" s="57" t="s">
        <v>22</v>
      </c>
      <c r="L402" s="57" t="s">
        <v>23</v>
      </c>
      <c r="M402" s="53">
        <v>76921600</v>
      </c>
      <c r="N402" s="58" t="s">
        <v>38</v>
      </c>
      <c r="O402" s="58" t="s">
        <v>25</v>
      </c>
      <c r="P402" s="58" t="s">
        <v>26</v>
      </c>
    </row>
    <row r="403" spans="1:16" s="19" customFormat="1" ht="84" x14ac:dyDescent="0.35">
      <c r="A403" s="49">
        <v>20240287</v>
      </c>
      <c r="B403" s="49">
        <v>7658</v>
      </c>
      <c r="C403" s="50" t="s">
        <v>82</v>
      </c>
      <c r="D403" s="57" t="s">
        <v>19</v>
      </c>
      <c r="E403" s="58">
        <v>80111600</v>
      </c>
      <c r="F403" s="57" t="s">
        <v>368</v>
      </c>
      <c r="G403" s="51">
        <v>45306</v>
      </c>
      <c r="H403" s="59">
        <v>45311</v>
      </c>
      <c r="I403" s="52">
        <v>10</v>
      </c>
      <c r="J403" s="57" t="s">
        <v>21</v>
      </c>
      <c r="K403" s="57" t="s">
        <v>22</v>
      </c>
      <c r="L403" s="57" t="s">
        <v>23</v>
      </c>
      <c r="M403" s="53">
        <v>62216000</v>
      </c>
      <c r="N403" s="58" t="s">
        <v>38</v>
      </c>
      <c r="O403" s="58" t="s">
        <v>25</v>
      </c>
      <c r="P403" s="58" t="s">
        <v>26</v>
      </c>
    </row>
    <row r="404" spans="1:16" s="19" customFormat="1" ht="84" x14ac:dyDescent="0.35">
      <c r="A404" s="49">
        <v>20240288</v>
      </c>
      <c r="B404" s="49">
        <v>7658</v>
      </c>
      <c r="C404" s="50" t="s">
        <v>82</v>
      </c>
      <c r="D404" s="57" t="s">
        <v>19</v>
      </c>
      <c r="E404" s="58">
        <v>80111600</v>
      </c>
      <c r="F404" s="57" t="s">
        <v>369</v>
      </c>
      <c r="G404" s="51">
        <v>45306</v>
      </c>
      <c r="H404" s="59">
        <v>45311</v>
      </c>
      <c r="I404" s="52">
        <v>10</v>
      </c>
      <c r="J404" s="57" t="s">
        <v>21</v>
      </c>
      <c r="K404" s="57" t="s">
        <v>22</v>
      </c>
      <c r="L404" s="57" t="s">
        <v>23</v>
      </c>
      <c r="M404" s="53">
        <v>62216000</v>
      </c>
      <c r="N404" s="58" t="s">
        <v>38</v>
      </c>
      <c r="O404" s="58" t="s">
        <v>25</v>
      </c>
      <c r="P404" s="58" t="s">
        <v>26</v>
      </c>
    </row>
    <row r="405" spans="1:16" s="19" customFormat="1" ht="56" x14ac:dyDescent="0.35">
      <c r="A405" s="49">
        <v>20240289</v>
      </c>
      <c r="B405" s="49">
        <v>7655</v>
      </c>
      <c r="C405" s="50" t="s">
        <v>18</v>
      </c>
      <c r="D405" s="57" t="s">
        <v>152</v>
      </c>
      <c r="E405" s="58">
        <v>80111600</v>
      </c>
      <c r="F405" s="57" t="s">
        <v>173</v>
      </c>
      <c r="G405" s="51">
        <v>45306</v>
      </c>
      <c r="H405" s="59">
        <v>45314</v>
      </c>
      <c r="I405" s="52">
        <v>9</v>
      </c>
      <c r="J405" s="57" t="s">
        <v>21</v>
      </c>
      <c r="K405" s="57" t="s">
        <v>22</v>
      </c>
      <c r="L405" s="57" t="s">
        <v>23</v>
      </c>
      <c r="M405" s="53">
        <v>38889000</v>
      </c>
      <c r="N405" s="58" t="s">
        <v>24</v>
      </c>
      <c r="O405" s="58" t="s">
        <v>80</v>
      </c>
      <c r="P405" s="58" t="s">
        <v>26</v>
      </c>
    </row>
    <row r="406" spans="1:16" s="19" customFormat="1" ht="56" x14ac:dyDescent="0.35">
      <c r="A406" s="49">
        <v>20240292</v>
      </c>
      <c r="B406" s="49">
        <v>7655</v>
      </c>
      <c r="C406" s="50" t="s">
        <v>18</v>
      </c>
      <c r="D406" s="57" t="s">
        <v>152</v>
      </c>
      <c r="E406" s="58">
        <v>80111600</v>
      </c>
      <c r="F406" s="57" t="s">
        <v>176</v>
      </c>
      <c r="G406" s="51">
        <v>45306</v>
      </c>
      <c r="H406" s="59">
        <v>45314</v>
      </c>
      <c r="I406" s="52">
        <v>9</v>
      </c>
      <c r="J406" s="57" t="s">
        <v>21</v>
      </c>
      <c r="K406" s="57" t="s">
        <v>22</v>
      </c>
      <c r="L406" s="57" t="s">
        <v>23</v>
      </c>
      <c r="M406" s="53">
        <v>33148000</v>
      </c>
      <c r="N406" s="58" t="s">
        <v>24</v>
      </c>
      <c r="O406" s="58" t="s">
        <v>80</v>
      </c>
      <c r="P406" s="58" t="s">
        <v>26</v>
      </c>
    </row>
    <row r="407" spans="1:16" s="19" customFormat="1" ht="70" x14ac:dyDescent="0.35">
      <c r="A407" s="49">
        <v>20240293</v>
      </c>
      <c r="B407" s="49">
        <v>7655</v>
      </c>
      <c r="C407" s="50" t="s">
        <v>18</v>
      </c>
      <c r="D407" s="57" t="s">
        <v>152</v>
      </c>
      <c r="E407" s="58">
        <v>80111600</v>
      </c>
      <c r="F407" s="57" t="s">
        <v>177</v>
      </c>
      <c r="G407" s="51">
        <v>45306</v>
      </c>
      <c r="H407" s="59">
        <v>45314</v>
      </c>
      <c r="I407" s="52">
        <v>9</v>
      </c>
      <c r="J407" s="57" t="s">
        <v>21</v>
      </c>
      <c r="K407" s="57" t="s">
        <v>22</v>
      </c>
      <c r="L407" s="57" t="s">
        <v>23</v>
      </c>
      <c r="M407" s="53">
        <v>33148000</v>
      </c>
      <c r="N407" s="58" t="s">
        <v>24</v>
      </c>
      <c r="O407" s="58" t="s">
        <v>80</v>
      </c>
      <c r="P407" s="58" t="s">
        <v>26</v>
      </c>
    </row>
    <row r="408" spans="1:16" s="19" customFormat="1" ht="56" x14ac:dyDescent="0.35">
      <c r="A408" s="49">
        <v>20240295</v>
      </c>
      <c r="B408" s="49">
        <v>7655</v>
      </c>
      <c r="C408" s="50" t="s">
        <v>18</v>
      </c>
      <c r="D408" s="57" t="s">
        <v>152</v>
      </c>
      <c r="E408" s="58">
        <v>80111600</v>
      </c>
      <c r="F408" s="57" t="s">
        <v>178</v>
      </c>
      <c r="G408" s="51">
        <v>45306</v>
      </c>
      <c r="H408" s="59">
        <v>45314</v>
      </c>
      <c r="I408" s="52">
        <v>9</v>
      </c>
      <c r="J408" s="57" t="s">
        <v>21</v>
      </c>
      <c r="K408" s="57" t="s">
        <v>22</v>
      </c>
      <c r="L408" s="57" t="s">
        <v>23</v>
      </c>
      <c r="M408" s="53">
        <v>30387000</v>
      </c>
      <c r="N408" s="58" t="s">
        <v>24</v>
      </c>
      <c r="O408" s="58" t="s">
        <v>80</v>
      </c>
      <c r="P408" s="58" t="s">
        <v>26</v>
      </c>
    </row>
    <row r="409" spans="1:16" s="19" customFormat="1" ht="56" x14ac:dyDescent="0.35">
      <c r="A409" s="49">
        <v>20240296</v>
      </c>
      <c r="B409" s="49">
        <v>7655</v>
      </c>
      <c r="C409" s="50" t="s">
        <v>18</v>
      </c>
      <c r="D409" s="57" t="s">
        <v>152</v>
      </c>
      <c r="E409" s="58">
        <v>80111600</v>
      </c>
      <c r="F409" s="57" t="s">
        <v>179</v>
      </c>
      <c r="G409" s="51">
        <v>45306</v>
      </c>
      <c r="H409" s="59">
        <v>45314</v>
      </c>
      <c r="I409" s="52">
        <v>9</v>
      </c>
      <c r="J409" s="57" t="s">
        <v>21</v>
      </c>
      <c r="K409" s="57" t="s">
        <v>22</v>
      </c>
      <c r="L409" s="57" t="s">
        <v>23</v>
      </c>
      <c r="M409" s="53">
        <f>30684000-21485000-4144000</f>
        <v>5055000</v>
      </c>
      <c r="N409" s="58" t="s">
        <v>24</v>
      </c>
      <c r="O409" s="58" t="s">
        <v>80</v>
      </c>
      <c r="P409" s="58" t="s">
        <v>26</v>
      </c>
    </row>
    <row r="410" spans="1:16" s="19" customFormat="1" ht="56" x14ac:dyDescent="0.35">
      <c r="A410" s="49">
        <v>20240297</v>
      </c>
      <c r="B410" s="49">
        <v>7655</v>
      </c>
      <c r="C410" s="50" t="s">
        <v>18</v>
      </c>
      <c r="D410" s="57" t="s">
        <v>152</v>
      </c>
      <c r="E410" s="58">
        <v>80111600</v>
      </c>
      <c r="F410" s="57" t="s">
        <v>178</v>
      </c>
      <c r="G410" s="51">
        <v>45306</v>
      </c>
      <c r="H410" s="59">
        <v>45314</v>
      </c>
      <c r="I410" s="52">
        <v>9</v>
      </c>
      <c r="J410" s="57" t="s">
        <v>21</v>
      </c>
      <c r="K410" s="57" t="s">
        <v>22</v>
      </c>
      <c r="L410" s="57" t="s">
        <v>23</v>
      </c>
      <c r="M410" s="53">
        <v>30681000</v>
      </c>
      <c r="N410" s="58" t="s">
        <v>24</v>
      </c>
      <c r="O410" s="58" t="s">
        <v>80</v>
      </c>
      <c r="P410" s="58" t="s">
        <v>26</v>
      </c>
    </row>
    <row r="411" spans="1:16" s="19" customFormat="1" ht="70" x14ac:dyDescent="0.35">
      <c r="A411" s="49">
        <v>20240298</v>
      </c>
      <c r="B411" s="49">
        <v>7655</v>
      </c>
      <c r="C411" s="50" t="s">
        <v>18</v>
      </c>
      <c r="D411" s="57" t="s">
        <v>152</v>
      </c>
      <c r="E411" s="58">
        <v>80111600</v>
      </c>
      <c r="F411" s="57" t="s">
        <v>474</v>
      </c>
      <c r="G411" s="51">
        <v>45306</v>
      </c>
      <c r="H411" s="59">
        <v>45314</v>
      </c>
      <c r="I411" s="52">
        <v>9</v>
      </c>
      <c r="J411" s="57" t="s">
        <v>21</v>
      </c>
      <c r="K411" s="57" t="s">
        <v>22</v>
      </c>
      <c r="L411" s="57" t="s">
        <v>23</v>
      </c>
      <c r="M411" s="53">
        <v>27048000</v>
      </c>
      <c r="N411" s="58" t="s">
        <v>24</v>
      </c>
      <c r="O411" s="58" t="s">
        <v>80</v>
      </c>
      <c r="P411" s="58" t="s">
        <v>26</v>
      </c>
    </row>
    <row r="412" spans="1:16" s="19" customFormat="1" ht="56" x14ac:dyDescent="0.35">
      <c r="A412" s="49">
        <v>20240299</v>
      </c>
      <c r="B412" s="49">
        <v>7655</v>
      </c>
      <c r="C412" s="50" t="s">
        <v>18</v>
      </c>
      <c r="D412" s="57" t="s">
        <v>152</v>
      </c>
      <c r="E412" s="58">
        <v>80111600</v>
      </c>
      <c r="F412" s="57" t="s">
        <v>180</v>
      </c>
      <c r="G412" s="51">
        <v>45306</v>
      </c>
      <c r="H412" s="59">
        <v>45314</v>
      </c>
      <c r="I412" s="52">
        <v>9</v>
      </c>
      <c r="J412" s="57" t="s">
        <v>21</v>
      </c>
      <c r="K412" s="57" t="s">
        <v>22</v>
      </c>
      <c r="L412" s="57" t="s">
        <v>23</v>
      </c>
      <c r="M412" s="53">
        <v>26740000</v>
      </c>
      <c r="N412" s="58" t="s">
        <v>24</v>
      </c>
      <c r="O412" s="58" t="s">
        <v>80</v>
      </c>
      <c r="P412" s="58" t="s">
        <v>26</v>
      </c>
    </row>
    <row r="413" spans="1:16" s="19" customFormat="1" ht="56" x14ac:dyDescent="0.35">
      <c r="A413" s="49">
        <v>20240302</v>
      </c>
      <c r="B413" s="49">
        <v>7655</v>
      </c>
      <c r="C413" s="50" t="s">
        <v>18</v>
      </c>
      <c r="D413" s="57" t="s">
        <v>152</v>
      </c>
      <c r="E413" s="58">
        <v>80111600</v>
      </c>
      <c r="F413" s="57" t="s">
        <v>475</v>
      </c>
      <c r="G413" s="51">
        <v>45306</v>
      </c>
      <c r="H413" s="59">
        <v>45314</v>
      </c>
      <c r="I413" s="52">
        <v>9</v>
      </c>
      <c r="J413" s="57" t="s">
        <v>21</v>
      </c>
      <c r="K413" s="57" t="s">
        <v>22</v>
      </c>
      <c r="L413" s="57" t="s">
        <v>23</v>
      </c>
      <c r="M413" s="53">
        <v>22380000</v>
      </c>
      <c r="N413" s="58" t="s">
        <v>24</v>
      </c>
      <c r="O413" s="58" t="s">
        <v>80</v>
      </c>
      <c r="P413" s="58" t="s">
        <v>26</v>
      </c>
    </row>
    <row r="414" spans="1:16" s="19" customFormat="1" ht="56" x14ac:dyDescent="0.35">
      <c r="A414" s="49">
        <v>20240303</v>
      </c>
      <c r="B414" s="49">
        <v>7655</v>
      </c>
      <c r="C414" s="50" t="s">
        <v>18</v>
      </c>
      <c r="D414" s="57" t="s">
        <v>152</v>
      </c>
      <c r="E414" s="58">
        <v>80111600</v>
      </c>
      <c r="F414" s="57" t="s">
        <v>182</v>
      </c>
      <c r="G414" s="51">
        <v>45306</v>
      </c>
      <c r="H414" s="59">
        <v>45314</v>
      </c>
      <c r="I414" s="52">
        <v>9</v>
      </c>
      <c r="J414" s="57" t="s">
        <v>21</v>
      </c>
      <c r="K414" s="57" t="s">
        <v>22</v>
      </c>
      <c r="L414" s="57" t="s">
        <v>23</v>
      </c>
      <c r="M414" s="53">
        <v>19780000</v>
      </c>
      <c r="N414" s="58" t="s">
        <v>24</v>
      </c>
      <c r="O414" s="58" t="s">
        <v>80</v>
      </c>
      <c r="P414" s="58" t="s">
        <v>26</v>
      </c>
    </row>
    <row r="415" spans="1:16" s="19" customFormat="1" ht="84" x14ac:dyDescent="0.35">
      <c r="A415" s="49">
        <v>20240304</v>
      </c>
      <c r="B415" s="49">
        <v>7658</v>
      </c>
      <c r="C415" s="50" t="s">
        <v>82</v>
      </c>
      <c r="D415" s="57" t="s">
        <v>152</v>
      </c>
      <c r="E415" s="58">
        <v>80111600</v>
      </c>
      <c r="F415" s="57" t="s">
        <v>537</v>
      </c>
      <c r="G415" s="51">
        <v>45306</v>
      </c>
      <c r="H415" s="59">
        <v>45314</v>
      </c>
      <c r="I415" s="52">
        <v>7</v>
      </c>
      <c r="J415" s="57" t="s">
        <v>21</v>
      </c>
      <c r="K415" s="57" t="s">
        <v>22</v>
      </c>
      <c r="L415" s="57" t="s">
        <v>23</v>
      </c>
      <c r="M415" s="53">
        <v>55508000</v>
      </c>
      <c r="N415" s="58" t="s">
        <v>154</v>
      </c>
      <c r="O415" s="58" t="s">
        <v>155</v>
      </c>
      <c r="P415" s="58" t="s">
        <v>26</v>
      </c>
    </row>
    <row r="416" spans="1:16" s="19" customFormat="1" ht="84" x14ac:dyDescent="0.35">
      <c r="A416" s="49">
        <v>20240305</v>
      </c>
      <c r="B416" s="49">
        <v>7658</v>
      </c>
      <c r="C416" s="50" t="s">
        <v>82</v>
      </c>
      <c r="D416" s="57" t="s">
        <v>152</v>
      </c>
      <c r="E416" s="58">
        <v>80111600</v>
      </c>
      <c r="F416" s="57" t="s">
        <v>538</v>
      </c>
      <c r="G416" s="51">
        <v>45306</v>
      </c>
      <c r="H416" s="59">
        <v>45314</v>
      </c>
      <c r="I416" s="52">
        <v>7</v>
      </c>
      <c r="J416" s="57" t="s">
        <v>21</v>
      </c>
      <c r="K416" s="57" t="s">
        <v>22</v>
      </c>
      <c r="L416" s="57" t="s">
        <v>23</v>
      </c>
      <c r="M416" s="53">
        <v>55508000</v>
      </c>
      <c r="N416" s="58" t="s">
        <v>154</v>
      </c>
      <c r="O416" s="58" t="s">
        <v>155</v>
      </c>
      <c r="P416" s="58" t="s">
        <v>26</v>
      </c>
    </row>
    <row r="417" spans="1:16" s="19" customFormat="1" ht="84" x14ac:dyDescent="0.35">
      <c r="A417" s="49">
        <v>20240306</v>
      </c>
      <c r="B417" s="49">
        <v>7658</v>
      </c>
      <c r="C417" s="50" t="s">
        <v>82</v>
      </c>
      <c r="D417" s="57" t="s">
        <v>152</v>
      </c>
      <c r="E417" s="58">
        <v>80111600</v>
      </c>
      <c r="F417" s="57" t="s">
        <v>160</v>
      </c>
      <c r="G417" s="51">
        <v>45306</v>
      </c>
      <c r="H417" s="59">
        <v>45314</v>
      </c>
      <c r="I417" s="52">
        <v>8</v>
      </c>
      <c r="J417" s="57" t="s">
        <v>21</v>
      </c>
      <c r="K417" s="57" t="s">
        <v>22</v>
      </c>
      <c r="L417" s="57" t="s">
        <v>23</v>
      </c>
      <c r="M417" s="53">
        <f>48114000-2000</f>
        <v>48112000</v>
      </c>
      <c r="N417" s="58" t="s">
        <v>154</v>
      </c>
      <c r="O417" s="58" t="s">
        <v>155</v>
      </c>
      <c r="P417" s="58" t="s">
        <v>26</v>
      </c>
    </row>
    <row r="418" spans="1:16" s="19" customFormat="1" ht="84" x14ac:dyDescent="0.35">
      <c r="A418" s="49">
        <v>20240307</v>
      </c>
      <c r="B418" s="49">
        <v>7658</v>
      </c>
      <c r="C418" s="50" t="s">
        <v>82</v>
      </c>
      <c r="D418" s="57" t="s">
        <v>152</v>
      </c>
      <c r="E418" s="58">
        <v>80111600</v>
      </c>
      <c r="F418" s="57" t="s">
        <v>161</v>
      </c>
      <c r="G418" s="51">
        <v>45306</v>
      </c>
      <c r="H418" s="59">
        <v>45314</v>
      </c>
      <c r="I418" s="52">
        <v>8</v>
      </c>
      <c r="J418" s="57" t="s">
        <v>21</v>
      </c>
      <c r="K418" s="57" t="s">
        <v>22</v>
      </c>
      <c r="L418" s="57" t="s">
        <v>23</v>
      </c>
      <c r="M418" s="53">
        <f>48154000-42000</f>
        <v>48112000</v>
      </c>
      <c r="N418" s="58" t="s">
        <v>154</v>
      </c>
      <c r="O418" s="58" t="s">
        <v>155</v>
      </c>
      <c r="P418" s="58" t="s">
        <v>26</v>
      </c>
    </row>
    <row r="419" spans="1:16" s="19" customFormat="1" ht="84" x14ac:dyDescent="0.35">
      <c r="A419" s="49">
        <v>20240308</v>
      </c>
      <c r="B419" s="49">
        <v>7658</v>
      </c>
      <c r="C419" s="50" t="s">
        <v>82</v>
      </c>
      <c r="D419" s="57" t="s">
        <v>152</v>
      </c>
      <c r="E419" s="58">
        <v>80111600</v>
      </c>
      <c r="F419" s="57" t="s">
        <v>159</v>
      </c>
      <c r="G419" s="51">
        <v>45306</v>
      </c>
      <c r="H419" s="59">
        <v>45314</v>
      </c>
      <c r="I419" s="52">
        <v>9</v>
      </c>
      <c r="J419" s="57" t="s">
        <v>21</v>
      </c>
      <c r="K419" s="57" t="s">
        <v>22</v>
      </c>
      <c r="L419" s="57" t="s">
        <v>23</v>
      </c>
      <c r="M419" s="53">
        <v>44829000</v>
      </c>
      <c r="N419" s="58" t="s">
        <v>154</v>
      </c>
      <c r="O419" s="58" t="s">
        <v>155</v>
      </c>
      <c r="P419" s="58" t="s">
        <v>26</v>
      </c>
    </row>
    <row r="420" spans="1:16" s="19" customFormat="1" ht="84" x14ac:dyDescent="0.35">
      <c r="A420" s="49">
        <v>20240309</v>
      </c>
      <c r="B420" s="49">
        <v>7658</v>
      </c>
      <c r="C420" s="50" t="s">
        <v>82</v>
      </c>
      <c r="D420" s="57" t="s">
        <v>152</v>
      </c>
      <c r="E420" s="58">
        <v>80111600</v>
      </c>
      <c r="F420" s="57" t="s">
        <v>162</v>
      </c>
      <c r="G420" s="51">
        <v>45306</v>
      </c>
      <c r="H420" s="59">
        <v>45314</v>
      </c>
      <c r="I420" s="52">
        <v>8</v>
      </c>
      <c r="J420" s="57" t="s">
        <v>21</v>
      </c>
      <c r="K420" s="57" t="s">
        <v>22</v>
      </c>
      <c r="L420" s="57" t="s">
        <v>23</v>
      </c>
      <c r="M420" s="53">
        <f>43772000-4000</f>
        <v>43768000</v>
      </c>
      <c r="N420" s="58" t="s">
        <v>154</v>
      </c>
      <c r="O420" s="58" t="s">
        <v>155</v>
      </c>
      <c r="P420" s="58" t="s">
        <v>26</v>
      </c>
    </row>
    <row r="421" spans="1:16" s="19" customFormat="1" ht="84" x14ac:dyDescent="0.35">
      <c r="A421" s="49">
        <v>20240310</v>
      </c>
      <c r="B421" s="49">
        <v>7658</v>
      </c>
      <c r="C421" s="50" t="s">
        <v>82</v>
      </c>
      <c r="D421" s="57" t="s">
        <v>152</v>
      </c>
      <c r="E421" s="58">
        <v>80111600</v>
      </c>
      <c r="F421" s="57" t="s">
        <v>163</v>
      </c>
      <c r="G421" s="51">
        <v>45306</v>
      </c>
      <c r="H421" s="59">
        <v>45314</v>
      </c>
      <c r="I421" s="52">
        <v>9</v>
      </c>
      <c r="J421" s="57" t="s">
        <v>21</v>
      </c>
      <c r="K421" s="57" t="s">
        <v>22</v>
      </c>
      <c r="L421" s="57" t="s">
        <v>23</v>
      </c>
      <c r="M421" s="53">
        <f>43772000-4000</f>
        <v>43768000</v>
      </c>
      <c r="N421" s="58" t="s">
        <v>154</v>
      </c>
      <c r="O421" s="58" t="s">
        <v>155</v>
      </c>
      <c r="P421" s="58" t="s">
        <v>26</v>
      </c>
    </row>
    <row r="422" spans="1:16" s="19" customFormat="1" ht="84" x14ac:dyDescent="0.35">
      <c r="A422" s="49">
        <v>20240311</v>
      </c>
      <c r="B422" s="49">
        <v>7658</v>
      </c>
      <c r="C422" s="50" t="s">
        <v>82</v>
      </c>
      <c r="D422" s="57" t="s">
        <v>152</v>
      </c>
      <c r="E422" s="58">
        <v>80111600</v>
      </c>
      <c r="F422" s="57" t="s">
        <v>164</v>
      </c>
      <c r="G422" s="51">
        <v>45306</v>
      </c>
      <c r="H422" s="59">
        <v>45314</v>
      </c>
      <c r="I422" s="52">
        <v>9</v>
      </c>
      <c r="J422" s="57" t="s">
        <v>21</v>
      </c>
      <c r="K422" s="57" t="s">
        <v>22</v>
      </c>
      <c r="L422" s="57" t="s">
        <v>23</v>
      </c>
      <c r="M422" s="53">
        <f>37315000-32000</f>
        <v>37283000</v>
      </c>
      <c r="N422" s="58" t="s">
        <v>154</v>
      </c>
      <c r="O422" s="58" t="s">
        <v>155</v>
      </c>
      <c r="P422" s="58" t="s">
        <v>26</v>
      </c>
    </row>
    <row r="423" spans="1:16" s="19" customFormat="1" ht="84" x14ac:dyDescent="0.35">
      <c r="A423" s="49">
        <v>20240312</v>
      </c>
      <c r="B423" s="49">
        <v>7658</v>
      </c>
      <c r="C423" s="50" t="s">
        <v>82</v>
      </c>
      <c r="D423" s="57" t="s">
        <v>152</v>
      </c>
      <c r="E423" s="58">
        <v>80111600</v>
      </c>
      <c r="F423" s="57" t="s">
        <v>165</v>
      </c>
      <c r="G423" s="51">
        <v>45306</v>
      </c>
      <c r="H423" s="59">
        <v>45314</v>
      </c>
      <c r="I423" s="52">
        <v>9</v>
      </c>
      <c r="J423" s="57" t="s">
        <v>21</v>
      </c>
      <c r="K423" s="57" t="s">
        <v>22</v>
      </c>
      <c r="L423" s="57" t="s">
        <v>23</v>
      </c>
      <c r="M423" s="53">
        <v>36769000</v>
      </c>
      <c r="N423" s="58" t="s">
        <v>154</v>
      </c>
      <c r="O423" s="58" t="s">
        <v>155</v>
      </c>
      <c r="P423" s="58" t="s">
        <v>26</v>
      </c>
    </row>
    <row r="424" spans="1:16" s="19" customFormat="1" ht="84" x14ac:dyDescent="0.35">
      <c r="A424" s="49">
        <v>20240313</v>
      </c>
      <c r="B424" s="49">
        <v>7658</v>
      </c>
      <c r="C424" s="50" t="s">
        <v>82</v>
      </c>
      <c r="D424" s="57" t="s">
        <v>152</v>
      </c>
      <c r="E424" s="58">
        <v>80111600</v>
      </c>
      <c r="F424" s="57" t="s">
        <v>166</v>
      </c>
      <c r="G424" s="51">
        <v>45306</v>
      </c>
      <c r="H424" s="59">
        <v>45314</v>
      </c>
      <c r="I424" s="52">
        <v>9</v>
      </c>
      <c r="J424" s="57" t="s">
        <v>21</v>
      </c>
      <c r="K424" s="57" t="s">
        <v>22</v>
      </c>
      <c r="L424" s="57" t="s">
        <v>23</v>
      </c>
      <c r="M424" s="53">
        <v>36769000</v>
      </c>
      <c r="N424" s="58" t="s">
        <v>154</v>
      </c>
      <c r="O424" s="58" t="s">
        <v>155</v>
      </c>
      <c r="P424" s="58" t="s">
        <v>26</v>
      </c>
    </row>
    <row r="425" spans="1:16" s="19" customFormat="1" ht="84" x14ac:dyDescent="0.35">
      <c r="A425" s="49">
        <v>20240314</v>
      </c>
      <c r="B425" s="49">
        <v>7658</v>
      </c>
      <c r="C425" s="50" t="s">
        <v>82</v>
      </c>
      <c r="D425" s="57" t="s">
        <v>152</v>
      </c>
      <c r="E425" s="58">
        <v>80111600</v>
      </c>
      <c r="F425" s="57" t="s">
        <v>167</v>
      </c>
      <c r="G425" s="51">
        <v>45306</v>
      </c>
      <c r="H425" s="59">
        <v>45314</v>
      </c>
      <c r="I425" s="52">
        <v>9</v>
      </c>
      <c r="J425" s="57" t="s">
        <v>21</v>
      </c>
      <c r="K425" s="57" t="s">
        <v>22</v>
      </c>
      <c r="L425" s="57" t="s">
        <v>23</v>
      </c>
      <c r="M425" s="53">
        <f>32564000-1064000</f>
        <v>31500000</v>
      </c>
      <c r="N425" s="58" t="s">
        <v>154</v>
      </c>
      <c r="O425" s="58" t="s">
        <v>155</v>
      </c>
      <c r="P425" s="58" t="s">
        <v>26</v>
      </c>
    </row>
    <row r="426" spans="1:16" s="19" customFormat="1" ht="84" x14ac:dyDescent="0.35">
      <c r="A426" s="49">
        <v>20240315</v>
      </c>
      <c r="B426" s="49">
        <v>7658</v>
      </c>
      <c r="C426" s="50" t="s">
        <v>82</v>
      </c>
      <c r="D426" s="57" t="s">
        <v>152</v>
      </c>
      <c r="E426" s="58">
        <v>80111600</v>
      </c>
      <c r="F426" s="57" t="s">
        <v>168</v>
      </c>
      <c r="G426" s="51">
        <v>45306</v>
      </c>
      <c r="H426" s="59">
        <v>45314</v>
      </c>
      <c r="I426" s="52">
        <v>9</v>
      </c>
      <c r="J426" s="57" t="s">
        <v>21</v>
      </c>
      <c r="K426" s="57" t="s">
        <v>22</v>
      </c>
      <c r="L426" s="57" t="s">
        <v>23</v>
      </c>
      <c r="M426" s="53">
        <v>32564000</v>
      </c>
      <c r="N426" s="58" t="s">
        <v>154</v>
      </c>
      <c r="O426" s="58" t="s">
        <v>155</v>
      </c>
      <c r="P426" s="58" t="s">
        <v>26</v>
      </c>
    </row>
    <row r="427" spans="1:16" s="19" customFormat="1" ht="84" x14ac:dyDescent="0.35">
      <c r="A427" s="49">
        <v>20240316</v>
      </c>
      <c r="B427" s="49">
        <v>7658</v>
      </c>
      <c r="C427" s="50" t="s">
        <v>82</v>
      </c>
      <c r="D427" s="57" t="s">
        <v>152</v>
      </c>
      <c r="E427" s="58">
        <v>80111600</v>
      </c>
      <c r="F427" s="57" t="s">
        <v>170</v>
      </c>
      <c r="G427" s="51">
        <v>45306</v>
      </c>
      <c r="H427" s="59">
        <v>45314</v>
      </c>
      <c r="I427" s="52">
        <v>9</v>
      </c>
      <c r="J427" s="57" t="s">
        <v>21</v>
      </c>
      <c r="K427" s="57" t="s">
        <v>22</v>
      </c>
      <c r="L427" s="57" t="s">
        <v>23</v>
      </c>
      <c r="M427" s="53">
        <v>28014000</v>
      </c>
      <c r="N427" s="58" t="s">
        <v>154</v>
      </c>
      <c r="O427" s="58" t="s">
        <v>155</v>
      </c>
      <c r="P427" s="58" t="s">
        <v>26</v>
      </c>
    </row>
    <row r="428" spans="1:16" s="19" customFormat="1" ht="84" x14ac:dyDescent="0.35">
      <c r="A428" s="49">
        <v>20240317</v>
      </c>
      <c r="B428" s="49">
        <v>7658</v>
      </c>
      <c r="C428" s="50" t="s">
        <v>82</v>
      </c>
      <c r="D428" s="57" t="s">
        <v>152</v>
      </c>
      <c r="E428" s="58">
        <v>80111600</v>
      </c>
      <c r="F428" s="57" t="s">
        <v>172</v>
      </c>
      <c r="G428" s="51">
        <v>45306</v>
      </c>
      <c r="H428" s="59">
        <v>45314</v>
      </c>
      <c r="I428" s="52">
        <v>9</v>
      </c>
      <c r="J428" s="57" t="s">
        <v>21</v>
      </c>
      <c r="K428" s="57" t="s">
        <v>22</v>
      </c>
      <c r="L428" s="57" t="s">
        <v>23</v>
      </c>
      <c r="M428" s="53">
        <f>20724000-4000</f>
        <v>20720000</v>
      </c>
      <c r="N428" s="58" t="s">
        <v>154</v>
      </c>
      <c r="O428" s="58" t="s">
        <v>155</v>
      </c>
      <c r="P428" s="58" t="s">
        <v>26</v>
      </c>
    </row>
    <row r="429" spans="1:16" s="19" customFormat="1" ht="84" x14ac:dyDescent="0.35">
      <c r="A429" s="49">
        <v>20240318</v>
      </c>
      <c r="B429" s="49">
        <v>7658</v>
      </c>
      <c r="C429" s="50" t="s">
        <v>82</v>
      </c>
      <c r="D429" s="57" t="s">
        <v>152</v>
      </c>
      <c r="E429" s="58">
        <v>80111600</v>
      </c>
      <c r="F429" s="57" t="s">
        <v>172</v>
      </c>
      <c r="G429" s="51">
        <v>45306</v>
      </c>
      <c r="H429" s="59">
        <v>45314</v>
      </c>
      <c r="I429" s="52">
        <v>9</v>
      </c>
      <c r="J429" s="57" t="s">
        <v>21</v>
      </c>
      <c r="K429" s="57" t="s">
        <v>22</v>
      </c>
      <c r="L429" s="57" t="s">
        <v>23</v>
      </c>
      <c r="M429" s="53">
        <v>20724000</v>
      </c>
      <c r="N429" s="58" t="s">
        <v>154</v>
      </c>
      <c r="O429" s="58" t="s">
        <v>155</v>
      </c>
      <c r="P429" s="58" t="s">
        <v>26</v>
      </c>
    </row>
    <row r="430" spans="1:16" s="19" customFormat="1" ht="70" x14ac:dyDescent="0.35">
      <c r="A430" s="49">
        <v>20240319</v>
      </c>
      <c r="B430" s="49">
        <v>131</v>
      </c>
      <c r="C430" s="50" t="s">
        <v>403</v>
      </c>
      <c r="D430" s="57" t="s">
        <v>92</v>
      </c>
      <c r="E430" s="58">
        <v>78181505</v>
      </c>
      <c r="F430" s="57" t="s">
        <v>557</v>
      </c>
      <c r="G430" s="51">
        <v>45306</v>
      </c>
      <c r="H430" s="59">
        <v>45311</v>
      </c>
      <c r="I430" s="52">
        <v>12</v>
      </c>
      <c r="J430" s="57" t="s">
        <v>36</v>
      </c>
      <c r="K430" s="57" t="s">
        <v>22</v>
      </c>
      <c r="L430" s="57" t="s">
        <v>66</v>
      </c>
      <c r="M430" s="53">
        <f>30000000-3000000</f>
        <v>27000000</v>
      </c>
      <c r="N430" s="58" t="s">
        <v>598</v>
      </c>
      <c r="O430" s="58" t="s">
        <v>598</v>
      </c>
      <c r="P430" s="58" t="s">
        <v>26</v>
      </c>
    </row>
    <row r="431" spans="1:16" s="19" customFormat="1" ht="84" x14ac:dyDescent="0.35">
      <c r="A431" s="49">
        <v>20240320</v>
      </c>
      <c r="B431" s="49">
        <v>7658</v>
      </c>
      <c r="C431" s="50" t="s">
        <v>82</v>
      </c>
      <c r="D431" s="57" t="s">
        <v>248</v>
      </c>
      <c r="E431" s="58">
        <v>80111600</v>
      </c>
      <c r="F431" s="57" t="s">
        <v>268</v>
      </c>
      <c r="G431" s="51">
        <v>45306</v>
      </c>
      <c r="H431" s="59">
        <v>45316</v>
      </c>
      <c r="I431" s="52">
        <v>10</v>
      </c>
      <c r="J431" s="57" t="s">
        <v>21</v>
      </c>
      <c r="K431" s="57" t="s">
        <v>22</v>
      </c>
      <c r="L431" s="57" t="s">
        <v>23</v>
      </c>
      <c r="M431" s="53">
        <f>40700000-5866667</f>
        <v>34833333</v>
      </c>
      <c r="N431" s="58" t="s">
        <v>249</v>
      </c>
      <c r="O431" s="58" t="s">
        <v>25</v>
      </c>
      <c r="P431" s="58" t="s">
        <v>26</v>
      </c>
    </row>
    <row r="432" spans="1:16" s="19" customFormat="1" ht="56" x14ac:dyDescent="0.35">
      <c r="A432" s="49">
        <v>20240321</v>
      </c>
      <c r="B432" s="49">
        <v>7655</v>
      </c>
      <c r="C432" s="50" t="s">
        <v>18</v>
      </c>
      <c r="D432" s="57" t="s">
        <v>106</v>
      </c>
      <c r="E432" s="58">
        <v>80111600</v>
      </c>
      <c r="F432" s="57" t="s">
        <v>109</v>
      </c>
      <c r="G432" s="51">
        <v>45308</v>
      </c>
      <c r="H432" s="59">
        <v>45308</v>
      </c>
      <c r="I432" s="52">
        <v>11</v>
      </c>
      <c r="J432" s="57" t="s">
        <v>21</v>
      </c>
      <c r="K432" s="57" t="s">
        <v>22</v>
      </c>
      <c r="L432" s="57" t="s">
        <v>29</v>
      </c>
      <c r="M432" s="53">
        <f>44650000+7050000</f>
        <v>51700000</v>
      </c>
      <c r="N432" s="58" t="s">
        <v>24</v>
      </c>
      <c r="O432" s="58" t="s">
        <v>80</v>
      </c>
      <c r="P432" s="58" t="s">
        <v>26</v>
      </c>
    </row>
    <row r="433" spans="1:16" s="19" customFormat="1" ht="70" x14ac:dyDescent="0.35">
      <c r="A433" s="49">
        <v>20240322</v>
      </c>
      <c r="B433" s="49">
        <v>7637</v>
      </c>
      <c r="C433" s="50" t="s">
        <v>183</v>
      </c>
      <c r="D433" s="57" t="s">
        <v>222</v>
      </c>
      <c r="E433" s="58" t="s">
        <v>432</v>
      </c>
      <c r="F433" s="57" t="s">
        <v>204</v>
      </c>
      <c r="G433" s="51">
        <v>45313</v>
      </c>
      <c r="H433" s="59">
        <v>45358</v>
      </c>
      <c r="I433" s="52">
        <v>8</v>
      </c>
      <c r="J433" s="57" t="s">
        <v>97</v>
      </c>
      <c r="K433" s="57" t="s">
        <v>22</v>
      </c>
      <c r="L433" s="57" t="s">
        <v>191</v>
      </c>
      <c r="M433" s="53">
        <v>80000000</v>
      </c>
      <c r="N433" s="58" t="s">
        <v>187</v>
      </c>
      <c r="O433" s="58" t="s">
        <v>188</v>
      </c>
      <c r="P433" s="58" t="s">
        <v>26</v>
      </c>
    </row>
    <row r="434" spans="1:16" s="19" customFormat="1" ht="70" x14ac:dyDescent="0.35">
      <c r="A434" s="49">
        <v>20240323</v>
      </c>
      <c r="B434" s="49">
        <v>7637</v>
      </c>
      <c r="C434" s="50" t="s">
        <v>183</v>
      </c>
      <c r="D434" s="57" t="s">
        <v>222</v>
      </c>
      <c r="E434" s="58">
        <v>81112200</v>
      </c>
      <c r="F434" s="57" t="s">
        <v>212</v>
      </c>
      <c r="G434" s="51">
        <v>45313</v>
      </c>
      <c r="H434" s="59">
        <v>45359</v>
      </c>
      <c r="I434" s="52">
        <v>9</v>
      </c>
      <c r="J434" s="57" t="s">
        <v>97</v>
      </c>
      <c r="K434" s="57" t="s">
        <v>22</v>
      </c>
      <c r="L434" s="57" t="s">
        <v>191</v>
      </c>
      <c r="M434" s="53">
        <f>57000000+7243900</f>
        <v>64243900</v>
      </c>
      <c r="N434" s="58" t="s">
        <v>187</v>
      </c>
      <c r="O434" s="58" t="s">
        <v>188</v>
      </c>
      <c r="P434" s="58" t="s">
        <v>26</v>
      </c>
    </row>
    <row r="435" spans="1:16" s="19" customFormat="1" ht="70" x14ac:dyDescent="0.35">
      <c r="A435" s="49">
        <v>20240324</v>
      </c>
      <c r="B435" s="49">
        <v>7637</v>
      </c>
      <c r="C435" s="50" t="s">
        <v>183</v>
      </c>
      <c r="D435" s="57" t="s">
        <v>222</v>
      </c>
      <c r="E435" s="58" t="s">
        <v>215</v>
      </c>
      <c r="F435" s="57" t="s">
        <v>216</v>
      </c>
      <c r="G435" s="51">
        <v>45313</v>
      </c>
      <c r="H435" s="59">
        <v>45348</v>
      </c>
      <c r="I435" s="52">
        <v>12</v>
      </c>
      <c r="J435" s="57" t="s">
        <v>36</v>
      </c>
      <c r="K435" s="57" t="s">
        <v>22</v>
      </c>
      <c r="L435" s="57" t="s">
        <v>186</v>
      </c>
      <c r="M435" s="53">
        <v>6400000</v>
      </c>
      <c r="N435" s="58" t="s">
        <v>187</v>
      </c>
      <c r="O435" s="58" t="s">
        <v>188</v>
      </c>
      <c r="P435" s="58" t="s">
        <v>26</v>
      </c>
    </row>
    <row r="436" spans="1:16" s="19" customFormat="1" ht="56" x14ac:dyDescent="0.35">
      <c r="A436" s="49">
        <v>20240325</v>
      </c>
      <c r="B436" s="49">
        <v>7655</v>
      </c>
      <c r="C436" s="50" t="s">
        <v>18</v>
      </c>
      <c r="D436" s="57" t="s">
        <v>106</v>
      </c>
      <c r="E436" s="58">
        <v>80111600</v>
      </c>
      <c r="F436" s="57" t="s">
        <v>108</v>
      </c>
      <c r="G436" s="51">
        <v>45313</v>
      </c>
      <c r="H436" s="59">
        <v>45313</v>
      </c>
      <c r="I436" s="54">
        <v>9.5</v>
      </c>
      <c r="J436" s="57" t="s">
        <v>21</v>
      </c>
      <c r="K436" s="57" t="s">
        <v>22</v>
      </c>
      <c r="L436" s="57" t="s">
        <v>29</v>
      </c>
      <c r="M436" s="53">
        <f>79900000+5600000</f>
        <v>85500000</v>
      </c>
      <c r="N436" s="58" t="s">
        <v>24</v>
      </c>
      <c r="O436" s="58" t="s">
        <v>80</v>
      </c>
      <c r="P436" s="58" t="s">
        <v>26</v>
      </c>
    </row>
    <row r="437" spans="1:16" s="19" customFormat="1" ht="56" x14ac:dyDescent="0.35">
      <c r="A437" s="49">
        <v>20240327</v>
      </c>
      <c r="B437" s="49">
        <v>7655</v>
      </c>
      <c r="C437" s="50" t="s">
        <v>18</v>
      </c>
      <c r="D437" s="57" t="s">
        <v>106</v>
      </c>
      <c r="E437" s="58">
        <v>80111600</v>
      </c>
      <c r="F437" s="57" t="s">
        <v>115</v>
      </c>
      <c r="G437" s="51">
        <v>45313</v>
      </c>
      <c r="H437" s="59">
        <v>45313</v>
      </c>
      <c r="I437" s="54">
        <v>9.5</v>
      </c>
      <c r="J437" s="57" t="s">
        <v>21</v>
      </c>
      <c r="K437" s="57" t="s">
        <v>22</v>
      </c>
      <c r="L437" s="57" t="s">
        <v>23</v>
      </c>
      <c r="M437" s="53">
        <v>29450000</v>
      </c>
      <c r="N437" s="58" t="s">
        <v>24</v>
      </c>
      <c r="O437" s="58" t="s">
        <v>80</v>
      </c>
      <c r="P437" s="58" t="s">
        <v>26</v>
      </c>
    </row>
    <row r="438" spans="1:16" s="19" customFormat="1" ht="112" x14ac:dyDescent="0.35">
      <c r="A438" s="49">
        <v>20240328</v>
      </c>
      <c r="B438" s="49">
        <v>131</v>
      </c>
      <c r="C438" s="50" t="s">
        <v>403</v>
      </c>
      <c r="D438" s="57" t="s">
        <v>152</v>
      </c>
      <c r="E438" s="58">
        <v>84131600</v>
      </c>
      <c r="F438" s="57" t="s">
        <v>477</v>
      </c>
      <c r="G438" s="51">
        <v>45321</v>
      </c>
      <c r="H438" s="59">
        <v>45337</v>
      </c>
      <c r="I438" s="52">
        <v>2</v>
      </c>
      <c r="J438" s="57" t="s">
        <v>88</v>
      </c>
      <c r="K438" s="57" t="s">
        <v>22</v>
      </c>
      <c r="L438" s="57" t="s">
        <v>66</v>
      </c>
      <c r="M438" s="53">
        <v>0</v>
      </c>
      <c r="N438" s="58" t="s">
        <v>598</v>
      </c>
      <c r="O438" s="58" t="s">
        <v>598</v>
      </c>
      <c r="P438" s="58" t="s">
        <v>26</v>
      </c>
    </row>
    <row r="439" spans="1:16" s="19" customFormat="1" ht="70" x14ac:dyDescent="0.35">
      <c r="A439" s="49">
        <v>20240329</v>
      </c>
      <c r="B439" s="49">
        <v>7658</v>
      </c>
      <c r="C439" s="50" t="s">
        <v>82</v>
      </c>
      <c r="D439" s="57" t="s">
        <v>116</v>
      </c>
      <c r="E439" s="58">
        <v>80111600</v>
      </c>
      <c r="F439" s="57" t="s">
        <v>117</v>
      </c>
      <c r="G439" s="51">
        <v>45322</v>
      </c>
      <c r="H439" s="59">
        <v>45351</v>
      </c>
      <c r="I439" s="52">
        <v>8</v>
      </c>
      <c r="J439" s="57" t="s">
        <v>49</v>
      </c>
      <c r="K439" s="57" t="s">
        <v>22</v>
      </c>
      <c r="L439" s="57" t="s">
        <v>23</v>
      </c>
      <c r="M439" s="53">
        <f>800000000-75735381</f>
        <v>724264619</v>
      </c>
      <c r="N439" s="58" t="s">
        <v>118</v>
      </c>
      <c r="O439" s="58" t="s">
        <v>119</v>
      </c>
      <c r="P439" s="58" t="s">
        <v>26</v>
      </c>
    </row>
    <row r="440" spans="1:16" s="19" customFormat="1" ht="84" x14ac:dyDescent="0.35">
      <c r="A440" s="49">
        <v>20240330</v>
      </c>
      <c r="B440" s="49">
        <v>7658</v>
      </c>
      <c r="C440" s="50" t="s">
        <v>82</v>
      </c>
      <c r="D440" s="57" t="s">
        <v>116</v>
      </c>
      <c r="E440" s="58" t="s">
        <v>584</v>
      </c>
      <c r="F440" s="57" t="s">
        <v>120</v>
      </c>
      <c r="G440" s="51">
        <v>45322</v>
      </c>
      <c r="H440" s="59">
        <v>45351</v>
      </c>
      <c r="I440" s="52">
        <v>12</v>
      </c>
      <c r="J440" s="57" t="s">
        <v>358</v>
      </c>
      <c r="K440" s="57" t="s">
        <v>22</v>
      </c>
      <c r="L440" s="57" t="s">
        <v>23</v>
      </c>
      <c r="M440" s="53">
        <f>200000000+100000000+50000000+30000000</f>
        <v>380000000</v>
      </c>
      <c r="N440" s="58" t="s">
        <v>118</v>
      </c>
      <c r="O440" s="58" t="s">
        <v>119</v>
      </c>
      <c r="P440" s="58" t="s">
        <v>26</v>
      </c>
    </row>
    <row r="441" spans="1:16" s="19" customFormat="1" ht="70" x14ac:dyDescent="0.35">
      <c r="A441" s="49">
        <v>20240331</v>
      </c>
      <c r="B441" s="49">
        <v>7658</v>
      </c>
      <c r="C441" s="50" t="s">
        <v>82</v>
      </c>
      <c r="D441" s="57" t="s">
        <v>116</v>
      </c>
      <c r="E441" s="58">
        <v>80111600</v>
      </c>
      <c r="F441" s="57" t="s">
        <v>122</v>
      </c>
      <c r="G441" s="51">
        <v>45322</v>
      </c>
      <c r="H441" s="59">
        <v>45351</v>
      </c>
      <c r="I441" s="52">
        <v>3</v>
      </c>
      <c r="J441" s="57" t="s">
        <v>97</v>
      </c>
      <c r="K441" s="57" t="s">
        <v>22</v>
      </c>
      <c r="L441" s="57" t="s">
        <v>23</v>
      </c>
      <c r="M441" s="53">
        <v>80000000</v>
      </c>
      <c r="N441" s="58" t="s">
        <v>118</v>
      </c>
      <c r="O441" s="58" t="s">
        <v>119</v>
      </c>
      <c r="P441" s="58" t="s">
        <v>26</v>
      </c>
    </row>
    <row r="442" spans="1:16" s="19" customFormat="1" ht="70" x14ac:dyDescent="0.35">
      <c r="A442" s="49">
        <v>20240332</v>
      </c>
      <c r="B442" s="49">
        <v>7658</v>
      </c>
      <c r="C442" s="50" t="s">
        <v>82</v>
      </c>
      <c r="D442" s="57" t="s">
        <v>116</v>
      </c>
      <c r="E442" s="58">
        <v>80111600</v>
      </c>
      <c r="F442" s="57" t="s">
        <v>127</v>
      </c>
      <c r="G442" s="51">
        <v>45322</v>
      </c>
      <c r="H442" s="59">
        <v>45351</v>
      </c>
      <c r="I442" s="52">
        <v>10</v>
      </c>
      <c r="J442" s="57" t="s">
        <v>21</v>
      </c>
      <c r="K442" s="57" t="s">
        <v>22</v>
      </c>
      <c r="L442" s="57" t="s">
        <v>23</v>
      </c>
      <c r="M442" s="53">
        <v>55000000</v>
      </c>
      <c r="N442" s="58" t="s">
        <v>118</v>
      </c>
      <c r="O442" s="58" t="s">
        <v>119</v>
      </c>
      <c r="P442" s="58" t="s">
        <v>26</v>
      </c>
    </row>
    <row r="443" spans="1:16" s="19" customFormat="1" ht="70" x14ac:dyDescent="0.35">
      <c r="A443" s="49">
        <v>20240334</v>
      </c>
      <c r="B443" s="49">
        <v>7658</v>
      </c>
      <c r="C443" s="50" t="s">
        <v>82</v>
      </c>
      <c r="D443" s="57" t="s">
        <v>116</v>
      </c>
      <c r="E443" s="58">
        <v>80111600</v>
      </c>
      <c r="F443" s="57" t="s">
        <v>129</v>
      </c>
      <c r="G443" s="51">
        <v>45322</v>
      </c>
      <c r="H443" s="59">
        <v>45322</v>
      </c>
      <c r="I443" s="52">
        <v>10</v>
      </c>
      <c r="J443" s="57" t="s">
        <v>21</v>
      </c>
      <c r="K443" s="57" t="s">
        <v>22</v>
      </c>
      <c r="L443" s="57" t="s">
        <v>23</v>
      </c>
      <c r="M443" s="53">
        <f>50000000-25000000</f>
        <v>25000000</v>
      </c>
      <c r="N443" s="58" t="s">
        <v>118</v>
      </c>
      <c r="O443" s="58" t="s">
        <v>119</v>
      </c>
      <c r="P443" s="58" t="s">
        <v>26</v>
      </c>
    </row>
    <row r="444" spans="1:16" s="19" customFormat="1" ht="70" x14ac:dyDescent="0.35">
      <c r="A444" s="49">
        <v>20240336</v>
      </c>
      <c r="B444" s="49">
        <v>7658</v>
      </c>
      <c r="C444" s="50" t="s">
        <v>82</v>
      </c>
      <c r="D444" s="57" t="s">
        <v>116</v>
      </c>
      <c r="E444" s="58">
        <v>80111600</v>
      </c>
      <c r="F444" s="57" t="s">
        <v>132</v>
      </c>
      <c r="G444" s="51">
        <v>45322</v>
      </c>
      <c r="H444" s="59">
        <v>45322</v>
      </c>
      <c r="I444" s="52">
        <v>10</v>
      </c>
      <c r="J444" s="57" t="s">
        <v>21</v>
      </c>
      <c r="K444" s="57" t="s">
        <v>22</v>
      </c>
      <c r="L444" s="57" t="s">
        <v>23</v>
      </c>
      <c r="M444" s="53">
        <f>55000000-14550000</f>
        <v>40450000</v>
      </c>
      <c r="N444" s="58" t="s">
        <v>118</v>
      </c>
      <c r="O444" s="58" t="s">
        <v>119</v>
      </c>
      <c r="P444" s="58" t="s">
        <v>26</v>
      </c>
    </row>
    <row r="445" spans="1:16" s="19" customFormat="1" ht="70" x14ac:dyDescent="0.35">
      <c r="A445" s="49">
        <v>20240338</v>
      </c>
      <c r="B445" s="49">
        <v>7658</v>
      </c>
      <c r="C445" s="50" t="s">
        <v>82</v>
      </c>
      <c r="D445" s="57" t="s">
        <v>116</v>
      </c>
      <c r="E445" s="58">
        <v>80111600</v>
      </c>
      <c r="F445" s="57" t="s">
        <v>136</v>
      </c>
      <c r="G445" s="51">
        <v>45322</v>
      </c>
      <c r="H445" s="59">
        <v>45351</v>
      </c>
      <c r="I445" s="52">
        <v>10</v>
      </c>
      <c r="J445" s="57" t="s">
        <v>36</v>
      </c>
      <c r="K445" s="57" t="s">
        <v>22</v>
      </c>
      <c r="L445" s="57" t="s">
        <v>23</v>
      </c>
      <c r="M445" s="53">
        <v>40000000</v>
      </c>
      <c r="N445" s="58" t="s">
        <v>118</v>
      </c>
      <c r="O445" s="58" t="s">
        <v>119</v>
      </c>
      <c r="P445" s="58" t="s">
        <v>26</v>
      </c>
    </row>
    <row r="446" spans="1:16" s="19" customFormat="1" ht="70" x14ac:dyDescent="0.35">
      <c r="A446" s="49">
        <v>20240339</v>
      </c>
      <c r="B446" s="49">
        <v>7658</v>
      </c>
      <c r="C446" s="50" t="s">
        <v>82</v>
      </c>
      <c r="D446" s="57" t="s">
        <v>116</v>
      </c>
      <c r="E446" s="58">
        <v>80111600</v>
      </c>
      <c r="F446" s="57" t="s">
        <v>138</v>
      </c>
      <c r="G446" s="51">
        <v>45322</v>
      </c>
      <c r="H446" s="59">
        <v>45351</v>
      </c>
      <c r="I446" s="52">
        <v>10</v>
      </c>
      <c r="J446" s="57" t="s">
        <v>21</v>
      </c>
      <c r="K446" s="57" t="s">
        <v>22</v>
      </c>
      <c r="L446" s="57" t="s">
        <v>23</v>
      </c>
      <c r="M446" s="53">
        <v>40000000</v>
      </c>
      <c r="N446" s="58" t="s">
        <v>118</v>
      </c>
      <c r="O446" s="58" t="s">
        <v>119</v>
      </c>
      <c r="P446" s="58" t="s">
        <v>26</v>
      </c>
    </row>
    <row r="447" spans="1:16" s="19" customFormat="1" ht="70" x14ac:dyDescent="0.35">
      <c r="A447" s="49">
        <v>20240345</v>
      </c>
      <c r="B447" s="49">
        <v>7658</v>
      </c>
      <c r="C447" s="50" t="s">
        <v>82</v>
      </c>
      <c r="D447" s="57" t="s">
        <v>116</v>
      </c>
      <c r="E447" s="58">
        <v>80111600</v>
      </c>
      <c r="F447" s="57" t="s">
        <v>140</v>
      </c>
      <c r="G447" s="51">
        <v>45322</v>
      </c>
      <c r="H447" s="59">
        <v>45322</v>
      </c>
      <c r="I447" s="52">
        <v>10</v>
      </c>
      <c r="J447" s="57" t="s">
        <v>21</v>
      </c>
      <c r="K447" s="57" t="s">
        <v>22</v>
      </c>
      <c r="L447" s="57" t="s">
        <v>23</v>
      </c>
      <c r="M447" s="53">
        <v>30000000</v>
      </c>
      <c r="N447" s="58" t="s">
        <v>118</v>
      </c>
      <c r="O447" s="58" t="s">
        <v>119</v>
      </c>
      <c r="P447" s="58" t="s">
        <v>26</v>
      </c>
    </row>
    <row r="448" spans="1:16" s="19" customFormat="1" ht="70" x14ac:dyDescent="0.35">
      <c r="A448" s="49">
        <v>20240347</v>
      </c>
      <c r="B448" s="49">
        <v>7658</v>
      </c>
      <c r="C448" s="50" t="s">
        <v>82</v>
      </c>
      <c r="D448" s="57" t="s">
        <v>116</v>
      </c>
      <c r="E448" s="58">
        <v>80111600</v>
      </c>
      <c r="F448" s="57" t="s">
        <v>140</v>
      </c>
      <c r="G448" s="51">
        <v>45322</v>
      </c>
      <c r="H448" s="59">
        <v>45322</v>
      </c>
      <c r="I448" s="52">
        <v>10</v>
      </c>
      <c r="J448" s="57" t="s">
        <v>21</v>
      </c>
      <c r="K448" s="57" t="s">
        <v>22</v>
      </c>
      <c r="L448" s="57" t="s">
        <v>23</v>
      </c>
      <c r="M448" s="53">
        <v>30000000</v>
      </c>
      <c r="N448" s="58" t="s">
        <v>118</v>
      </c>
      <c r="O448" s="58" t="s">
        <v>119</v>
      </c>
      <c r="P448" s="58" t="s">
        <v>26</v>
      </c>
    </row>
    <row r="449" spans="1:16" s="19" customFormat="1" ht="70" x14ac:dyDescent="0.35">
      <c r="A449" s="49">
        <v>20240348</v>
      </c>
      <c r="B449" s="49">
        <v>7658</v>
      </c>
      <c r="C449" s="50" t="s">
        <v>82</v>
      </c>
      <c r="D449" s="57" t="s">
        <v>116</v>
      </c>
      <c r="E449" s="58">
        <v>80111600</v>
      </c>
      <c r="F449" s="57" t="s">
        <v>140</v>
      </c>
      <c r="G449" s="51">
        <v>45322</v>
      </c>
      <c r="H449" s="59">
        <v>45322</v>
      </c>
      <c r="I449" s="52">
        <v>10</v>
      </c>
      <c r="J449" s="57" t="s">
        <v>21</v>
      </c>
      <c r="K449" s="57" t="s">
        <v>22</v>
      </c>
      <c r="L449" s="57" t="s">
        <v>23</v>
      </c>
      <c r="M449" s="53">
        <v>30000000</v>
      </c>
      <c r="N449" s="58" t="s">
        <v>118</v>
      </c>
      <c r="O449" s="58" t="s">
        <v>119</v>
      </c>
      <c r="P449" s="58" t="s">
        <v>26</v>
      </c>
    </row>
    <row r="450" spans="1:16" s="19" customFormat="1" ht="70" x14ac:dyDescent="0.35">
      <c r="A450" s="49">
        <v>20240349</v>
      </c>
      <c r="B450" s="49">
        <v>7658</v>
      </c>
      <c r="C450" s="50" t="s">
        <v>82</v>
      </c>
      <c r="D450" s="57" t="s">
        <v>116</v>
      </c>
      <c r="E450" s="58">
        <v>80111600</v>
      </c>
      <c r="F450" s="57" t="s">
        <v>140</v>
      </c>
      <c r="G450" s="51">
        <v>45322</v>
      </c>
      <c r="H450" s="59">
        <v>45322</v>
      </c>
      <c r="I450" s="52">
        <v>10</v>
      </c>
      <c r="J450" s="57" t="s">
        <v>21</v>
      </c>
      <c r="K450" s="57" t="s">
        <v>22</v>
      </c>
      <c r="L450" s="57" t="s">
        <v>23</v>
      </c>
      <c r="M450" s="53">
        <v>30000000</v>
      </c>
      <c r="N450" s="58" t="s">
        <v>118</v>
      </c>
      <c r="O450" s="58" t="s">
        <v>119</v>
      </c>
      <c r="P450" s="58" t="s">
        <v>26</v>
      </c>
    </row>
    <row r="451" spans="1:16" s="19" customFormat="1" ht="70" x14ac:dyDescent="0.35">
      <c r="A451" s="49">
        <v>20240353</v>
      </c>
      <c r="B451" s="49">
        <v>7658</v>
      </c>
      <c r="C451" s="50" t="s">
        <v>82</v>
      </c>
      <c r="D451" s="57" t="s">
        <v>116</v>
      </c>
      <c r="E451" s="58">
        <v>80111600</v>
      </c>
      <c r="F451" s="57" t="s">
        <v>142</v>
      </c>
      <c r="G451" s="51">
        <v>45322</v>
      </c>
      <c r="H451" s="59">
        <v>45351</v>
      </c>
      <c r="I451" s="52">
        <v>10</v>
      </c>
      <c r="J451" s="57" t="s">
        <v>358</v>
      </c>
      <c r="K451" s="57" t="s">
        <v>22</v>
      </c>
      <c r="L451" s="57" t="s">
        <v>23</v>
      </c>
      <c r="M451" s="53">
        <v>20000000</v>
      </c>
      <c r="N451" s="58" t="s">
        <v>118</v>
      </c>
      <c r="O451" s="58" t="s">
        <v>119</v>
      </c>
      <c r="P451" s="58" t="s">
        <v>26</v>
      </c>
    </row>
    <row r="452" spans="1:16" s="19" customFormat="1" ht="42" x14ac:dyDescent="0.35">
      <c r="A452" s="49">
        <v>20240356</v>
      </c>
      <c r="B452" s="49">
        <v>131</v>
      </c>
      <c r="C452" s="50" t="s">
        <v>403</v>
      </c>
      <c r="D452" s="57" t="s">
        <v>222</v>
      </c>
      <c r="E452" s="58" t="s">
        <v>433</v>
      </c>
      <c r="F452" s="57" t="s">
        <v>399</v>
      </c>
      <c r="G452" s="51">
        <v>45323</v>
      </c>
      <c r="H452" s="59">
        <v>45352</v>
      </c>
      <c r="I452" s="52">
        <v>12</v>
      </c>
      <c r="J452" s="57" t="s">
        <v>21</v>
      </c>
      <c r="K452" s="57" t="s">
        <v>22</v>
      </c>
      <c r="L452" s="57" t="s">
        <v>66</v>
      </c>
      <c r="M452" s="53">
        <v>20000000</v>
      </c>
      <c r="N452" s="58" t="s">
        <v>598</v>
      </c>
      <c r="O452" s="58" t="s">
        <v>598</v>
      </c>
      <c r="P452" s="58" t="s">
        <v>26</v>
      </c>
    </row>
    <row r="453" spans="1:16" s="19" customFormat="1" ht="42" x14ac:dyDescent="0.35">
      <c r="A453" s="49">
        <v>20240357</v>
      </c>
      <c r="B453" s="49">
        <v>131</v>
      </c>
      <c r="C453" s="50" t="s">
        <v>403</v>
      </c>
      <c r="D453" s="57" t="s">
        <v>222</v>
      </c>
      <c r="E453" s="58">
        <v>81112222</v>
      </c>
      <c r="F453" s="57" t="s">
        <v>581</v>
      </c>
      <c r="G453" s="51">
        <v>45323</v>
      </c>
      <c r="H453" s="59">
        <v>45375</v>
      </c>
      <c r="I453" s="52">
        <v>12</v>
      </c>
      <c r="J453" s="57" t="s">
        <v>148</v>
      </c>
      <c r="K453" s="57" t="s">
        <v>22</v>
      </c>
      <c r="L453" s="57" t="s">
        <v>66</v>
      </c>
      <c r="M453" s="53">
        <v>35000000</v>
      </c>
      <c r="N453" s="58" t="s">
        <v>598</v>
      </c>
      <c r="O453" s="58" t="s">
        <v>598</v>
      </c>
      <c r="P453" s="58" t="s">
        <v>26</v>
      </c>
    </row>
    <row r="454" spans="1:16" s="19" customFormat="1" ht="56" x14ac:dyDescent="0.35">
      <c r="A454" s="49">
        <v>20240359</v>
      </c>
      <c r="B454" s="49">
        <v>7655</v>
      </c>
      <c r="C454" s="50" t="s">
        <v>18</v>
      </c>
      <c r="D454" s="57" t="s">
        <v>106</v>
      </c>
      <c r="E454" s="58">
        <v>80111600</v>
      </c>
      <c r="F454" s="57" t="s">
        <v>407</v>
      </c>
      <c r="G454" s="51">
        <v>45323</v>
      </c>
      <c r="H454" s="59">
        <v>45323</v>
      </c>
      <c r="I454" s="52">
        <v>11</v>
      </c>
      <c r="J454" s="57" t="s">
        <v>21</v>
      </c>
      <c r="K454" s="57" t="s">
        <v>22</v>
      </c>
      <c r="L454" s="57" t="s">
        <v>23</v>
      </c>
      <c r="M454" s="53">
        <f>53000000+5300000</f>
        <v>58300000</v>
      </c>
      <c r="N454" s="58" t="s">
        <v>24</v>
      </c>
      <c r="O454" s="58" t="s">
        <v>80</v>
      </c>
      <c r="P454" s="58" t="s">
        <v>26</v>
      </c>
    </row>
    <row r="455" spans="1:16" s="19" customFormat="1" ht="56" x14ac:dyDescent="0.35">
      <c r="A455" s="49">
        <v>20240360</v>
      </c>
      <c r="B455" s="49">
        <v>7655</v>
      </c>
      <c r="C455" s="50" t="s">
        <v>18</v>
      </c>
      <c r="D455" s="57" t="s">
        <v>106</v>
      </c>
      <c r="E455" s="58">
        <v>80111600</v>
      </c>
      <c r="F455" s="57" t="s">
        <v>109</v>
      </c>
      <c r="G455" s="51">
        <v>45323</v>
      </c>
      <c r="H455" s="59">
        <v>45323</v>
      </c>
      <c r="I455" s="52">
        <v>11</v>
      </c>
      <c r="J455" s="57" t="s">
        <v>21</v>
      </c>
      <c r="K455" s="57" t="s">
        <v>22</v>
      </c>
      <c r="L455" s="57" t="s">
        <v>29</v>
      </c>
      <c r="M455" s="53">
        <f>50258800+7931200</f>
        <v>58190000</v>
      </c>
      <c r="N455" s="58" t="s">
        <v>24</v>
      </c>
      <c r="O455" s="58" t="s">
        <v>80</v>
      </c>
      <c r="P455" s="58" t="s">
        <v>26</v>
      </c>
    </row>
    <row r="456" spans="1:16" s="19" customFormat="1" ht="84" x14ac:dyDescent="0.35">
      <c r="A456" s="49">
        <v>20240361</v>
      </c>
      <c r="B456" s="49">
        <v>7658</v>
      </c>
      <c r="C456" s="50" t="s">
        <v>82</v>
      </c>
      <c r="D456" s="57" t="s">
        <v>152</v>
      </c>
      <c r="E456" s="58">
        <v>80111600</v>
      </c>
      <c r="F456" s="57" t="s">
        <v>157</v>
      </c>
      <c r="G456" s="51">
        <v>45323</v>
      </c>
      <c r="H456" s="59">
        <v>45337</v>
      </c>
      <c r="I456" s="52">
        <v>10</v>
      </c>
      <c r="J456" s="57" t="s">
        <v>36</v>
      </c>
      <c r="K456" s="57" t="s">
        <v>22</v>
      </c>
      <c r="L456" s="57" t="s">
        <v>23</v>
      </c>
      <c r="M456" s="53">
        <v>18000000</v>
      </c>
      <c r="N456" s="58" t="s">
        <v>154</v>
      </c>
      <c r="O456" s="58" t="s">
        <v>155</v>
      </c>
      <c r="P456" s="58" t="s">
        <v>26</v>
      </c>
    </row>
    <row r="457" spans="1:16" s="19" customFormat="1" ht="70" x14ac:dyDescent="0.35">
      <c r="A457" s="49">
        <v>20240363</v>
      </c>
      <c r="B457" s="49">
        <v>7637</v>
      </c>
      <c r="C457" s="50" t="s">
        <v>183</v>
      </c>
      <c r="D457" s="57" t="s">
        <v>222</v>
      </c>
      <c r="E457" s="58" t="s">
        <v>434</v>
      </c>
      <c r="F457" s="57" t="s">
        <v>196</v>
      </c>
      <c r="G457" s="51">
        <v>45478</v>
      </c>
      <c r="H457" s="59">
        <v>45540</v>
      </c>
      <c r="I457" s="52">
        <v>4</v>
      </c>
      <c r="J457" s="57" t="s">
        <v>195</v>
      </c>
      <c r="K457" s="57" t="s">
        <v>22</v>
      </c>
      <c r="L457" s="57" t="s">
        <v>191</v>
      </c>
      <c r="M457" s="53">
        <f>200000000-105500000-90000000-2020000</f>
        <v>2480000</v>
      </c>
      <c r="N457" s="58" t="s">
        <v>187</v>
      </c>
      <c r="O457" s="58" t="s">
        <v>188</v>
      </c>
      <c r="P457" s="58" t="s">
        <v>26</v>
      </c>
    </row>
    <row r="458" spans="1:16" s="19" customFormat="1" ht="56" x14ac:dyDescent="0.35">
      <c r="A458" s="49">
        <v>20240364</v>
      </c>
      <c r="B458" s="49">
        <v>7655</v>
      </c>
      <c r="C458" s="50" t="s">
        <v>18</v>
      </c>
      <c r="D458" s="57" t="s">
        <v>106</v>
      </c>
      <c r="E458" s="58">
        <v>80111600</v>
      </c>
      <c r="F458" s="57" t="s">
        <v>107</v>
      </c>
      <c r="G458" s="51">
        <v>45327</v>
      </c>
      <c r="H458" s="59">
        <v>45327</v>
      </c>
      <c r="I458" s="54">
        <v>10.4</v>
      </c>
      <c r="J458" s="57" t="s">
        <v>21</v>
      </c>
      <c r="K458" s="57" t="s">
        <v>22</v>
      </c>
      <c r="L458" s="57" t="s">
        <v>29</v>
      </c>
      <c r="M458" s="53">
        <f>279650000+12825000</f>
        <v>292475000</v>
      </c>
      <c r="N458" s="58" t="s">
        <v>24</v>
      </c>
      <c r="O458" s="58" t="s">
        <v>80</v>
      </c>
      <c r="P458" s="58" t="s">
        <v>26</v>
      </c>
    </row>
    <row r="459" spans="1:16" s="19" customFormat="1" ht="70" x14ac:dyDescent="0.35">
      <c r="A459" s="49">
        <v>20240366</v>
      </c>
      <c r="B459" s="49">
        <v>7637</v>
      </c>
      <c r="C459" s="50" t="s">
        <v>183</v>
      </c>
      <c r="D459" s="57" t="s">
        <v>222</v>
      </c>
      <c r="E459" s="58">
        <v>80111600</v>
      </c>
      <c r="F459" s="57" t="s">
        <v>517</v>
      </c>
      <c r="G459" s="51">
        <v>45332</v>
      </c>
      <c r="H459" s="59">
        <v>45361</v>
      </c>
      <c r="I459" s="52">
        <v>5</v>
      </c>
      <c r="J459" s="57" t="s">
        <v>21</v>
      </c>
      <c r="K459" s="57" t="s">
        <v>22</v>
      </c>
      <c r="L459" s="57" t="s">
        <v>23</v>
      </c>
      <c r="M459" s="53">
        <f>29700000-900000-12800000</f>
        <v>16000000</v>
      </c>
      <c r="N459" s="58" t="s">
        <v>187</v>
      </c>
      <c r="O459" s="58" t="s">
        <v>188</v>
      </c>
      <c r="P459" s="58" t="s">
        <v>26</v>
      </c>
    </row>
    <row r="460" spans="1:16" s="19" customFormat="1" ht="70" x14ac:dyDescent="0.35">
      <c r="A460" s="49">
        <v>20240367</v>
      </c>
      <c r="B460" s="49">
        <v>7637</v>
      </c>
      <c r="C460" s="50" t="s">
        <v>183</v>
      </c>
      <c r="D460" s="57" t="s">
        <v>222</v>
      </c>
      <c r="E460" s="58" t="s">
        <v>189</v>
      </c>
      <c r="F460" s="57" t="s">
        <v>190</v>
      </c>
      <c r="G460" s="51">
        <v>45334</v>
      </c>
      <c r="H460" s="59">
        <v>45394</v>
      </c>
      <c r="I460" s="52">
        <v>8</v>
      </c>
      <c r="J460" s="57" t="s">
        <v>97</v>
      </c>
      <c r="K460" s="57" t="s">
        <v>22</v>
      </c>
      <c r="L460" s="57" t="s">
        <v>191</v>
      </c>
      <c r="M460" s="53">
        <v>300000000</v>
      </c>
      <c r="N460" s="58" t="s">
        <v>192</v>
      </c>
      <c r="O460" s="58" t="s">
        <v>188</v>
      </c>
      <c r="P460" s="58" t="s">
        <v>26</v>
      </c>
    </row>
    <row r="461" spans="1:16" s="19" customFormat="1" ht="70" x14ac:dyDescent="0.35">
      <c r="A461" s="49">
        <v>20240368</v>
      </c>
      <c r="B461" s="49">
        <v>7637</v>
      </c>
      <c r="C461" s="50" t="s">
        <v>183</v>
      </c>
      <c r="D461" s="57" t="s">
        <v>222</v>
      </c>
      <c r="E461" s="58">
        <v>43233205</v>
      </c>
      <c r="F461" s="57" t="s">
        <v>214</v>
      </c>
      <c r="G461" s="51">
        <v>45397</v>
      </c>
      <c r="H461" s="59">
        <v>45427</v>
      </c>
      <c r="I461" s="52">
        <v>12</v>
      </c>
      <c r="J461" s="57" t="s">
        <v>36</v>
      </c>
      <c r="K461" s="57" t="s">
        <v>22</v>
      </c>
      <c r="L461" s="57" t="s">
        <v>186</v>
      </c>
      <c r="M461" s="53">
        <v>48000000</v>
      </c>
      <c r="N461" s="58" t="s">
        <v>187</v>
      </c>
      <c r="O461" s="58" t="s">
        <v>188</v>
      </c>
      <c r="P461" s="58" t="s">
        <v>26</v>
      </c>
    </row>
    <row r="462" spans="1:16" s="19" customFormat="1" ht="56" x14ac:dyDescent="0.35">
      <c r="A462" s="49">
        <v>20240369</v>
      </c>
      <c r="B462" s="49">
        <v>7655</v>
      </c>
      <c r="C462" s="50" t="s">
        <v>18</v>
      </c>
      <c r="D462" s="57" t="s">
        <v>106</v>
      </c>
      <c r="E462" s="58">
        <v>80111600</v>
      </c>
      <c r="F462" s="57" t="s">
        <v>110</v>
      </c>
      <c r="G462" s="51">
        <v>45337</v>
      </c>
      <c r="H462" s="59">
        <v>45337</v>
      </c>
      <c r="I462" s="52">
        <v>10</v>
      </c>
      <c r="J462" s="57" t="s">
        <v>21</v>
      </c>
      <c r="K462" s="57" t="s">
        <v>22</v>
      </c>
      <c r="L462" s="57" t="s">
        <v>29</v>
      </c>
      <c r="M462" s="53">
        <f>70650000+7850000</f>
        <v>78500000</v>
      </c>
      <c r="N462" s="58" t="s">
        <v>24</v>
      </c>
      <c r="O462" s="58" t="s">
        <v>80</v>
      </c>
      <c r="P462" s="58" t="s">
        <v>26</v>
      </c>
    </row>
    <row r="463" spans="1:16" s="19" customFormat="1" ht="56" x14ac:dyDescent="0.35">
      <c r="A463" s="49">
        <v>20240370</v>
      </c>
      <c r="B463" s="49">
        <v>131</v>
      </c>
      <c r="C463" s="50" t="s">
        <v>403</v>
      </c>
      <c r="D463" s="57" t="s">
        <v>19</v>
      </c>
      <c r="E463" s="58" t="s">
        <v>435</v>
      </c>
      <c r="F463" s="57" t="s">
        <v>372</v>
      </c>
      <c r="G463" s="51">
        <v>45337</v>
      </c>
      <c r="H463" s="59">
        <v>45350</v>
      </c>
      <c r="I463" s="52">
        <v>11</v>
      </c>
      <c r="J463" s="57" t="s">
        <v>36</v>
      </c>
      <c r="K463" s="57" t="s">
        <v>22</v>
      </c>
      <c r="L463" s="57" t="s">
        <v>66</v>
      </c>
      <c r="M463" s="53">
        <f>80000000-24820000</f>
        <v>55180000</v>
      </c>
      <c r="N463" s="58" t="s">
        <v>598</v>
      </c>
      <c r="O463" s="58" t="s">
        <v>598</v>
      </c>
      <c r="P463" s="58" t="s">
        <v>26</v>
      </c>
    </row>
    <row r="464" spans="1:16" s="19" customFormat="1" ht="126" x14ac:dyDescent="0.35">
      <c r="A464" s="49">
        <v>20240371</v>
      </c>
      <c r="B464" s="49">
        <v>131</v>
      </c>
      <c r="C464" s="50" t="s">
        <v>403</v>
      </c>
      <c r="D464" s="57" t="s">
        <v>19</v>
      </c>
      <c r="E464" s="58">
        <v>78102206</v>
      </c>
      <c r="F464" s="57" t="s">
        <v>373</v>
      </c>
      <c r="G464" s="51">
        <v>45337</v>
      </c>
      <c r="H464" s="59">
        <v>45350</v>
      </c>
      <c r="I464" s="52">
        <v>11</v>
      </c>
      <c r="J464" s="57" t="s">
        <v>21</v>
      </c>
      <c r="K464" s="57" t="s">
        <v>22</v>
      </c>
      <c r="L464" s="57" t="s">
        <v>66</v>
      </c>
      <c r="M464" s="53">
        <f>100000000-10000000+10000000+46000000</f>
        <v>146000000</v>
      </c>
      <c r="N464" s="58" t="s">
        <v>598</v>
      </c>
      <c r="O464" s="58" t="s">
        <v>598</v>
      </c>
      <c r="P464" s="58" t="s">
        <v>26</v>
      </c>
    </row>
    <row r="465" spans="1:18" s="19" customFormat="1" ht="126" x14ac:dyDescent="0.35">
      <c r="A465" s="49">
        <v>20240372</v>
      </c>
      <c r="B465" s="49">
        <v>131</v>
      </c>
      <c r="C465" s="50" t="s">
        <v>403</v>
      </c>
      <c r="D465" s="57" t="s">
        <v>19</v>
      </c>
      <c r="E465" s="58" t="s">
        <v>436</v>
      </c>
      <c r="F465" s="57" t="s">
        <v>374</v>
      </c>
      <c r="G465" s="51">
        <v>45337</v>
      </c>
      <c r="H465" s="59">
        <v>45350</v>
      </c>
      <c r="I465" s="52">
        <v>12</v>
      </c>
      <c r="J465" s="57" t="s">
        <v>49</v>
      </c>
      <c r="K465" s="57" t="s">
        <v>22</v>
      </c>
      <c r="L465" s="57" t="s">
        <v>66</v>
      </c>
      <c r="M465" s="53">
        <v>6270000000</v>
      </c>
      <c r="N465" s="58" t="s">
        <v>598</v>
      </c>
      <c r="O465" s="58" t="s">
        <v>598</v>
      </c>
      <c r="P465" s="58" t="s">
        <v>26</v>
      </c>
    </row>
    <row r="466" spans="1:18" s="19" customFormat="1" ht="51.65" customHeight="1" x14ac:dyDescent="0.35">
      <c r="A466" s="49">
        <v>20240373</v>
      </c>
      <c r="B466" s="49">
        <v>131</v>
      </c>
      <c r="C466" s="50" t="s">
        <v>403</v>
      </c>
      <c r="D466" s="57" t="s">
        <v>19</v>
      </c>
      <c r="E466" s="58" t="s">
        <v>437</v>
      </c>
      <c r="F466" s="57" t="s">
        <v>379</v>
      </c>
      <c r="G466" s="51">
        <v>45337</v>
      </c>
      <c r="H466" s="59">
        <v>45350</v>
      </c>
      <c r="I466" s="52">
        <v>12</v>
      </c>
      <c r="J466" s="57" t="s">
        <v>21</v>
      </c>
      <c r="K466" s="57" t="s">
        <v>22</v>
      </c>
      <c r="L466" s="57" t="s">
        <v>66</v>
      </c>
      <c r="M466" s="53">
        <f>10000000-967969-669879</f>
        <v>8362152</v>
      </c>
      <c r="N466" s="58" t="s">
        <v>598</v>
      </c>
      <c r="O466" s="58" t="s">
        <v>598</v>
      </c>
      <c r="P466" s="58" t="s">
        <v>26</v>
      </c>
    </row>
    <row r="467" spans="1:18" s="19" customFormat="1" ht="42" x14ac:dyDescent="0.35">
      <c r="A467" s="49">
        <v>20240374</v>
      </c>
      <c r="B467" s="49">
        <v>131</v>
      </c>
      <c r="C467" s="50" t="s">
        <v>403</v>
      </c>
      <c r="D467" s="57" t="s">
        <v>19</v>
      </c>
      <c r="E467" s="58" t="s">
        <v>437</v>
      </c>
      <c r="F467" s="57" t="s">
        <v>380</v>
      </c>
      <c r="G467" s="51">
        <v>45337</v>
      </c>
      <c r="H467" s="59">
        <v>45350</v>
      </c>
      <c r="I467" s="52">
        <v>12</v>
      </c>
      <c r="J467" s="57" t="s">
        <v>21</v>
      </c>
      <c r="K467" s="57" t="s">
        <v>22</v>
      </c>
      <c r="L467" s="57" t="s">
        <v>66</v>
      </c>
      <c r="M467" s="53">
        <v>28000000</v>
      </c>
      <c r="N467" s="58" t="s">
        <v>598</v>
      </c>
      <c r="O467" s="58" t="s">
        <v>598</v>
      </c>
      <c r="P467" s="58" t="s">
        <v>26</v>
      </c>
    </row>
    <row r="468" spans="1:18" s="19" customFormat="1" ht="42" x14ac:dyDescent="0.35">
      <c r="A468" s="49">
        <v>20240375</v>
      </c>
      <c r="B468" s="49">
        <v>131</v>
      </c>
      <c r="C468" s="50" t="s">
        <v>403</v>
      </c>
      <c r="D468" s="57" t="s">
        <v>19</v>
      </c>
      <c r="E468" s="58" t="s">
        <v>437</v>
      </c>
      <c r="F468" s="57" t="s">
        <v>381</v>
      </c>
      <c r="G468" s="51">
        <v>45337</v>
      </c>
      <c r="H468" s="59">
        <v>45350</v>
      </c>
      <c r="I468" s="52">
        <v>12</v>
      </c>
      <c r="J468" s="57" t="s">
        <v>21</v>
      </c>
      <c r="K468" s="57" t="s">
        <v>22</v>
      </c>
      <c r="L468" s="57" t="s">
        <v>66</v>
      </c>
      <c r="M468" s="53">
        <v>10000000</v>
      </c>
      <c r="N468" s="58" t="s">
        <v>598</v>
      </c>
      <c r="O468" s="58" t="s">
        <v>598</v>
      </c>
      <c r="P468" s="58" t="s">
        <v>26</v>
      </c>
    </row>
    <row r="469" spans="1:18" s="64" customFormat="1" ht="42" x14ac:dyDescent="0.3">
      <c r="A469" s="49">
        <v>20240376</v>
      </c>
      <c r="B469" s="49">
        <v>131</v>
      </c>
      <c r="C469" s="50" t="s">
        <v>403</v>
      </c>
      <c r="D469" s="57" t="s">
        <v>19</v>
      </c>
      <c r="E469" s="58" t="s">
        <v>438</v>
      </c>
      <c r="F469" s="57" t="s">
        <v>383</v>
      </c>
      <c r="G469" s="51">
        <v>45337</v>
      </c>
      <c r="H469" s="59">
        <v>45350</v>
      </c>
      <c r="I469" s="52">
        <v>12</v>
      </c>
      <c r="J469" s="57" t="s">
        <v>358</v>
      </c>
      <c r="K469" s="57" t="s">
        <v>22</v>
      </c>
      <c r="L469" s="57" t="s">
        <v>66</v>
      </c>
      <c r="M469" s="53">
        <v>100000000</v>
      </c>
      <c r="N469" s="58" t="s">
        <v>598</v>
      </c>
      <c r="O469" s="58" t="s">
        <v>598</v>
      </c>
      <c r="P469" s="58" t="s">
        <v>26</v>
      </c>
      <c r="Q469" s="19"/>
      <c r="R469" s="19"/>
    </row>
    <row r="470" spans="1:18" s="64" customFormat="1" ht="70" x14ac:dyDescent="0.3">
      <c r="A470" s="49">
        <v>20240377</v>
      </c>
      <c r="B470" s="49">
        <v>131</v>
      </c>
      <c r="C470" s="50" t="s">
        <v>403</v>
      </c>
      <c r="D470" s="57" t="s">
        <v>19</v>
      </c>
      <c r="E470" s="58" t="s">
        <v>382</v>
      </c>
      <c r="F470" s="57" t="s">
        <v>384</v>
      </c>
      <c r="G470" s="51">
        <v>45337</v>
      </c>
      <c r="H470" s="59">
        <v>45350</v>
      </c>
      <c r="I470" s="52">
        <v>12</v>
      </c>
      <c r="J470" s="57" t="s">
        <v>358</v>
      </c>
      <c r="K470" s="57" t="s">
        <v>22</v>
      </c>
      <c r="L470" s="57" t="s">
        <v>66</v>
      </c>
      <c r="M470" s="53">
        <v>60000000</v>
      </c>
      <c r="N470" s="58" t="s">
        <v>598</v>
      </c>
      <c r="O470" s="58" t="s">
        <v>598</v>
      </c>
      <c r="P470" s="58" t="s">
        <v>310</v>
      </c>
      <c r="Q470" s="19"/>
      <c r="R470" s="19"/>
    </row>
    <row r="471" spans="1:18" s="64" customFormat="1" ht="84" x14ac:dyDescent="0.3">
      <c r="A471" s="49">
        <v>20240379</v>
      </c>
      <c r="B471" s="49">
        <v>7658</v>
      </c>
      <c r="C471" s="50" t="s">
        <v>82</v>
      </c>
      <c r="D471" s="57" t="s">
        <v>19</v>
      </c>
      <c r="E471" s="58" t="s">
        <v>440</v>
      </c>
      <c r="F471" s="57" t="s">
        <v>35</v>
      </c>
      <c r="G471" s="51">
        <v>45337</v>
      </c>
      <c r="H471" s="59">
        <v>45350</v>
      </c>
      <c r="I471" s="52">
        <v>11</v>
      </c>
      <c r="J471" s="57" t="s">
        <v>36</v>
      </c>
      <c r="K471" s="57" t="s">
        <v>22</v>
      </c>
      <c r="L471" s="57" t="s">
        <v>37</v>
      </c>
      <c r="M471" s="53">
        <v>40000000</v>
      </c>
      <c r="N471" s="58" t="s">
        <v>38</v>
      </c>
      <c r="O471" s="58" t="s">
        <v>25</v>
      </c>
      <c r="P471" s="58" t="s">
        <v>26</v>
      </c>
      <c r="Q471" s="19"/>
      <c r="R471" s="19"/>
    </row>
    <row r="472" spans="1:18" s="64" customFormat="1" ht="84" x14ac:dyDescent="0.3">
      <c r="A472" s="49">
        <v>20240381</v>
      </c>
      <c r="B472" s="49">
        <v>7658</v>
      </c>
      <c r="C472" s="50" t="s">
        <v>82</v>
      </c>
      <c r="D472" s="57" t="s">
        <v>19</v>
      </c>
      <c r="E472" s="58" t="s">
        <v>39</v>
      </c>
      <c r="F472" s="57" t="s">
        <v>357</v>
      </c>
      <c r="G472" s="51">
        <v>45337</v>
      </c>
      <c r="H472" s="59">
        <v>45350</v>
      </c>
      <c r="I472" s="52">
        <v>5</v>
      </c>
      <c r="J472" s="57" t="s">
        <v>36</v>
      </c>
      <c r="K472" s="57" t="s">
        <v>22</v>
      </c>
      <c r="L472" s="57" t="s">
        <v>37</v>
      </c>
      <c r="M472" s="53">
        <v>16000000</v>
      </c>
      <c r="N472" s="58" t="s">
        <v>38</v>
      </c>
      <c r="O472" s="58" t="s">
        <v>25</v>
      </c>
      <c r="P472" s="58" t="s">
        <v>310</v>
      </c>
      <c r="Q472" s="19"/>
      <c r="R472" s="19"/>
    </row>
    <row r="473" spans="1:18" s="64" customFormat="1" ht="84" x14ac:dyDescent="0.3">
      <c r="A473" s="49">
        <v>20240382</v>
      </c>
      <c r="B473" s="49">
        <v>7658</v>
      </c>
      <c r="C473" s="50" t="s">
        <v>82</v>
      </c>
      <c r="D473" s="57" t="s">
        <v>19</v>
      </c>
      <c r="E473" s="58" t="s">
        <v>441</v>
      </c>
      <c r="F473" s="57" t="s">
        <v>41</v>
      </c>
      <c r="G473" s="51">
        <v>45337</v>
      </c>
      <c r="H473" s="59">
        <v>45350</v>
      </c>
      <c r="I473" s="52">
        <v>11</v>
      </c>
      <c r="J473" s="57" t="s">
        <v>358</v>
      </c>
      <c r="K473" s="57" t="s">
        <v>22</v>
      </c>
      <c r="L473" s="57" t="s">
        <v>37</v>
      </c>
      <c r="M473" s="53">
        <v>65000000</v>
      </c>
      <c r="N473" s="58" t="s">
        <v>38</v>
      </c>
      <c r="O473" s="58" t="s">
        <v>25</v>
      </c>
      <c r="P473" s="58" t="s">
        <v>26</v>
      </c>
      <c r="Q473" s="19"/>
      <c r="R473" s="19"/>
    </row>
    <row r="474" spans="1:18" s="64" customFormat="1" ht="84" x14ac:dyDescent="0.3">
      <c r="A474" s="49">
        <v>20240383</v>
      </c>
      <c r="B474" s="49">
        <v>7658</v>
      </c>
      <c r="C474" s="50" t="s">
        <v>82</v>
      </c>
      <c r="D474" s="57" t="s">
        <v>19</v>
      </c>
      <c r="E474" s="58" t="s">
        <v>593</v>
      </c>
      <c r="F474" s="57" t="s">
        <v>594</v>
      </c>
      <c r="G474" s="51">
        <v>45337</v>
      </c>
      <c r="H474" s="59">
        <v>45350</v>
      </c>
      <c r="I474" s="52">
        <v>11</v>
      </c>
      <c r="J474" s="57" t="s">
        <v>36</v>
      </c>
      <c r="K474" s="57" t="s">
        <v>22</v>
      </c>
      <c r="L474" s="57" t="s">
        <v>37</v>
      </c>
      <c r="M474" s="53">
        <v>40000000</v>
      </c>
      <c r="N474" s="58" t="s">
        <v>38</v>
      </c>
      <c r="O474" s="58" t="s">
        <v>25</v>
      </c>
      <c r="P474" s="58" t="s">
        <v>26</v>
      </c>
      <c r="Q474" s="19"/>
      <c r="R474" s="19"/>
    </row>
    <row r="475" spans="1:18" s="64" customFormat="1" ht="84" x14ac:dyDescent="0.3">
      <c r="A475" s="49">
        <v>20240384</v>
      </c>
      <c r="B475" s="49">
        <v>7658</v>
      </c>
      <c r="C475" s="50" t="s">
        <v>82</v>
      </c>
      <c r="D475" s="57" t="s">
        <v>19</v>
      </c>
      <c r="E475" s="58" t="s">
        <v>442</v>
      </c>
      <c r="F475" s="57" t="s">
        <v>42</v>
      </c>
      <c r="G475" s="51">
        <v>45337</v>
      </c>
      <c r="H475" s="59">
        <v>45350</v>
      </c>
      <c r="I475" s="52">
        <v>11</v>
      </c>
      <c r="J475" s="57" t="s">
        <v>36</v>
      </c>
      <c r="K475" s="57" t="s">
        <v>22</v>
      </c>
      <c r="L475" s="57" t="s">
        <v>37</v>
      </c>
      <c r="M475" s="53">
        <v>41600000</v>
      </c>
      <c r="N475" s="58" t="s">
        <v>38</v>
      </c>
      <c r="O475" s="58" t="s">
        <v>25</v>
      </c>
      <c r="P475" s="58" t="s">
        <v>26</v>
      </c>
      <c r="Q475" s="19"/>
      <c r="R475" s="19"/>
    </row>
    <row r="476" spans="1:18" s="64" customFormat="1" ht="84" x14ac:dyDescent="0.3">
      <c r="A476" s="49">
        <v>20240385</v>
      </c>
      <c r="B476" s="49">
        <v>7658</v>
      </c>
      <c r="C476" s="50" t="s">
        <v>82</v>
      </c>
      <c r="D476" s="57" t="s">
        <v>19</v>
      </c>
      <c r="E476" s="58" t="s">
        <v>443</v>
      </c>
      <c r="F476" s="57" t="s">
        <v>43</v>
      </c>
      <c r="G476" s="51">
        <v>45337</v>
      </c>
      <c r="H476" s="59">
        <v>45350</v>
      </c>
      <c r="I476" s="52">
        <v>11</v>
      </c>
      <c r="J476" s="57" t="s">
        <v>358</v>
      </c>
      <c r="K476" s="57" t="s">
        <v>22</v>
      </c>
      <c r="L476" s="57" t="s">
        <v>37</v>
      </c>
      <c r="M476" s="53">
        <v>110000000</v>
      </c>
      <c r="N476" s="58" t="s">
        <v>38</v>
      </c>
      <c r="O476" s="58" t="s">
        <v>25</v>
      </c>
      <c r="P476" s="58" t="s">
        <v>26</v>
      </c>
      <c r="Q476" s="19"/>
      <c r="R476" s="19"/>
    </row>
    <row r="477" spans="1:18" s="64" customFormat="1" ht="84" x14ac:dyDescent="0.3">
      <c r="A477" s="49">
        <v>20240386</v>
      </c>
      <c r="B477" s="49">
        <v>7658</v>
      </c>
      <c r="C477" s="50" t="s">
        <v>82</v>
      </c>
      <c r="D477" s="57" t="s">
        <v>19</v>
      </c>
      <c r="E477" s="58">
        <v>73152108</v>
      </c>
      <c r="F477" s="57" t="s">
        <v>595</v>
      </c>
      <c r="G477" s="51">
        <v>45337</v>
      </c>
      <c r="H477" s="59">
        <v>45350</v>
      </c>
      <c r="I477" s="52">
        <v>11</v>
      </c>
      <c r="J477" s="57" t="s">
        <v>36</v>
      </c>
      <c r="K477" s="57" t="s">
        <v>22</v>
      </c>
      <c r="L477" s="57" t="s">
        <v>37</v>
      </c>
      <c r="M477" s="53">
        <v>15000000</v>
      </c>
      <c r="N477" s="58" t="s">
        <v>38</v>
      </c>
      <c r="O477" s="58" t="s">
        <v>25</v>
      </c>
      <c r="P477" s="58" t="s">
        <v>26</v>
      </c>
      <c r="Q477" s="19"/>
      <c r="R477" s="19"/>
    </row>
    <row r="478" spans="1:18" s="64" customFormat="1" ht="84" x14ac:dyDescent="0.3">
      <c r="A478" s="49">
        <v>20240387</v>
      </c>
      <c r="B478" s="49">
        <v>7658</v>
      </c>
      <c r="C478" s="50" t="s">
        <v>82</v>
      </c>
      <c r="D478" s="57" t="s">
        <v>19</v>
      </c>
      <c r="E478" s="58" t="s">
        <v>444</v>
      </c>
      <c r="F478" s="57" t="s">
        <v>44</v>
      </c>
      <c r="G478" s="51">
        <v>45337</v>
      </c>
      <c r="H478" s="59">
        <v>45350</v>
      </c>
      <c r="I478" s="52">
        <v>11</v>
      </c>
      <c r="J478" s="57" t="s">
        <v>358</v>
      </c>
      <c r="K478" s="57" t="s">
        <v>22</v>
      </c>
      <c r="L478" s="57" t="s">
        <v>37</v>
      </c>
      <c r="M478" s="53">
        <v>100000000</v>
      </c>
      <c r="N478" s="58" t="s">
        <v>38</v>
      </c>
      <c r="O478" s="58" t="s">
        <v>25</v>
      </c>
      <c r="P478" s="58" t="s">
        <v>26</v>
      </c>
      <c r="Q478" s="19"/>
      <c r="R478" s="19"/>
    </row>
    <row r="479" spans="1:18" s="64" customFormat="1" ht="84" x14ac:dyDescent="0.3">
      <c r="A479" s="49">
        <v>20240388</v>
      </c>
      <c r="B479" s="49">
        <v>7658</v>
      </c>
      <c r="C479" s="50" t="s">
        <v>82</v>
      </c>
      <c r="D479" s="57" t="s">
        <v>19</v>
      </c>
      <c r="E479" s="58">
        <v>76121502</v>
      </c>
      <c r="F479" s="57" t="s">
        <v>408</v>
      </c>
      <c r="G479" s="51">
        <v>45337</v>
      </c>
      <c r="H479" s="59">
        <v>45350</v>
      </c>
      <c r="I479" s="52">
        <v>12</v>
      </c>
      <c r="J479" s="57" t="s">
        <v>36</v>
      </c>
      <c r="K479" s="57" t="s">
        <v>22</v>
      </c>
      <c r="L479" s="57" t="s">
        <v>23</v>
      </c>
      <c r="M479" s="53">
        <v>5000000</v>
      </c>
      <c r="N479" s="58" t="s">
        <v>38</v>
      </c>
      <c r="O479" s="58" t="s">
        <v>25</v>
      </c>
      <c r="P479" s="58" t="s">
        <v>26</v>
      </c>
      <c r="Q479" s="19"/>
      <c r="R479" s="19"/>
    </row>
    <row r="480" spans="1:18" s="64" customFormat="1" ht="84" x14ac:dyDescent="0.3">
      <c r="A480" s="49">
        <v>20240389</v>
      </c>
      <c r="B480" s="49">
        <v>7658</v>
      </c>
      <c r="C480" s="50" t="s">
        <v>82</v>
      </c>
      <c r="D480" s="57" t="s">
        <v>19</v>
      </c>
      <c r="E480" s="58" t="s">
        <v>445</v>
      </c>
      <c r="F480" s="57" t="s">
        <v>45</v>
      </c>
      <c r="G480" s="51">
        <v>45337</v>
      </c>
      <c r="H480" s="59">
        <v>45350</v>
      </c>
      <c r="I480" s="52">
        <v>12</v>
      </c>
      <c r="J480" s="57" t="s">
        <v>46</v>
      </c>
      <c r="K480" s="57" t="s">
        <v>22</v>
      </c>
      <c r="L480" s="57" t="s">
        <v>497</v>
      </c>
      <c r="M480" s="53">
        <v>200000000</v>
      </c>
      <c r="N480" s="58" t="s">
        <v>38</v>
      </c>
      <c r="O480" s="58" t="s">
        <v>25</v>
      </c>
      <c r="P480" s="58" t="s">
        <v>26</v>
      </c>
      <c r="Q480" s="19"/>
      <c r="R480" s="19"/>
    </row>
    <row r="481" spans="1:18" s="64" customFormat="1" ht="84" x14ac:dyDescent="0.3">
      <c r="A481" s="49">
        <v>20240390</v>
      </c>
      <c r="B481" s="49">
        <v>7658</v>
      </c>
      <c r="C481" s="50" t="s">
        <v>82</v>
      </c>
      <c r="D481" s="57" t="s">
        <v>19</v>
      </c>
      <c r="E481" s="58" t="s">
        <v>446</v>
      </c>
      <c r="F481" s="57" t="s">
        <v>48</v>
      </c>
      <c r="G481" s="51">
        <v>45337</v>
      </c>
      <c r="H481" s="59">
        <v>45350</v>
      </c>
      <c r="I481" s="52">
        <v>11</v>
      </c>
      <c r="J481" s="57" t="s">
        <v>49</v>
      </c>
      <c r="K481" s="57" t="s">
        <v>22</v>
      </c>
      <c r="L481" s="57" t="s">
        <v>50</v>
      </c>
      <c r="M481" s="53">
        <f>1000000000+98000000+15000000+887000000-260000000-25000000</f>
        <v>1715000000</v>
      </c>
      <c r="N481" s="58" t="s">
        <v>38</v>
      </c>
      <c r="O481" s="58" t="s">
        <v>25</v>
      </c>
      <c r="P481" s="58" t="s">
        <v>26</v>
      </c>
      <c r="Q481" s="19"/>
      <c r="R481" s="19"/>
    </row>
    <row r="482" spans="1:18" s="64" customFormat="1" ht="42" x14ac:dyDescent="0.3">
      <c r="A482" s="49">
        <v>20240391</v>
      </c>
      <c r="B482" s="49">
        <v>7658</v>
      </c>
      <c r="C482" s="50" t="s">
        <v>82</v>
      </c>
      <c r="D482" s="57" t="s">
        <v>19</v>
      </c>
      <c r="E482" s="58" t="s">
        <v>447</v>
      </c>
      <c r="F482" s="57" t="s">
        <v>86</v>
      </c>
      <c r="G482" s="51">
        <v>45337</v>
      </c>
      <c r="H482" s="59">
        <v>45350</v>
      </c>
      <c r="I482" s="52">
        <v>12</v>
      </c>
      <c r="J482" s="57" t="s">
        <v>87</v>
      </c>
      <c r="K482" s="57" t="s">
        <v>22</v>
      </c>
      <c r="L482" s="57" t="s">
        <v>361</v>
      </c>
      <c r="M482" s="53">
        <v>450000000</v>
      </c>
      <c r="N482" s="58" t="s">
        <v>67</v>
      </c>
      <c r="O482" s="58" t="s">
        <v>68</v>
      </c>
      <c r="P482" s="58" t="s">
        <v>26</v>
      </c>
      <c r="Q482" s="19"/>
      <c r="R482" s="19"/>
    </row>
    <row r="483" spans="1:18" s="64" customFormat="1" ht="70" x14ac:dyDescent="0.3">
      <c r="A483" s="55">
        <v>20240392</v>
      </c>
      <c r="B483" s="49">
        <v>7658</v>
      </c>
      <c r="C483" s="50" t="s">
        <v>82</v>
      </c>
      <c r="D483" s="57" t="s">
        <v>19</v>
      </c>
      <c r="E483" s="58" t="s">
        <v>448</v>
      </c>
      <c r="F483" s="57" t="s">
        <v>362</v>
      </c>
      <c r="G483" s="51">
        <v>45337</v>
      </c>
      <c r="H483" s="59">
        <v>45350</v>
      </c>
      <c r="I483" s="52">
        <v>12</v>
      </c>
      <c r="J483" s="57" t="s">
        <v>88</v>
      </c>
      <c r="K483" s="57" t="s">
        <v>22</v>
      </c>
      <c r="L483" s="57" t="s">
        <v>361</v>
      </c>
      <c r="M483" s="53">
        <v>135000000</v>
      </c>
      <c r="N483" s="58" t="s">
        <v>67</v>
      </c>
      <c r="O483" s="58" t="s">
        <v>68</v>
      </c>
      <c r="P483" s="58" t="s">
        <v>26</v>
      </c>
      <c r="Q483" s="19"/>
      <c r="R483" s="19"/>
    </row>
    <row r="484" spans="1:18" s="64" customFormat="1" ht="80.5" customHeight="1" x14ac:dyDescent="0.3">
      <c r="A484" s="55">
        <v>20240393</v>
      </c>
      <c r="B484" s="49">
        <v>7658</v>
      </c>
      <c r="C484" s="50" t="s">
        <v>82</v>
      </c>
      <c r="D484" s="57" t="s">
        <v>19</v>
      </c>
      <c r="E484" s="58" t="s">
        <v>447</v>
      </c>
      <c r="F484" s="57" t="s">
        <v>288</v>
      </c>
      <c r="G484" s="51">
        <v>45337</v>
      </c>
      <c r="H484" s="59">
        <v>45350</v>
      </c>
      <c r="I484" s="52">
        <v>12</v>
      </c>
      <c r="J484" s="57" t="s">
        <v>87</v>
      </c>
      <c r="K484" s="57" t="s">
        <v>22</v>
      </c>
      <c r="L484" s="57" t="s">
        <v>361</v>
      </c>
      <c r="M484" s="53">
        <f>600000000-52000000-98000000-400000000-30000000</f>
        <v>20000000</v>
      </c>
      <c r="N484" s="58" t="s">
        <v>89</v>
      </c>
      <c r="O484" s="58" t="s">
        <v>90</v>
      </c>
      <c r="P484" s="58" t="s">
        <v>26</v>
      </c>
      <c r="Q484" s="19"/>
      <c r="R484" s="19"/>
    </row>
    <row r="485" spans="1:18" s="64" customFormat="1" ht="80.5" customHeight="1" x14ac:dyDescent="0.3">
      <c r="A485" s="55">
        <v>20240394</v>
      </c>
      <c r="B485" s="49">
        <v>7658</v>
      </c>
      <c r="C485" s="50" t="s">
        <v>82</v>
      </c>
      <c r="D485" s="57" t="s">
        <v>19</v>
      </c>
      <c r="E485" s="58" t="s">
        <v>448</v>
      </c>
      <c r="F485" s="57" t="s">
        <v>289</v>
      </c>
      <c r="G485" s="51">
        <v>45337</v>
      </c>
      <c r="H485" s="59">
        <v>45350</v>
      </c>
      <c r="I485" s="52">
        <v>12</v>
      </c>
      <c r="J485" s="57" t="s">
        <v>88</v>
      </c>
      <c r="K485" s="57" t="s">
        <v>22</v>
      </c>
      <c r="L485" s="57" t="s">
        <v>361</v>
      </c>
      <c r="M485" s="53">
        <f>150000000-15000000-80000000</f>
        <v>55000000</v>
      </c>
      <c r="N485" s="58" t="s">
        <v>89</v>
      </c>
      <c r="O485" s="58" t="s">
        <v>90</v>
      </c>
      <c r="P485" s="58" t="s">
        <v>26</v>
      </c>
      <c r="Q485" s="19"/>
      <c r="R485" s="19"/>
    </row>
    <row r="486" spans="1:18" s="64" customFormat="1" ht="80.5" customHeight="1" x14ac:dyDescent="0.3">
      <c r="A486" s="55">
        <v>20240395</v>
      </c>
      <c r="B486" s="49" t="s">
        <v>66</v>
      </c>
      <c r="C486" s="50" t="s">
        <v>66</v>
      </c>
      <c r="D486" s="57" t="s">
        <v>19</v>
      </c>
      <c r="E486" s="58" t="s">
        <v>449</v>
      </c>
      <c r="F486" s="57" t="s">
        <v>409</v>
      </c>
      <c r="G486" s="51">
        <v>45337</v>
      </c>
      <c r="H486" s="59">
        <v>45350</v>
      </c>
      <c r="I486" s="52">
        <v>12</v>
      </c>
      <c r="J486" s="57" t="s">
        <v>358</v>
      </c>
      <c r="K486" s="57" t="s">
        <v>22</v>
      </c>
      <c r="L486" s="57" t="s">
        <v>66</v>
      </c>
      <c r="M486" s="53">
        <v>0</v>
      </c>
      <c r="N486" s="58" t="s">
        <v>66</v>
      </c>
      <c r="O486" s="58" t="s">
        <v>66</v>
      </c>
      <c r="P486" s="58" t="s">
        <v>26</v>
      </c>
      <c r="Q486" s="19"/>
      <c r="R486" s="19"/>
    </row>
    <row r="487" spans="1:18" s="64" customFormat="1" ht="80.5" customHeight="1" x14ac:dyDescent="0.3">
      <c r="A487" s="55">
        <v>20240396</v>
      </c>
      <c r="B487" s="49">
        <v>7658</v>
      </c>
      <c r="C487" s="50" t="s">
        <v>82</v>
      </c>
      <c r="D487" s="57" t="s">
        <v>116</v>
      </c>
      <c r="E487" s="58" t="s">
        <v>404</v>
      </c>
      <c r="F487" s="57" t="s">
        <v>405</v>
      </c>
      <c r="G487" s="51">
        <v>45340</v>
      </c>
      <c r="H487" s="59">
        <v>45430</v>
      </c>
      <c r="I487" s="52">
        <v>3</v>
      </c>
      <c r="J487" s="57" t="s">
        <v>49</v>
      </c>
      <c r="K487" s="57" t="s">
        <v>22</v>
      </c>
      <c r="L487" s="57" t="s">
        <v>23</v>
      </c>
      <c r="M487" s="53">
        <v>295000000</v>
      </c>
      <c r="N487" s="58" t="s">
        <v>118</v>
      </c>
      <c r="O487" s="58" t="s">
        <v>119</v>
      </c>
      <c r="P487" s="58" t="s">
        <v>26</v>
      </c>
      <c r="Q487" s="19"/>
      <c r="R487" s="19"/>
    </row>
    <row r="488" spans="1:18" s="64" customFormat="1" ht="90.65" customHeight="1" x14ac:dyDescent="0.3">
      <c r="A488" s="49">
        <v>20240397</v>
      </c>
      <c r="B488" s="49">
        <v>7637</v>
      </c>
      <c r="C488" s="50" t="s">
        <v>183</v>
      </c>
      <c r="D488" s="57" t="s">
        <v>222</v>
      </c>
      <c r="E488" s="58" t="s">
        <v>450</v>
      </c>
      <c r="F488" s="57" t="s">
        <v>185</v>
      </c>
      <c r="G488" s="51">
        <v>45341</v>
      </c>
      <c r="H488" s="59">
        <v>45370</v>
      </c>
      <c r="I488" s="52">
        <v>6</v>
      </c>
      <c r="J488" s="57" t="s">
        <v>46</v>
      </c>
      <c r="K488" s="57" t="s">
        <v>22</v>
      </c>
      <c r="L488" s="57" t="s">
        <v>186</v>
      </c>
      <c r="M488" s="53">
        <v>598856100</v>
      </c>
      <c r="N488" s="58" t="s">
        <v>187</v>
      </c>
      <c r="O488" s="58" t="s">
        <v>188</v>
      </c>
      <c r="P488" s="58" t="s">
        <v>26</v>
      </c>
      <c r="Q488" s="19"/>
      <c r="R488" s="19"/>
    </row>
    <row r="489" spans="1:18" s="64" customFormat="1" ht="90.65" customHeight="1" x14ac:dyDescent="0.3">
      <c r="A489" s="49">
        <v>20240398</v>
      </c>
      <c r="B489" s="49">
        <v>7637</v>
      </c>
      <c r="C489" s="50" t="s">
        <v>183</v>
      </c>
      <c r="D489" s="57" t="s">
        <v>222</v>
      </c>
      <c r="E489" s="58">
        <v>81112401</v>
      </c>
      <c r="F489" s="57" t="s">
        <v>202</v>
      </c>
      <c r="G489" s="51">
        <v>45387</v>
      </c>
      <c r="H489" s="59">
        <v>45418</v>
      </c>
      <c r="I489" s="52">
        <v>7</v>
      </c>
      <c r="J489" s="57" t="s">
        <v>46</v>
      </c>
      <c r="K489" s="57" t="s">
        <v>22</v>
      </c>
      <c r="L489" s="57" t="s">
        <v>186</v>
      </c>
      <c r="M489" s="53">
        <f>100000000+90000000+83060000</f>
        <v>273060000</v>
      </c>
      <c r="N489" s="58" t="s">
        <v>187</v>
      </c>
      <c r="O489" s="58" t="s">
        <v>188</v>
      </c>
      <c r="P489" s="58" t="s">
        <v>26</v>
      </c>
      <c r="Q489" s="19"/>
      <c r="R489" s="19"/>
    </row>
    <row r="490" spans="1:18" s="64" customFormat="1" ht="90.65" customHeight="1" x14ac:dyDescent="0.3">
      <c r="A490" s="49">
        <v>20240399</v>
      </c>
      <c r="B490" s="49">
        <v>7658</v>
      </c>
      <c r="C490" s="50" t="s">
        <v>82</v>
      </c>
      <c r="D490" s="57" t="s">
        <v>116</v>
      </c>
      <c r="E490" s="58">
        <v>80111600</v>
      </c>
      <c r="F490" s="57" t="s">
        <v>416</v>
      </c>
      <c r="G490" s="51">
        <v>45350</v>
      </c>
      <c r="H490" s="59">
        <v>45410</v>
      </c>
      <c r="I490" s="52">
        <v>6</v>
      </c>
      <c r="J490" s="57" t="s">
        <v>358</v>
      </c>
      <c r="K490" s="57" t="s">
        <v>22</v>
      </c>
      <c r="L490" s="57" t="s">
        <v>23</v>
      </c>
      <c r="M490" s="53">
        <f>200000000+100000000-100000000-7000000</f>
        <v>193000000</v>
      </c>
      <c r="N490" s="58" t="s">
        <v>118</v>
      </c>
      <c r="O490" s="58" t="s">
        <v>119</v>
      </c>
      <c r="P490" s="58" t="s">
        <v>26</v>
      </c>
      <c r="Q490" s="19"/>
      <c r="R490" s="19"/>
    </row>
    <row r="491" spans="1:18" s="64" customFormat="1" ht="90.65" customHeight="1" x14ac:dyDescent="0.3">
      <c r="A491" s="49">
        <v>20240400</v>
      </c>
      <c r="B491" s="49">
        <v>131</v>
      </c>
      <c r="C491" s="50" t="s">
        <v>403</v>
      </c>
      <c r="D491" s="57" t="s">
        <v>152</v>
      </c>
      <c r="E491" s="58" t="s">
        <v>451</v>
      </c>
      <c r="F491" s="57" t="s">
        <v>391</v>
      </c>
      <c r="G491" s="51">
        <v>45350</v>
      </c>
      <c r="H491" s="59">
        <v>45350</v>
      </c>
      <c r="I491" s="52">
        <v>10</v>
      </c>
      <c r="J491" s="57" t="s">
        <v>21</v>
      </c>
      <c r="K491" s="57" t="s">
        <v>22</v>
      </c>
      <c r="L491" s="57" t="s">
        <v>66</v>
      </c>
      <c r="M491" s="53">
        <v>1400000000</v>
      </c>
      <c r="N491" s="58" t="s">
        <v>598</v>
      </c>
      <c r="O491" s="58" t="s">
        <v>598</v>
      </c>
      <c r="P491" s="58" t="s">
        <v>26</v>
      </c>
      <c r="Q491" s="19"/>
      <c r="R491" s="19"/>
    </row>
    <row r="492" spans="1:18" s="64" customFormat="1" ht="90.65" customHeight="1" x14ac:dyDescent="0.3">
      <c r="A492" s="49">
        <v>20240401</v>
      </c>
      <c r="B492" s="49">
        <v>7655</v>
      </c>
      <c r="C492" s="50" t="s">
        <v>18</v>
      </c>
      <c r="D492" s="57" t="s">
        <v>116</v>
      </c>
      <c r="E492" s="58">
        <v>80111600</v>
      </c>
      <c r="F492" s="57" t="s">
        <v>123</v>
      </c>
      <c r="G492" s="51">
        <v>45351</v>
      </c>
      <c r="H492" s="59">
        <v>45351</v>
      </c>
      <c r="I492" s="52">
        <v>10</v>
      </c>
      <c r="J492" s="57" t="s">
        <v>21</v>
      </c>
      <c r="K492" s="57" t="s">
        <v>22</v>
      </c>
      <c r="L492" s="57" t="s">
        <v>23</v>
      </c>
      <c r="M492" s="53">
        <v>90000000</v>
      </c>
      <c r="N492" s="58" t="s">
        <v>24</v>
      </c>
      <c r="O492" s="58" t="s">
        <v>80</v>
      </c>
      <c r="P492" s="58" t="s">
        <v>26</v>
      </c>
      <c r="Q492" s="19"/>
      <c r="R492" s="19"/>
    </row>
    <row r="493" spans="1:18" s="64" customFormat="1" ht="90.65" customHeight="1" x14ac:dyDescent="0.3">
      <c r="A493" s="49">
        <v>20240402</v>
      </c>
      <c r="B493" s="49">
        <v>7655</v>
      </c>
      <c r="C493" s="50" t="s">
        <v>18</v>
      </c>
      <c r="D493" s="57" t="s">
        <v>116</v>
      </c>
      <c r="E493" s="58">
        <v>80111600</v>
      </c>
      <c r="F493" s="57" t="s">
        <v>124</v>
      </c>
      <c r="G493" s="51">
        <v>45351</v>
      </c>
      <c r="H493" s="59">
        <v>45351</v>
      </c>
      <c r="I493" s="52">
        <v>10</v>
      </c>
      <c r="J493" s="57" t="s">
        <v>21</v>
      </c>
      <c r="K493" s="57" t="s">
        <v>22</v>
      </c>
      <c r="L493" s="57" t="s">
        <v>23</v>
      </c>
      <c r="M493" s="53">
        <f>80000000-22500000</f>
        <v>57500000</v>
      </c>
      <c r="N493" s="58" t="s">
        <v>24</v>
      </c>
      <c r="O493" s="58" t="s">
        <v>80</v>
      </c>
      <c r="P493" s="58" t="s">
        <v>26</v>
      </c>
      <c r="Q493" s="19"/>
      <c r="R493" s="19"/>
    </row>
    <row r="494" spans="1:18" s="64" customFormat="1" ht="90.65" customHeight="1" x14ac:dyDescent="0.3">
      <c r="A494" s="49">
        <v>20240405</v>
      </c>
      <c r="B494" s="49">
        <v>7658</v>
      </c>
      <c r="C494" s="50" t="s">
        <v>82</v>
      </c>
      <c r="D494" s="57" t="s">
        <v>116</v>
      </c>
      <c r="E494" s="58">
        <v>80111600</v>
      </c>
      <c r="F494" s="57" t="s">
        <v>125</v>
      </c>
      <c r="G494" s="51">
        <v>45351</v>
      </c>
      <c r="H494" s="59">
        <v>45351</v>
      </c>
      <c r="I494" s="52">
        <v>10</v>
      </c>
      <c r="J494" s="57" t="s">
        <v>21</v>
      </c>
      <c r="K494" s="57" t="s">
        <v>22</v>
      </c>
      <c r="L494" s="57" t="s">
        <v>23</v>
      </c>
      <c r="M494" s="53">
        <v>50000000</v>
      </c>
      <c r="N494" s="58" t="s">
        <v>118</v>
      </c>
      <c r="O494" s="58" t="s">
        <v>119</v>
      </c>
      <c r="P494" s="58" t="s">
        <v>26</v>
      </c>
      <c r="Q494" s="19"/>
      <c r="R494" s="19"/>
    </row>
    <row r="495" spans="1:18" s="64" customFormat="1" ht="90.65" customHeight="1" x14ac:dyDescent="0.3">
      <c r="A495" s="49">
        <v>20240406</v>
      </c>
      <c r="B495" s="49">
        <v>7658</v>
      </c>
      <c r="C495" s="50" t="s">
        <v>82</v>
      </c>
      <c r="D495" s="57" t="s">
        <v>116</v>
      </c>
      <c r="E495" s="58">
        <v>80111600</v>
      </c>
      <c r="F495" s="57" t="s">
        <v>131</v>
      </c>
      <c r="G495" s="51">
        <v>45351</v>
      </c>
      <c r="H495" s="59">
        <v>45351</v>
      </c>
      <c r="I495" s="52">
        <v>10</v>
      </c>
      <c r="J495" s="57" t="s">
        <v>21</v>
      </c>
      <c r="K495" s="57" t="s">
        <v>22</v>
      </c>
      <c r="L495" s="57" t="s">
        <v>23</v>
      </c>
      <c r="M495" s="53">
        <f>50000000-7700000</f>
        <v>42300000</v>
      </c>
      <c r="N495" s="58" t="s">
        <v>118</v>
      </c>
      <c r="O495" s="58" t="s">
        <v>119</v>
      </c>
      <c r="P495" s="58" t="s">
        <v>26</v>
      </c>
      <c r="Q495" s="19"/>
      <c r="R495" s="19"/>
    </row>
    <row r="496" spans="1:18" s="64" customFormat="1" ht="90.65" customHeight="1" x14ac:dyDescent="0.3">
      <c r="A496" s="49">
        <v>20240409</v>
      </c>
      <c r="B496" s="49">
        <v>7658</v>
      </c>
      <c r="C496" s="50" t="s">
        <v>82</v>
      </c>
      <c r="D496" s="57" t="s">
        <v>116</v>
      </c>
      <c r="E496" s="58">
        <v>80111600</v>
      </c>
      <c r="F496" s="57" t="s">
        <v>526</v>
      </c>
      <c r="G496" s="51">
        <v>45351</v>
      </c>
      <c r="H496" s="59">
        <v>45351</v>
      </c>
      <c r="I496" s="52">
        <v>10</v>
      </c>
      <c r="J496" s="57" t="s">
        <v>21</v>
      </c>
      <c r="K496" s="57" t="s">
        <v>22</v>
      </c>
      <c r="L496" s="57" t="s">
        <v>23</v>
      </c>
      <c r="M496" s="53">
        <v>50000000</v>
      </c>
      <c r="N496" s="58" t="s">
        <v>118</v>
      </c>
      <c r="O496" s="58" t="s">
        <v>119</v>
      </c>
      <c r="P496" s="58" t="s">
        <v>26</v>
      </c>
      <c r="Q496" s="19"/>
      <c r="R496" s="19"/>
    </row>
    <row r="497" spans="1:18" s="64" customFormat="1" ht="90.65" customHeight="1" x14ac:dyDescent="0.3">
      <c r="A497" s="49">
        <v>20240411</v>
      </c>
      <c r="B497" s="49">
        <v>7658</v>
      </c>
      <c r="C497" s="50" t="s">
        <v>82</v>
      </c>
      <c r="D497" s="57" t="s">
        <v>116</v>
      </c>
      <c r="E497" s="58">
        <v>80111600</v>
      </c>
      <c r="F497" s="57" t="s">
        <v>132</v>
      </c>
      <c r="G497" s="51">
        <v>45351</v>
      </c>
      <c r="H497" s="59">
        <v>45351</v>
      </c>
      <c r="I497" s="52">
        <v>10</v>
      </c>
      <c r="J497" s="57" t="s">
        <v>21</v>
      </c>
      <c r="K497" s="57" t="s">
        <v>22</v>
      </c>
      <c r="L497" s="57" t="s">
        <v>23</v>
      </c>
      <c r="M497" s="53">
        <v>55000000</v>
      </c>
      <c r="N497" s="58" t="s">
        <v>118</v>
      </c>
      <c r="O497" s="58" t="s">
        <v>119</v>
      </c>
      <c r="P497" s="58" t="s">
        <v>26</v>
      </c>
      <c r="Q497" s="19"/>
      <c r="R497" s="19"/>
    </row>
    <row r="498" spans="1:18" s="64" customFormat="1" ht="90.65" customHeight="1" x14ac:dyDescent="0.3">
      <c r="A498" s="49">
        <v>20240414</v>
      </c>
      <c r="B498" s="49">
        <v>7658</v>
      </c>
      <c r="C498" s="50" t="s">
        <v>82</v>
      </c>
      <c r="D498" s="57" t="s">
        <v>116</v>
      </c>
      <c r="E498" s="58">
        <v>80111600</v>
      </c>
      <c r="F498" s="57" t="s">
        <v>135</v>
      </c>
      <c r="G498" s="51">
        <v>45351</v>
      </c>
      <c r="H498" s="59">
        <v>45351</v>
      </c>
      <c r="I498" s="52">
        <v>10</v>
      </c>
      <c r="J498" s="57" t="s">
        <v>21</v>
      </c>
      <c r="K498" s="57" t="s">
        <v>22</v>
      </c>
      <c r="L498" s="57" t="s">
        <v>23</v>
      </c>
      <c r="M498" s="53">
        <f>55000000-14550000</f>
        <v>40450000</v>
      </c>
      <c r="N498" s="58" t="s">
        <v>118</v>
      </c>
      <c r="O498" s="58" t="s">
        <v>119</v>
      </c>
      <c r="P498" s="58" t="s">
        <v>26</v>
      </c>
      <c r="Q498" s="19"/>
      <c r="R498" s="19"/>
    </row>
    <row r="499" spans="1:18" s="64" customFormat="1" ht="90.65" customHeight="1" x14ac:dyDescent="0.3">
      <c r="A499" s="49">
        <v>20240415</v>
      </c>
      <c r="B499" s="49">
        <v>7658</v>
      </c>
      <c r="C499" s="50" t="s">
        <v>82</v>
      </c>
      <c r="D499" s="57" t="s">
        <v>116</v>
      </c>
      <c r="E499" s="58">
        <v>80111600</v>
      </c>
      <c r="F499" s="57" t="s">
        <v>135</v>
      </c>
      <c r="G499" s="51">
        <v>45351</v>
      </c>
      <c r="H499" s="59">
        <v>45351</v>
      </c>
      <c r="I499" s="52">
        <v>10</v>
      </c>
      <c r="J499" s="57" t="s">
        <v>21</v>
      </c>
      <c r="K499" s="57" t="s">
        <v>22</v>
      </c>
      <c r="L499" s="57" t="s">
        <v>23</v>
      </c>
      <c r="M499" s="53">
        <v>55000000</v>
      </c>
      <c r="N499" s="58" t="s">
        <v>118</v>
      </c>
      <c r="O499" s="58" t="s">
        <v>119</v>
      </c>
      <c r="P499" s="58" t="s">
        <v>26</v>
      </c>
      <c r="Q499" s="19"/>
      <c r="R499" s="19"/>
    </row>
    <row r="500" spans="1:18" s="64" customFormat="1" ht="90.65" customHeight="1" x14ac:dyDescent="0.3">
      <c r="A500" s="49">
        <v>20240417</v>
      </c>
      <c r="B500" s="49">
        <v>7658</v>
      </c>
      <c r="C500" s="50" t="s">
        <v>82</v>
      </c>
      <c r="D500" s="57" t="s">
        <v>116</v>
      </c>
      <c r="E500" s="58">
        <v>80111600</v>
      </c>
      <c r="F500" s="57" t="s">
        <v>139</v>
      </c>
      <c r="G500" s="51">
        <v>45351</v>
      </c>
      <c r="H500" s="59">
        <v>45351</v>
      </c>
      <c r="I500" s="52">
        <v>10</v>
      </c>
      <c r="J500" s="57" t="s">
        <v>21</v>
      </c>
      <c r="K500" s="57" t="s">
        <v>22</v>
      </c>
      <c r="L500" s="57" t="s">
        <v>23</v>
      </c>
      <c r="M500" s="53">
        <v>40000000</v>
      </c>
      <c r="N500" s="58" t="s">
        <v>118</v>
      </c>
      <c r="O500" s="58" t="s">
        <v>119</v>
      </c>
      <c r="P500" s="58" t="s">
        <v>26</v>
      </c>
      <c r="Q500" s="19"/>
      <c r="R500" s="19"/>
    </row>
    <row r="501" spans="1:18" s="64" customFormat="1" ht="90.65" customHeight="1" x14ac:dyDescent="0.3">
      <c r="A501" s="49">
        <v>20240419</v>
      </c>
      <c r="B501" s="49">
        <v>7658</v>
      </c>
      <c r="C501" s="50" t="s">
        <v>82</v>
      </c>
      <c r="D501" s="57" t="s">
        <v>116</v>
      </c>
      <c r="E501" s="58">
        <v>80111600</v>
      </c>
      <c r="F501" s="57" t="s">
        <v>143</v>
      </c>
      <c r="G501" s="51">
        <v>45351</v>
      </c>
      <c r="H501" s="59">
        <v>45351</v>
      </c>
      <c r="I501" s="52">
        <v>10</v>
      </c>
      <c r="J501" s="57" t="s">
        <v>21</v>
      </c>
      <c r="K501" s="57" t="s">
        <v>22</v>
      </c>
      <c r="L501" s="57" t="s">
        <v>23</v>
      </c>
      <c r="M501" s="53">
        <f>30000000-8250000</f>
        <v>21750000</v>
      </c>
      <c r="N501" s="58" t="s">
        <v>118</v>
      </c>
      <c r="O501" s="58" t="s">
        <v>119</v>
      </c>
      <c r="P501" s="58" t="s">
        <v>26</v>
      </c>
      <c r="Q501" s="19"/>
      <c r="R501" s="19"/>
    </row>
    <row r="502" spans="1:18" s="64" customFormat="1" ht="90.65" customHeight="1" x14ac:dyDescent="0.3">
      <c r="A502" s="49">
        <v>20240420</v>
      </c>
      <c r="B502" s="49">
        <v>7658</v>
      </c>
      <c r="C502" s="50" t="s">
        <v>82</v>
      </c>
      <c r="D502" s="57" t="s">
        <v>116</v>
      </c>
      <c r="E502" s="58">
        <v>80111600</v>
      </c>
      <c r="F502" s="57" t="s">
        <v>143</v>
      </c>
      <c r="G502" s="51">
        <v>45351</v>
      </c>
      <c r="H502" s="59">
        <v>45351</v>
      </c>
      <c r="I502" s="52">
        <v>10</v>
      </c>
      <c r="J502" s="57" t="s">
        <v>21</v>
      </c>
      <c r="K502" s="57" t="s">
        <v>22</v>
      </c>
      <c r="L502" s="57" t="s">
        <v>23</v>
      </c>
      <c r="M502" s="53">
        <f>30000000-7466667</f>
        <v>22533333</v>
      </c>
      <c r="N502" s="58" t="s">
        <v>118</v>
      </c>
      <c r="O502" s="58" t="s">
        <v>119</v>
      </c>
      <c r="P502" s="58" t="s">
        <v>26</v>
      </c>
      <c r="Q502" s="19"/>
      <c r="R502" s="19"/>
    </row>
    <row r="503" spans="1:18" s="64" customFormat="1" ht="90.65" customHeight="1" x14ac:dyDescent="0.3">
      <c r="A503" s="49">
        <v>20240421</v>
      </c>
      <c r="B503" s="49">
        <v>7658</v>
      </c>
      <c r="C503" s="50" t="s">
        <v>82</v>
      </c>
      <c r="D503" s="57" t="s">
        <v>116</v>
      </c>
      <c r="E503" s="58">
        <v>80111600</v>
      </c>
      <c r="F503" s="57" t="s">
        <v>143</v>
      </c>
      <c r="G503" s="51">
        <v>45351</v>
      </c>
      <c r="H503" s="59">
        <v>45351</v>
      </c>
      <c r="I503" s="52">
        <v>10</v>
      </c>
      <c r="J503" s="57" t="s">
        <v>21</v>
      </c>
      <c r="K503" s="57" t="s">
        <v>22</v>
      </c>
      <c r="L503" s="57" t="s">
        <v>23</v>
      </c>
      <c r="M503" s="53">
        <f>30000000-8400000</f>
        <v>21600000</v>
      </c>
      <c r="N503" s="58" t="s">
        <v>118</v>
      </c>
      <c r="O503" s="58" t="s">
        <v>119</v>
      </c>
      <c r="P503" s="58" t="s">
        <v>26</v>
      </c>
      <c r="Q503" s="19"/>
      <c r="R503" s="19"/>
    </row>
    <row r="504" spans="1:18" s="64" customFormat="1" ht="90.65" customHeight="1" x14ac:dyDescent="0.3">
      <c r="A504" s="49">
        <v>20240422</v>
      </c>
      <c r="B504" s="49">
        <v>7658</v>
      </c>
      <c r="C504" s="50" t="s">
        <v>82</v>
      </c>
      <c r="D504" s="57" t="s">
        <v>116</v>
      </c>
      <c r="E504" s="58">
        <v>80111600</v>
      </c>
      <c r="F504" s="57" t="s">
        <v>143</v>
      </c>
      <c r="G504" s="51">
        <v>45351</v>
      </c>
      <c r="H504" s="59">
        <v>45351</v>
      </c>
      <c r="I504" s="52">
        <v>10</v>
      </c>
      <c r="J504" s="57" t="s">
        <v>21</v>
      </c>
      <c r="K504" s="57" t="s">
        <v>22</v>
      </c>
      <c r="L504" s="57" t="s">
        <v>23</v>
      </c>
      <c r="M504" s="53">
        <f>30000000-5225000</f>
        <v>24775000</v>
      </c>
      <c r="N504" s="58" t="s">
        <v>118</v>
      </c>
      <c r="O504" s="58" t="s">
        <v>119</v>
      </c>
      <c r="P504" s="58" t="s">
        <v>26</v>
      </c>
      <c r="Q504" s="19"/>
      <c r="R504" s="19"/>
    </row>
    <row r="505" spans="1:18" s="64" customFormat="1" ht="90.65" customHeight="1" x14ac:dyDescent="0.3">
      <c r="A505" s="49">
        <v>20240424</v>
      </c>
      <c r="B505" s="49">
        <v>7658</v>
      </c>
      <c r="C505" s="50" t="s">
        <v>82</v>
      </c>
      <c r="D505" s="57" t="s">
        <v>116</v>
      </c>
      <c r="E505" s="58">
        <v>80111600</v>
      </c>
      <c r="F505" s="57" t="s">
        <v>143</v>
      </c>
      <c r="G505" s="51">
        <v>45351</v>
      </c>
      <c r="H505" s="59">
        <v>45351</v>
      </c>
      <c r="I505" s="52">
        <v>10</v>
      </c>
      <c r="J505" s="57" t="s">
        <v>21</v>
      </c>
      <c r="K505" s="57" t="s">
        <v>22</v>
      </c>
      <c r="L505" s="57" t="s">
        <v>23</v>
      </c>
      <c r="M505" s="53">
        <v>30000000</v>
      </c>
      <c r="N505" s="58" t="s">
        <v>118</v>
      </c>
      <c r="O505" s="58" t="s">
        <v>119</v>
      </c>
      <c r="P505" s="58" t="s">
        <v>26</v>
      </c>
      <c r="Q505" s="19"/>
      <c r="R505" s="19"/>
    </row>
    <row r="506" spans="1:18" ht="70" x14ac:dyDescent="0.3">
      <c r="A506" s="49">
        <v>20240425</v>
      </c>
      <c r="B506" s="49">
        <v>7658</v>
      </c>
      <c r="C506" s="50" t="s">
        <v>82</v>
      </c>
      <c r="D506" s="57" t="s">
        <v>116</v>
      </c>
      <c r="E506" s="58">
        <v>80111600</v>
      </c>
      <c r="F506" s="57" t="s">
        <v>143</v>
      </c>
      <c r="G506" s="51">
        <v>45351</v>
      </c>
      <c r="H506" s="59">
        <v>45351</v>
      </c>
      <c r="I506" s="52">
        <v>10</v>
      </c>
      <c r="J506" s="57" t="s">
        <v>21</v>
      </c>
      <c r="K506" s="57" t="s">
        <v>22</v>
      </c>
      <c r="L506" s="57" t="s">
        <v>23</v>
      </c>
      <c r="M506" s="53">
        <v>30000000</v>
      </c>
      <c r="N506" s="58" t="s">
        <v>118</v>
      </c>
      <c r="O506" s="58" t="s">
        <v>119</v>
      </c>
      <c r="P506" s="58" t="s">
        <v>26</v>
      </c>
      <c r="Q506" s="19"/>
      <c r="R506" s="19"/>
    </row>
    <row r="507" spans="1:18" ht="70" x14ac:dyDescent="0.3">
      <c r="A507" s="49">
        <v>20240426</v>
      </c>
      <c r="B507" s="49">
        <v>7658</v>
      </c>
      <c r="C507" s="50" t="s">
        <v>82</v>
      </c>
      <c r="D507" s="57" t="s">
        <v>116</v>
      </c>
      <c r="E507" s="58">
        <v>80111600</v>
      </c>
      <c r="F507" s="57" t="s">
        <v>143</v>
      </c>
      <c r="G507" s="51">
        <v>45351</v>
      </c>
      <c r="H507" s="59">
        <v>45351</v>
      </c>
      <c r="I507" s="52">
        <v>10</v>
      </c>
      <c r="J507" s="57" t="s">
        <v>21</v>
      </c>
      <c r="K507" s="57" t="s">
        <v>22</v>
      </c>
      <c r="L507" s="57" t="s">
        <v>23</v>
      </c>
      <c r="M507" s="53">
        <v>30000000</v>
      </c>
      <c r="N507" s="58" t="s">
        <v>118</v>
      </c>
      <c r="O507" s="58" t="s">
        <v>119</v>
      </c>
      <c r="P507" s="58" t="s">
        <v>26</v>
      </c>
      <c r="Q507" s="19"/>
      <c r="R507" s="19"/>
    </row>
    <row r="508" spans="1:18" ht="70" x14ac:dyDescent="0.3">
      <c r="A508" s="49">
        <v>20240427</v>
      </c>
      <c r="B508" s="49">
        <v>7658</v>
      </c>
      <c r="C508" s="50" t="s">
        <v>82</v>
      </c>
      <c r="D508" s="57" t="s">
        <v>116</v>
      </c>
      <c r="E508" s="58">
        <v>80111600</v>
      </c>
      <c r="F508" s="57" t="s">
        <v>144</v>
      </c>
      <c r="G508" s="51">
        <v>45351</v>
      </c>
      <c r="H508" s="59">
        <v>45351</v>
      </c>
      <c r="I508" s="52">
        <v>10</v>
      </c>
      <c r="J508" s="57" t="s">
        <v>21</v>
      </c>
      <c r="K508" s="57" t="s">
        <v>22</v>
      </c>
      <c r="L508" s="57" t="s">
        <v>23</v>
      </c>
      <c r="M508" s="53">
        <f>25000000-7500000</f>
        <v>17500000</v>
      </c>
      <c r="N508" s="58" t="s">
        <v>118</v>
      </c>
      <c r="O508" s="58" t="s">
        <v>119</v>
      </c>
      <c r="P508" s="58" t="s">
        <v>26</v>
      </c>
      <c r="Q508" s="19"/>
      <c r="R508" s="19"/>
    </row>
    <row r="509" spans="1:18" ht="70" x14ac:dyDescent="0.3">
      <c r="A509" s="49">
        <v>20240429</v>
      </c>
      <c r="B509" s="49">
        <v>7658</v>
      </c>
      <c r="C509" s="50" t="s">
        <v>82</v>
      </c>
      <c r="D509" s="57" t="s">
        <v>116</v>
      </c>
      <c r="E509" s="58">
        <v>80111600</v>
      </c>
      <c r="F509" s="57" t="s">
        <v>144</v>
      </c>
      <c r="G509" s="51">
        <v>45351</v>
      </c>
      <c r="H509" s="59">
        <v>45351</v>
      </c>
      <c r="I509" s="52">
        <v>10</v>
      </c>
      <c r="J509" s="57" t="s">
        <v>21</v>
      </c>
      <c r="K509" s="57" t="s">
        <v>22</v>
      </c>
      <c r="L509" s="57" t="s">
        <v>23</v>
      </c>
      <c r="M509" s="53">
        <f>25000000-7500000</f>
        <v>17500000</v>
      </c>
      <c r="N509" s="58" t="s">
        <v>118</v>
      </c>
      <c r="O509" s="58" t="s">
        <v>119</v>
      </c>
      <c r="P509" s="58" t="s">
        <v>26</v>
      </c>
      <c r="Q509" s="19"/>
      <c r="R509" s="19"/>
    </row>
    <row r="510" spans="1:18" ht="70" x14ac:dyDescent="0.3">
      <c r="A510" s="49">
        <v>20240431</v>
      </c>
      <c r="B510" s="49">
        <v>7658</v>
      </c>
      <c r="C510" s="50" t="s">
        <v>82</v>
      </c>
      <c r="D510" s="57" t="s">
        <v>116</v>
      </c>
      <c r="E510" s="58">
        <v>80111600</v>
      </c>
      <c r="F510" s="57" t="s">
        <v>144</v>
      </c>
      <c r="G510" s="51">
        <v>45351</v>
      </c>
      <c r="H510" s="59">
        <v>45351</v>
      </c>
      <c r="I510" s="52">
        <v>10</v>
      </c>
      <c r="J510" s="57" t="s">
        <v>21</v>
      </c>
      <c r="K510" s="57" t="s">
        <v>22</v>
      </c>
      <c r="L510" s="57" t="s">
        <v>23</v>
      </c>
      <c r="M510" s="53">
        <v>25000000</v>
      </c>
      <c r="N510" s="58" t="s">
        <v>118</v>
      </c>
      <c r="O510" s="58" t="s">
        <v>119</v>
      </c>
      <c r="P510" s="58" t="s">
        <v>26</v>
      </c>
      <c r="Q510" s="19"/>
      <c r="R510" s="19"/>
    </row>
    <row r="511" spans="1:18" ht="70" x14ac:dyDescent="0.3">
      <c r="A511" s="49">
        <v>20240432</v>
      </c>
      <c r="B511" s="49">
        <v>7658</v>
      </c>
      <c r="C511" s="50" t="s">
        <v>82</v>
      </c>
      <c r="D511" s="57" t="s">
        <v>116</v>
      </c>
      <c r="E511" s="58">
        <v>80111600</v>
      </c>
      <c r="F511" s="57" t="s">
        <v>144</v>
      </c>
      <c r="G511" s="51">
        <v>45351</v>
      </c>
      <c r="H511" s="59">
        <v>45351</v>
      </c>
      <c r="I511" s="52">
        <v>10</v>
      </c>
      <c r="J511" s="57" t="s">
        <v>21</v>
      </c>
      <c r="K511" s="57" t="s">
        <v>22</v>
      </c>
      <c r="L511" s="57" t="s">
        <v>23</v>
      </c>
      <c r="M511" s="53">
        <v>25000000</v>
      </c>
      <c r="N511" s="58" t="s">
        <v>118</v>
      </c>
      <c r="O511" s="58" t="s">
        <v>119</v>
      </c>
      <c r="P511" s="58" t="s">
        <v>26</v>
      </c>
      <c r="Q511" s="19"/>
      <c r="R511" s="19"/>
    </row>
    <row r="512" spans="1:18" ht="70" x14ac:dyDescent="0.3">
      <c r="A512" s="49">
        <v>20240433</v>
      </c>
      <c r="B512" s="49">
        <v>7658</v>
      </c>
      <c r="C512" s="50" t="s">
        <v>82</v>
      </c>
      <c r="D512" s="57" t="s">
        <v>116</v>
      </c>
      <c r="E512" s="58">
        <v>80111600</v>
      </c>
      <c r="F512" s="57" t="s">
        <v>144</v>
      </c>
      <c r="G512" s="51">
        <v>45351</v>
      </c>
      <c r="H512" s="59">
        <v>45351</v>
      </c>
      <c r="I512" s="52">
        <v>10</v>
      </c>
      <c r="J512" s="57" t="s">
        <v>21</v>
      </c>
      <c r="K512" s="57" t="s">
        <v>22</v>
      </c>
      <c r="L512" s="57" t="s">
        <v>23</v>
      </c>
      <c r="M512" s="53">
        <v>25000000</v>
      </c>
      <c r="N512" s="58" t="s">
        <v>118</v>
      </c>
      <c r="O512" s="58" t="s">
        <v>119</v>
      </c>
      <c r="P512" s="58" t="s">
        <v>26</v>
      </c>
      <c r="Q512" s="19"/>
      <c r="R512" s="19"/>
    </row>
    <row r="513" spans="1:18" ht="70" x14ac:dyDescent="0.3">
      <c r="A513" s="49">
        <v>20240434</v>
      </c>
      <c r="B513" s="49">
        <v>7658</v>
      </c>
      <c r="C513" s="50" t="s">
        <v>82</v>
      </c>
      <c r="D513" s="57" t="s">
        <v>116</v>
      </c>
      <c r="E513" s="58">
        <v>80111600</v>
      </c>
      <c r="F513" s="57" t="s">
        <v>144</v>
      </c>
      <c r="G513" s="51">
        <v>45351</v>
      </c>
      <c r="H513" s="59">
        <v>45351</v>
      </c>
      <c r="I513" s="52">
        <v>10</v>
      </c>
      <c r="J513" s="57" t="s">
        <v>21</v>
      </c>
      <c r="K513" s="57" t="s">
        <v>22</v>
      </c>
      <c r="L513" s="57" t="s">
        <v>23</v>
      </c>
      <c r="M513" s="53">
        <v>25000000</v>
      </c>
      <c r="N513" s="58" t="s">
        <v>118</v>
      </c>
      <c r="O513" s="58" t="s">
        <v>119</v>
      </c>
      <c r="P513" s="58" t="s">
        <v>26</v>
      </c>
      <c r="Q513" s="19"/>
      <c r="R513" s="19"/>
    </row>
    <row r="514" spans="1:18" ht="70" x14ac:dyDescent="0.3">
      <c r="A514" s="49">
        <v>20240435</v>
      </c>
      <c r="B514" s="49">
        <v>7658</v>
      </c>
      <c r="C514" s="50" t="s">
        <v>82</v>
      </c>
      <c r="D514" s="57" t="s">
        <v>116</v>
      </c>
      <c r="E514" s="58">
        <v>80111600</v>
      </c>
      <c r="F514" s="57" t="s">
        <v>145</v>
      </c>
      <c r="G514" s="51">
        <v>45351</v>
      </c>
      <c r="H514" s="59">
        <v>45351</v>
      </c>
      <c r="I514" s="52">
        <v>10</v>
      </c>
      <c r="J514" s="57" t="s">
        <v>21</v>
      </c>
      <c r="K514" s="57" t="s">
        <v>22</v>
      </c>
      <c r="L514" s="57" t="s">
        <v>23</v>
      </c>
      <c r="M514" s="53">
        <v>25000000</v>
      </c>
      <c r="N514" s="58" t="s">
        <v>118</v>
      </c>
      <c r="O514" s="58" t="s">
        <v>119</v>
      </c>
      <c r="P514" s="58" t="s">
        <v>26</v>
      </c>
      <c r="Q514" s="19"/>
      <c r="R514" s="19"/>
    </row>
    <row r="515" spans="1:18" ht="70" x14ac:dyDescent="0.3">
      <c r="A515" s="49">
        <v>20240438</v>
      </c>
      <c r="B515" s="49">
        <v>7637</v>
      </c>
      <c r="C515" s="50" t="s">
        <v>183</v>
      </c>
      <c r="D515" s="57" t="s">
        <v>222</v>
      </c>
      <c r="E515" s="58" t="s">
        <v>452</v>
      </c>
      <c r="F515" s="57" t="s">
        <v>197</v>
      </c>
      <c r="G515" s="51">
        <v>45390</v>
      </c>
      <c r="H515" s="59">
        <v>45414</v>
      </c>
      <c r="I515" s="52">
        <v>6</v>
      </c>
      <c r="J515" s="57" t="s">
        <v>195</v>
      </c>
      <c r="K515" s="57" t="s">
        <v>22</v>
      </c>
      <c r="L515" s="57" t="s">
        <v>198</v>
      </c>
      <c r="M515" s="53">
        <f>100000000+2020000</f>
        <v>102020000</v>
      </c>
      <c r="N515" s="58" t="s">
        <v>187</v>
      </c>
      <c r="O515" s="58" t="s">
        <v>188</v>
      </c>
      <c r="P515" s="58" t="s">
        <v>26</v>
      </c>
      <c r="Q515" s="19"/>
      <c r="R515" s="19"/>
    </row>
    <row r="516" spans="1:18" ht="70" x14ac:dyDescent="0.3">
      <c r="A516" s="49">
        <v>20240439</v>
      </c>
      <c r="B516" s="49">
        <v>7637</v>
      </c>
      <c r="C516" s="50" t="s">
        <v>183</v>
      </c>
      <c r="D516" s="57" t="s">
        <v>222</v>
      </c>
      <c r="E516" s="58">
        <v>45111800</v>
      </c>
      <c r="F516" s="57" t="s">
        <v>246</v>
      </c>
      <c r="G516" s="51">
        <v>45352</v>
      </c>
      <c r="H516" s="59">
        <v>45412</v>
      </c>
      <c r="I516" s="52">
        <v>3</v>
      </c>
      <c r="J516" s="57" t="s">
        <v>97</v>
      </c>
      <c r="K516" s="57" t="s">
        <v>22</v>
      </c>
      <c r="L516" s="57" t="s">
        <v>186</v>
      </c>
      <c r="M516" s="53">
        <f>100000000-50000000</f>
        <v>50000000</v>
      </c>
      <c r="N516" s="58" t="s">
        <v>187</v>
      </c>
      <c r="O516" s="58" t="s">
        <v>188</v>
      </c>
      <c r="P516" s="58" t="s">
        <v>26</v>
      </c>
      <c r="Q516" s="19"/>
      <c r="R516" s="19"/>
    </row>
    <row r="517" spans="1:18" ht="56" x14ac:dyDescent="0.3">
      <c r="A517" s="49">
        <v>20240440</v>
      </c>
      <c r="B517" s="49">
        <v>7655</v>
      </c>
      <c r="C517" s="50" t="s">
        <v>18</v>
      </c>
      <c r="D517" s="57" t="s">
        <v>106</v>
      </c>
      <c r="E517" s="58">
        <v>80111600</v>
      </c>
      <c r="F517" s="57" t="s">
        <v>113</v>
      </c>
      <c r="G517" s="51">
        <v>45352</v>
      </c>
      <c r="H517" s="59">
        <v>45352</v>
      </c>
      <c r="I517" s="52">
        <v>9</v>
      </c>
      <c r="J517" s="57" t="s">
        <v>21</v>
      </c>
      <c r="K517" s="57" t="s">
        <v>22</v>
      </c>
      <c r="L517" s="57" t="s">
        <v>29</v>
      </c>
      <c r="M517" s="53">
        <v>46800000</v>
      </c>
      <c r="N517" s="58" t="s">
        <v>24</v>
      </c>
      <c r="O517" s="58" t="s">
        <v>80</v>
      </c>
      <c r="P517" s="58" t="s">
        <v>26</v>
      </c>
      <c r="Q517" s="19"/>
      <c r="R517" s="19"/>
    </row>
    <row r="518" spans="1:18" ht="56" x14ac:dyDescent="0.3">
      <c r="A518" s="49">
        <v>20240441</v>
      </c>
      <c r="B518" s="49">
        <v>131</v>
      </c>
      <c r="C518" s="50" t="s">
        <v>403</v>
      </c>
      <c r="D518" s="57" t="s">
        <v>152</v>
      </c>
      <c r="E518" s="58">
        <v>80101700</v>
      </c>
      <c r="F518" s="57" t="s">
        <v>395</v>
      </c>
      <c r="G518" s="51">
        <v>45352</v>
      </c>
      <c r="H518" s="59">
        <v>45383</v>
      </c>
      <c r="I518" s="52">
        <v>2</v>
      </c>
      <c r="J518" s="57" t="s">
        <v>36</v>
      </c>
      <c r="K518" s="57" t="s">
        <v>22</v>
      </c>
      <c r="L518" s="57" t="s">
        <v>66</v>
      </c>
      <c r="M518" s="53">
        <v>10000000</v>
      </c>
      <c r="N518" s="58" t="s">
        <v>598</v>
      </c>
      <c r="O518" s="58" t="s">
        <v>598</v>
      </c>
      <c r="P518" s="58" t="s">
        <v>26</v>
      </c>
      <c r="Q518" s="19"/>
      <c r="R518" s="19"/>
    </row>
    <row r="519" spans="1:18" ht="28" x14ac:dyDescent="0.3">
      <c r="A519" s="49">
        <v>20240442</v>
      </c>
      <c r="B519" s="49">
        <v>131</v>
      </c>
      <c r="C519" s="50" t="s">
        <v>403</v>
      </c>
      <c r="D519" s="57" t="s">
        <v>222</v>
      </c>
      <c r="E519" s="58">
        <v>43233205</v>
      </c>
      <c r="F519" s="57" t="s">
        <v>511</v>
      </c>
      <c r="G519" s="51">
        <v>45355</v>
      </c>
      <c r="H519" s="59">
        <v>45397</v>
      </c>
      <c r="I519" s="52">
        <v>2</v>
      </c>
      <c r="J519" s="57" t="s">
        <v>36</v>
      </c>
      <c r="K519" s="57" t="s">
        <v>22</v>
      </c>
      <c r="L519" s="57" t="s">
        <v>66</v>
      </c>
      <c r="M519" s="53">
        <f>2500000+1000000+1100000</f>
        <v>4600000</v>
      </c>
      <c r="N519" s="58" t="s">
        <v>598</v>
      </c>
      <c r="O519" s="58" t="s">
        <v>598</v>
      </c>
      <c r="P519" s="58" t="s">
        <v>26</v>
      </c>
      <c r="Q519" s="19"/>
      <c r="R519" s="19"/>
    </row>
    <row r="520" spans="1:18" ht="56" x14ac:dyDescent="0.3">
      <c r="A520" s="49">
        <v>20240443</v>
      </c>
      <c r="B520" s="49">
        <v>131</v>
      </c>
      <c r="C520" s="50" t="s">
        <v>403</v>
      </c>
      <c r="D520" s="57" t="s">
        <v>222</v>
      </c>
      <c r="E520" s="58">
        <v>81112100</v>
      </c>
      <c r="F520" s="57" t="s">
        <v>401</v>
      </c>
      <c r="G520" s="51">
        <v>45505</v>
      </c>
      <c r="H520" s="59">
        <v>45566</v>
      </c>
      <c r="I520" s="52">
        <v>6</v>
      </c>
      <c r="J520" s="57" t="s">
        <v>195</v>
      </c>
      <c r="K520" s="57" t="s">
        <v>22</v>
      </c>
      <c r="L520" s="57" t="s">
        <v>66</v>
      </c>
      <c r="M520" s="53">
        <f>292500000-133000000</f>
        <v>159500000</v>
      </c>
      <c r="N520" s="58" t="s">
        <v>598</v>
      </c>
      <c r="O520" s="58" t="s">
        <v>598</v>
      </c>
      <c r="P520" s="58" t="s">
        <v>26</v>
      </c>
      <c r="Q520" s="19"/>
      <c r="R520" s="19"/>
    </row>
    <row r="521" spans="1:18" ht="70" x14ac:dyDescent="0.3">
      <c r="A521" s="49">
        <v>20240444</v>
      </c>
      <c r="B521" s="49">
        <v>7637</v>
      </c>
      <c r="C521" s="50" t="s">
        <v>183</v>
      </c>
      <c r="D521" s="57" t="s">
        <v>222</v>
      </c>
      <c r="E521" s="58">
        <v>46171619</v>
      </c>
      <c r="F521" s="57" t="s">
        <v>247</v>
      </c>
      <c r="G521" s="51">
        <v>45355</v>
      </c>
      <c r="H521" s="59">
        <v>45412</v>
      </c>
      <c r="I521" s="52">
        <v>12</v>
      </c>
      <c r="J521" s="57" t="s">
        <v>46</v>
      </c>
      <c r="K521" s="57" t="s">
        <v>22</v>
      </c>
      <c r="L521" s="57" t="s">
        <v>191</v>
      </c>
      <c r="M521" s="53">
        <v>32000000</v>
      </c>
      <c r="N521" s="58" t="s">
        <v>187</v>
      </c>
      <c r="O521" s="58" t="s">
        <v>188</v>
      </c>
      <c r="P521" s="58" t="s">
        <v>26</v>
      </c>
      <c r="Q521" s="19"/>
      <c r="R521" s="19"/>
    </row>
    <row r="522" spans="1:18" ht="70" x14ac:dyDescent="0.3">
      <c r="A522" s="49">
        <v>20240445</v>
      </c>
      <c r="B522" s="49">
        <v>7637</v>
      </c>
      <c r="C522" s="50" t="s">
        <v>183</v>
      </c>
      <c r="D522" s="57" t="s">
        <v>222</v>
      </c>
      <c r="E522" s="58">
        <v>81112006</v>
      </c>
      <c r="F522" s="57" t="s">
        <v>213</v>
      </c>
      <c r="G522" s="51">
        <v>45362</v>
      </c>
      <c r="H522" s="59">
        <v>45412</v>
      </c>
      <c r="I522" s="52">
        <v>12</v>
      </c>
      <c r="J522" s="57" t="s">
        <v>46</v>
      </c>
      <c r="K522" s="57" t="s">
        <v>22</v>
      </c>
      <c r="L522" s="57" t="s">
        <v>191</v>
      </c>
      <c r="M522" s="53">
        <v>20000000</v>
      </c>
      <c r="N522" s="58" t="s">
        <v>192</v>
      </c>
      <c r="O522" s="58" t="s">
        <v>188</v>
      </c>
      <c r="P522" s="58" t="s">
        <v>26</v>
      </c>
      <c r="Q522" s="19"/>
      <c r="R522" s="19"/>
    </row>
    <row r="523" spans="1:18" ht="71.150000000000006" customHeight="1" x14ac:dyDescent="0.3">
      <c r="A523" s="49">
        <v>20240446</v>
      </c>
      <c r="B523" s="49">
        <v>7658</v>
      </c>
      <c r="C523" s="50" t="s">
        <v>82</v>
      </c>
      <c r="D523" s="57" t="s">
        <v>116</v>
      </c>
      <c r="E523" s="58">
        <v>80111600</v>
      </c>
      <c r="F523" s="57" t="s">
        <v>351</v>
      </c>
      <c r="G523" s="51">
        <v>45383</v>
      </c>
      <c r="H523" s="59">
        <v>45392</v>
      </c>
      <c r="I523" s="52">
        <v>1</v>
      </c>
      <c r="J523" s="57" t="s">
        <v>36</v>
      </c>
      <c r="K523" s="57" t="s">
        <v>22</v>
      </c>
      <c r="L523" s="57" t="s">
        <v>23</v>
      </c>
      <c r="M523" s="53">
        <v>35600000</v>
      </c>
      <c r="N523" s="58" t="s">
        <v>118</v>
      </c>
      <c r="O523" s="58" t="s">
        <v>119</v>
      </c>
      <c r="P523" s="58" t="s">
        <v>26</v>
      </c>
      <c r="Q523" s="19"/>
      <c r="R523" s="19"/>
    </row>
    <row r="524" spans="1:18" ht="71.150000000000006" customHeight="1" x14ac:dyDescent="0.3">
      <c r="A524" s="49">
        <v>20240447</v>
      </c>
      <c r="B524" s="49">
        <v>7658</v>
      </c>
      <c r="C524" s="50" t="s">
        <v>82</v>
      </c>
      <c r="D524" s="57" t="s">
        <v>152</v>
      </c>
      <c r="E524" s="58" t="s">
        <v>453</v>
      </c>
      <c r="F524" s="57" t="s">
        <v>156</v>
      </c>
      <c r="G524" s="51">
        <v>45383</v>
      </c>
      <c r="H524" s="59">
        <v>45427</v>
      </c>
      <c r="I524" s="52">
        <v>6</v>
      </c>
      <c r="J524" s="57" t="s">
        <v>358</v>
      </c>
      <c r="K524" s="57" t="s">
        <v>22</v>
      </c>
      <c r="L524" s="57" t="s">
        <v>497</v>
      </c>
      <c r="M524" s="53">
        <f>100000000-27045429-22000000</f>
        <v>50954571</v>
      </c>
      <c r="N524" s="58" t="s">
        <v>154</v>
      </c>
      <c r="O524" s="58" t="s">
        <v>155</v>
      </c>
      <c r="P524" s="58" t="s">
        <v>26</v>
      </c>
      <c r="Q524" s="19"/>
      <c r="R524" s="19"/>
    </row>
    <row r="525" spans="1:18" ht="71.150000000000006" customHeight="1" x14ac:dyDescent="0.3">
      <c r="A525" s="49">
        <v>20240451</v>
      </c>
      <c r="B525" s="49">
        <v>7658</v>
      </c>
      <c r="C525" s="50" t="s">
        <v>82</v>
      </c>
      <c r="D525" s="57" t="s">
        <v>248</v>
      </c>
      <c r="E525" s="58" t="s">
        <v>456</v>
      </c>
      <c r="F525" s="57" t="s">
        <v>250</v>
      </c>
      <c r="G525" s="51">
        <v>45383</v>
      </c>
      <c r="H525" s="59">
        <v>45427</v>
      </c>
      <c r="I525" s="52">
        <v>6</v>
      </c>
      <c r="J525" s="57" t="s">
        <v>49</v>
      </c>
      <c r="K525" s="57" t="s">
        <v>22</v>
      </c>
      <c r="L525" s="57" t="s">
        <v>50</v>
      </c>
      <c r="M525" s="53">
        <v>100000000</v>
      </c>
      <c r="N525" s="58" t="s">
        <v>249</v>
      </c>
      <c r="O525" s="58" t="s">
        <v>25</v>
      </c>
      <c r="P525" s="58" t="s">
        <v>26</v>
      </c>
      <c r="Q525" s="19"/>
      <c r="R525" s="19"/>
    </row>
    <row r="526" spans="1:18" ht="71.150000000000006" customHeight="1" x14ac:dyDescent="0.3">
      <c r="A526" s="49">
        <v>20240452</v>
      </c>
      <c r="B526" s="49">
        <v>7658</v>
      </c>
      <c r="C526" s="50" t="s">
        <v>82</v>
      </c>
      <c r="D526" s="57" t="s">
        <v>248</v>
      </c>
      <c r="E526" s="58" t="s">
        <v>457</v>
      </c>
      <c r="F526" s="57" t="s">
        <v>250</v>
      </c>
      <c r="G526" s="51">
        <v>45383</v>
      </c>
      <c r="H526" s="59">
        <v>45427</v>
      </c>
      <c r="I526" s="52">
        <v>6</v>
      </c>
      <c r="J526" s="57" t="s">
        <v>49</v>
      </c>
      <c r="K526" s="57" t="s">
        <v>22</v>
      </c>
      <c r="L526" s="57" t="s">
        <v>50</v>
      </c>
      <c r="M526" s="53">
        <v>100000000</v>
      </c>
      <c r="N526" s="58" t="s">
        <v>249</v>
      </c>
      <c r="O526" s="58" t="s">
        <v>25</v>
      </c>
      <c r="P526" s="58" t="s">
        <v>26</v>
      </c>
      <c r="Q526" s="19"/>
      <c r="R526" s="19"/>
    </row>
    <row r="527" spans="1:18" ht="71.150000000000006" customHeight="1" x14ac:dyDescent="0.3">
      <c r="A527" s="49">
        <v>20240453</v>
      </c>
      <c r="B527" s="49">
        <v>7658</v>
      </c>
      <c r="C527" s="50" t="s">
        <v>82</v>
      </c>
      <c r="D527" s="57" t="s">
        <v>248</v>
      </c>
      <c r="E527" s="58" t="s">
        <v>458</v>
      </c>
      <c r="F527" s="57" t="s">
        <v>250</v>
      </c>
      <c r="G527" s="51">
        <v>45383</v>
      </c>
      <c r="H527" s="59">
        <v>45427</v>
      </c>
      <c r="I527" s="52">
        <v>6</v>
      </c>
      <c r="J527" s="57" t="s">
        <v>49</v>
      </c>
      <c r="K527" s="57" t="s">
        <v>22</v>
      </c>
      <c r="L527" s="57" t="s">
        <v>50</v>
      </c>
      <c r="M527" s="53">
        <v>100000000</v>
      </c>
      <c r="N527" s="58" t="s">
        <v>249</v>
      </c>
      <c r="O527" s="58" t="s">
        <v>25</v>
      </c>
      <c r="P527" s="58" t="s">
        <v>26</v>
      </c>
      <c r="Q527" s="19"/>
      <c r="R527" s="19"/>
    </row>
    <row r="528" spans="1:18" ht="71.150000000000006" customHeight="1" x14ac:dyDescent="0.3">
      <c r="A528" s="49">
        <v>20240454</v>
      </c>
      <c r="B528" s="49">
        <v>7658</v>
      </c>
      <c r="C528" s="50" t="s">
        <v>82</v>
      </c>
      <c r="D528" s="57" t="s">
        <v>248</v>
      </c>
      <c r="E528" s="58" t="s">
        <v>459</v>
      </c>
      <c r="F528" s="57" t="s">
        <v>250</v>
      </c>
      <c r="G528" s="51">
        <v>45383</v>
      </c>
      <c r="H528" s="59">
        <v>45427</v>
      </c>
      <c r="I528" s="52">
        <v>6</v>
      </c>
      <c r="J528" s="57" t="s">
        <v>49</v>
      </c>
      <c r="K528" s="57" t="s">
        <v>22</v>
      </c>
      <c r="L528" s="57" t="s">
        <v>50</v>
      </c>
      <c r="M528" s="53">
        <v>100000000</v>
      </c>
      <c r="N528" s="58" t="s">
        <v>249</v>
      </c>
      <c r="O528" s="58" t="s">
        <v>25</v>
      </c>
      <c r="P528" s="58" t="s">
        <v>26</v>
      </c>
      <c r="Q528" s="19"/>
      <c r="R528" s="19"/>
    </row>
    <row r="529" spans="1:18" ht="71.150000000000006" customHeight="1" x14ac:dyDescent="0.3">
      <c r="A529" s="49">
        <v>20240455</v>
      </c>
      <c r="B529" s="49">
        <v>7658</v>
      </c>
      <c r="C529" s="50" t="s">
        <v>82</v>
      </c>
      <c r="D529" s="57" t="s">
        <v>248</v>
      </c>
      <c r="E529" s="58" t="s">
        <v>460</v>
      </c>
      <c r="F529" s="57" t="s">
        <v>250</v>
      </c>
      <c r="G529" s="51">
        <v>45383</v>
      </c>
      <c r="H529" s="59">
        <v>45427</v>
      </c>
      <c r="I529" s="52">
        <v>6</v>
      </c>
      <c r="J529" s="57" t="s">
        <v>49</v>
      </c>
      <c r="K529" s="57" t="s">
        <v>22</v>
      </c>
      <c r="L529" s="57" t="s">
        <v>50</v>
      </c>
      <c r="M529" s="53">
        <v>100000000</v>
      </c>
      <c r="N529" s="58" t="s">
        <v>249</v>
      </c>
      <c r="O529" s="58" t="s">
        <v>25</v>
      </c>
      <c r="P529" s="58" t="s">
        <v>26</v>
      </c>
      <c r="Q529" s="19"/>
      <c r="R529" s="19"/>
    </row>
    <row r="530" spans="1:18" ht="71.150000000000006" customHeight="1" x14ac:dyDescent="0.3">
      <c r="A530" s="49">
        <v>20240456</v>
      </c>
      <c r="B530" s="49">
        <v>7658</v>
      </c>
      <c r="C530" s="50" t="s">
        <v>82</v>
      </c>
      <c r="D530" s="57" t="s">
        <v>248</v>
      </c>
      <c r="E530" s="58" t="s">
        <v>461</v>
      </c>
      <c r="F530" s="57" t="s">
        <v>250</v>
      </c>
      <c r="G530" s="51">
        <v>45383</v>
      </c>
      <c r="H530" s="59">
        <v>45427</v>
      </c>
      <c r="I530" s="52">
        <v>6</v>
      </c>
      <c r="J530" s="57" t="s">
        <v>49</v>
      </c>
      <c r="K530" s="57" t="s">
        <v>22</v>
      </c>
      <c r="L530" s="57" t="s">
        <v>50</v>
      </c>
      <c r="M530" s="53">
        <v>100000000</v>
      </c>
      <c r="N530" s="58" t="s">
        <v>249</v>
      </c>
      <c r="O530" s="58" t="s">
        <v>25</v>
      </c>
      <c r="P530" s="58" t="s">
        <v>26</v>
      </c>
      <c r="Q530" s="19"/>
      <c r="R530" s="19"/>
    </row>
    <row r="531" spans="1:18" ht="91" customHeight="1" x14ac:dyDescent="0.3">
      <c r="A531" s="49">
        <v>20240457</v>
      </c>
      <c r="B531" s="49">
        <v>7658</v>
      </c>
      <c r="C531" s="50" t="s">
        <v>82</v>
      </c>
      <c r="D531" s="57" t="s">
        <v>248</v>
      </c>
      <c r="E531" s="58" t="s">
        <v>462</v>
      </c>
      <c r="F531" s="57" t="s">
        <v>250</v>
      </c>
      <c r="G531" s="51">
        <v>45383</v>
      </c>
      <c r="H531" s="59">
        <v>45427</v>
      </c>
      <c r="I531" s="52">
        <v>6</v>
      </c>
      <c r="J531" s="57" t="s">
        <v>49</v>
      </c>
      <c r="K531" s="57" t="s">
        <v>22</v>
      </c>
      <c r="L531" s="57" t="s">
        <v>50</v>
      </c>
      <c r="M531" s="53">
        <v>100000000</v>
      </c>
      <c r="N531" s="58" t="s">
        <v>249</v>
      </c>
      <c r="O531" s="58" t="s">
        <v>25</v>
      </c>
      <c r="P531" s="58" t="s">
        <v>26</v>
      </c>
      <c r="Q531" s="19"/>
      <c r="R531" s="19"/>
    </row>
    <row r="532" spans="1:18" ht="91" customHeight="1" x14ac:dyDescent="0.3">
      <c r="A532" s="49">
        <v>20240458</v>
      </c>
      <c r="B532" s="49">
        <v>7658</v>
      </c>
      <c r="C532" s="50" t="s">
        <v>82</v>
      </c>
      <c r="D532" s="57" t="s">
        <v>248</v>
      </c>
      <c r="E532" s="58" t="s">
        <v>463</v>
      </c>
      <c r="F532" s="57" t="s">
        <v>250</v>
      </c>
      <c r="G532" s="51">
        <v>45383</v>
      </c>
      <c r="H532" s="59">
        <v>45427</v>
      </c>
      <c r="I532" s="52">
        <v>6</v>
      </c>
      <c r="J532" s="57" t="s">
        <v>49</v>
      </c>
      <c r="K532" s="57" t="s">
        <v>22</v>
      </c>
      <c r="L532" s="57" t="s">
        <v>50</v>
      </c>
      <c r="M532" s="53">
        <v>100000000</v>
      </c>
      <c r="N532" s="58" t="s">
        <v>249</v>
      </c>
      <c r="O532" s="58" t="s">
        <v>25</v>
      </c>
      <c r="P532" s="58" t="s">
        <v>26</v>
      </c>
      <c r="Q532" s="19"/>
      <c r="R532" s="19"/>
    </row>
    <row r="533" spans="1:18" ht="91" customHeight="1" x14ac:dyDescent="0.3">
      <c r="A533" s="49">
        <v>20240459</v>
      </c>
      <c r="B533" s="49">
        <v>7658</v>
      </c>
      <c r="C533" s="50" t="s">
        <v>82</v>
      </c>
      <c r="D533" s="57" t="s">
        <v>248</v>
      </c>
      <c r="E533" s="58" t="s">
        <v>464</v>
      </c>
      <c r="F533" s="57" t="s">
        <v>250</v>
      </c>
      <c r="G533" s="51">
        <v>45383</v>
      </c>
      <c r="H533" s="59">
        <v>45427</v>
      </c>
      <c r="I533" s="52">
        <v>6</v>
      </c>
      <c r="J533" s="57" t="s">
        <v>49</v>
      </c>
      <c r="K533" s="57" t="s">
        <v>22</v>
      </c>
      <c r="L533" s="57" t="s">
        <v>50</v>
      </c>
      <c r="M533" s="53">
        <v>100000000</v>
      </c>
      <c r="N533" s="58" t="s">
        <v>249</v>
      </c>
      <c r="O533" s="58" t="s">
        <v>25</v>
      </c>
      <c r="P533" s="58" t="s">
        <v>26</v>
      </c>
      <c r="Q533" s="19"/>
      <c r="R533" s="19"/>
    </row>
    <row r="534" spans="1:18" ht="91" customHeight="1" x14ac:dyDescent="0.3">
      <c r="A534" s="49">
        <v>20240460</v>
      </c>
      <c r="B534" s="49">
        <v>7658</v>
      </c>
      <c r="C534" s="50" t="s">
        <v>82</v>
      </c>
      <c r="D534" s="57" t="s">
        <v>248</v>
      </c>
      <c r="E534" s="58" t="s">
        <v>465</v>
      </c>
      <c r="F534" s="57" t="s">
        <v>250</v>
      </c>
      <c r="G534" s="51">
        <v>45383</v>
      </c>
      <c r="H534" s="59">
        <v>45427</v>
      </c>
      <c r="I534" s="52">
        <v>6</v>
      </c>
      <c r="J534" s="57" t="s">
        <v>49</v>
      </c>
      <c r="K534" s="57" t="s">
        <v>22</v>
      </c>
      <c r="L534" s="57" t="s">
        <v>50</v>
      </c>
      <c r="M534" s="53">
        <v>100000000</v>
      </c>
      <c r="N534" s="58" t="s">
        <v>249</v>
      </c>
      <c r="O534" s="58" t="s">
        <v>25</v>
      </c>
      <c r="P534" s="58" t="s">
        <v>26</v>
      </c>
      <c r="Q534" s="19"/>
      <c r="R534" s="19"/>
    </row>
    <row r="535" spans="1:18" ht="128.15" customHeight="1" x14ac:dyDescent="0.3">
      <c r="A535" s="49">
        <v>20240461</v>
      </c>
      <c r="B535" s="49">
        <v>7637</v>
      </c>
      <c r="C535" s="50" t="s">
        <v>183</v>
      </c>
      <c r="D535" s="57" t="s">
        <v>222</v>
      </c>
      <c r="E535" s="58" t="s">
        <v>199</v>
      </c>
      <c r="F535" s="57" t="s">
        <v>200</v>
      </c>
      <c r="G535" s="51">
        <v>45397</v>
      </c>
      <c r="H535" s="59">
        <v>45427</v>
      </c>
      <c r="I535" s="52">
        <v>3</v>
      </c>
      <c r="J535" s="57" t="s">
        <v>195</v>
      </c>
      <c r="K535" s="57" t="s">
        <v>22</v>
      </c>
      <c r="L535" s="57" t="s">
        <v>191</v>
      </c>
      <c r="M535" s="53">
        <v>175000000</v>
      </c>
      <c r="N535" s="58" t="s">
        <v>187</v>
      </c>
      <c r="O535" s="58" t="s">
        <v>188</v>
      </c>
      <c r="P535" s="58" t="s">
        <v>26</v>
      </c>
      <c r="Q535" s="19"/>
      <c r="R535" s="19"/>
    </row>
    <row r="536" spans="1:18" ht="91" customHeight="1" x14ac:dyDescent="0.3">
      <c r="A536" s="49">
        <v>20240462</v>
      </c>
      <c r="B536" s="49">
        <v>7637</v>
      </c>
      <c r="C536" s="50" t="s">
        <v>183</v>
      </c>
      <c r="D536" s="57" t="s">
        <v>222</v>
      </c>
      <c r="E536" s="58" t="s">
        <v>466</v>
      </c>
      <c r="F536" s="57" t="s">
        <v>219</v>
      </c>
      <c r="G536" s="51">
        <v>45397</v>
      </c>
      <c r="H536" s="59">
        <v>45467</v>
      </c>
      <c r="I536" s="52">
        <v>8</v>
      </c>
      <c r="J536" s="57" t="s">
        <v>21</v>
      </c>
      <c r="K536" s="57" t="s">
        <v>22</v>
      </c>
      <c r="L536" s="57" t="s">
        <v>186</v>
      </c>
      <c r="M536" s="53">
        <v>5000000</v>
      </c>
      <c r="N536" s="58" t="s">
        <v>187</v>
      </c>
      <c r="O536" s="58" t="s">
        <v>188</v>
      </c>
      <c r="P536" s="58" t="s">
        <v>26</v>
      </c>
      <c r="Q536" s="19"/>
      <c r="R536" s="19"/>
    </row>
    <row r="537" spans="1:18" ht="91" customHeight="1" x14ac:dyDescent="0.3">
      <c r="A537" s="49">
        <v>20240463</v>
      </c>
      <c r="B537" s="49">
        <v>7658</v>
      </c>
      <c r="C537" s="50" t="s">
        <v>82</v>
      </c>
      <c r="D537" s="57" t="s">
        <v>19</v>
      </c>
      <c r="E537" s="58" t="s">
        <v>448</v>
      </c>
      <c r="F537" s="57" t="s">
        <v>359</v>
      </c>
      <c r="G537" s="51">
        <v>45397</v>
      </c>
      <c r="H537" s="59">
        <v>45412</v>
      </c>
      <c r="I537" s="52">
        <v>11</v>
      </c>
      <c r="J537" s="57" t="s">
        <v>88</v>
      </c>
      <c r="K537" s="57" t="s">
        <v>22</v>
      </c>
      <c r="L537" s="57" t="s">
        <v>50</v>
      </c>
      <c r="M537" s="53">
        <f>250000000+150000000</f>
        <v>400000000</v>
      </c>
      <c r="N537" s="58" t="s">
        <v>38</v>
      </c>
      <c r="O537" s="58" t="s">
        <v>25</v>
      </c>
      <c r="P537" s="58" t="s">
        <v>26</v>
      </c>
      <c r="Q537" s="19"/>
      <c r="R537" s="19"/>
    </row>
    <row r="538" spans="1:18" ht="91" customHeight="1" x14ac:dyDescent="0.3">
      <c r="A538" s="49">
        <v>20240464</v>
      </c>
      <c r="B538" s="49">
        <v>131</v>
      </c>
      <c r="C538" s="50" t="s">
        <v>403</v>
      </c>
      <c r="D538" s="57" t="s">
        <v>152</v>
      </c>
      <c r="E538" s="58" t="s">
        <v>467</v>
      </c>
      <c r="F538" s="57" t="s">
        <v>393</v>
      </c>
      <c r="G538" s="51">
        <v>45413</v>
      </c>
      <c r="H538" s="59">
        <v>45443</v>
      </c>
      <c r="I538" s="52">
        <v>7</v>
      </c>
      <c r="J538" s="57" t="s">
        <v>358</v>
      </c>
      <c r="K538" s="57" t="s">
        <v>22</v>
      </c>
      <c r="L538" s="57" t="s">
        <v>66</v>
      </c>
      <c r="M538" s="53">
        <v>286000000</v>
      </c>
      <c r="N538" s="58" t="s">
        <v>598</v>
      </c>
      <c r="O538" s="58" t="s">
        <v>598</v>
      </c>
      <c r="P538" s="58" t="s">
        <v>26</v>
      </c>
      <c r="Q538" s="19"/>
      <c r="R538" s="19"/>
    </row>
    <row r="539" spans="1:18" ht="91" customHeight="1" x14ac:dyDescent="0.3">
      <c r="A539" s="49">
        <v>20240465</v>
      </c>
      <c r="B539" s="49">
        <v>131</v>
      </c>
      <c r="C539" s="50" t="s">
        <v>403</v>
      </c>
      <c r="D539" s="57" t="s">
        <v>152</v>
      </c>
      <c r="E539" s="58" t="s">
        <v>468</v>
      </c>
      <c r="F539" s="57" t="s">
        <v>394</v>
      </c>
      <c r="G539" s="51">
        <v>45413</v>
      </c>
      <c r="H539" s="59">
        <v>45443</v>
      </c>
      <c r="I539" s="52">
        <v>4</v>
      </c>
      <c r="J539" s="57" t="s">
        <v>36</v>
      </c>
      <c r="K539" s="57" t="s">
        <v>22</v>
      </c>
      <c r="L539" s="57" t="s">
        <v>66</v>
      </c>
      <c r="M539" s="53">
        <v>20000000</v>
      </c>
      <c r="N539" s="58" t="s">
        <v>598</v>
      </c>
      <c r="O539" s="58" t="s">
        <v>598</v>
      </c>
      <c r="P539" s="58" t="s">
        <v>26</v>
      </c>
      <c r="Q539" s="19"/>
      <c r="R539" s="19"/>
    </row>
    <row r="540" spans="1:18" ht="91" customHeight="1" x14ac:dyDescent="0.3">
      <c r="A540" s="49">
        <v>20240466</v>
      </c>
      <c r="B540" s="49">
        <v>131</v>
      </c>
      <c r="C540" s="50" t="s">
        <v>403</v>
      </c>
      <c r="D540" s="57" t="s">
        <v>152</v>
      </c>
      <c r="E540" s="58" t="s">
        <v>468</v>
      </c>
      <c r="F540" s="57" t="s">
        <v>396</v>
      </c>
      <c r="G540" s="51">
        <v>45413</v>
      </c>
      <c r="H540" s="59">
        <v>45443</v>
      </c>
      <c r="I540" s="52">
        <v>4</v>
      </c>
      <c r="J540" s="57" t="s">
        <v>36</v>
      </c>
      <c r="K540" s="57" t="s">
        <v>22</v>
      </c>
      <c r="L540" s="57" t="s">
        <v>66</v>
      </c>
      <c r="M540" s="53">
        <v>30000000</v>
      </c>
      <c r="N540" s="58" t="s">
        <v>598</v>
      </c>
      <c r="O540" s="58" t="s">
        <v>598</v>
      </c>
      <c r="P540" s="58" t="s">
        <v>26</v>
      </c>
      <c r="Q540" s="19"/>
      <c r="R540" s="19"/>
    </row>
    <row r="541" spans="1:18" ht="91" customHeight="1" x14ac:dyDescent="0.3">
      <c r="A541" s="49">
        <v>20240467</v>
      </c>
      <c r="B541" s="49">
        <v>131</v>
      </c>
      <c r="C541" s="50" t="s">
        <v>403</v>
      </c>
      <c r="D541" s="57" t="s">
        <v>248</v>
      </c>
      <c r="E541" s="58">
        <v>53102710</v>
      </c>
      <c r="F541" s="57" t="s">
        <v>397</v>
      </c>
      <c r="G541" s="51">
        <v>45413</v>
      </c>
      <c r="H541" s="59" t="s">
        <v>398</v>
      </c>
      <c r="I541" s="52">
        <v>6</v>
      </c>
      <c r="J541" s="57" t="s">
        <v>97</v>
      </c>
      <c r="K541" s="57" t="s">
        <v>22</v>
      </c>
      <c r="L541" s="57" t="s">
        <v>66</v>
      </c>
      <c r="M541" s="53">
        <v>250000000</v>
      </c>
      <c r="N541" s="58" t="s">
        <v>598</v>
      </c>
      <c r="O541" s="58" t="s">
        <v>598</v>
      </c>
      <c r="P541" s="58" t="s">
        <v>26</v>
      </c>
      <c r="Q541" s="19"/>
      <c r="R541" s="19"/>
    </row>
    <row r="542" spans="1:18" ht="91" customHeight="1" x14ac:dyDescent="0.3">
      <c r="A542" s="49">
        <v>20240468</v>
      </c>
      <c r="B542" s="49">
        <v>7637</v>
      </c>
      <c r="C542" s="50" t="s">
        <v>183</v>
      </c>
      <c r="D542" s="57" t="s">
        <v>222</v>
      </c>
      <c r="E542" s="58" t="s">
        <v>469</v>
      </c>
      <c r="F542" s="57" t="s">
        <v>194</v>
      </c>
      <c r="G542" s="51">
        <v>45478</v>
      </c>
      <c r="H542" s="59">
        <v>45541</v>
      </c>
      <c r="I542" s="52">
        <v>12</v>
      </c>
      <c r="J542" s="57" t="s">
        <v>195</v>
      </c>
      <c r="K542" s="57" t="s">
        <v>22</v>
      </c>
      <c r="L542" s="57" t="s">
        <v>191</v>
      </c>
      <c r="M542" s="53">
        <f>130000000-83060000</f>
        <v>46940000</v>
      </c>
      <c r="N542" s="58" t="s">
        <v>187</v>
      </c>
      <c r="O542" s="58" t="s">
        <v>188</v>
      </c>
      <c r="P542" s="58" t="s">
        <v>26</v>
      </c>
      <c r="Q542" s="19"/>
      <c r="R542" s="19"/>
    </row>
    <row r="543" spans="1:18" ht="91" customHeight="1" x14ac:dyDescent="0.3">
      <c r="A543" s="49">
        <v>20240469</v>
      </c>
      <c r="B543" s="49">
        <v>131</v>
      </c>
      <c r="C543" s="50" t="s">
        <v>403</v>
      </c>
      <c r="D543" s="57" t="s">
        <v>19</v>
      </c>
      <c r="E543" s="58" t="s">
        <v>470</v>
      </c>
      <c r="F543" s="57" t="s">
        <v>386</v>
      </c>
      <c r="G543" s="51">
        <v>45427</v>
      </c>
      <c r="H543" s="59">
        <v>45442</v>
      </c>
      <c r="I543" s="52">
        <v>12</v>
      </c>
      <c r="J543" s="57" t="s">
        <v>36</v>
      </c>
      <c r="K543" s="57" t="s">
        <v>22</v>
      </c>
      <c r="L543" s="57" t="s">
        <v>66</v>
      </c>
      <c r="M543" s="53">
        <v>20000000</v>
      </c>
      <c r="N543" s="58" t="s">
        <v>598</v>
      </c>
      <c r="O543" s="58" t="s">
        <v>598</v>
      </c>
      <c r="P543" s="58" t="s">
        <v>26</v>
      </c>
      <c r="Q543" s="19"/>
      <c r="R543" s="19"/>
    </row>
    <row r="544" spans="1:18" ht="91" customHeight="1" x14ac:dyDescent="0.3">
      <c r="A544" s="49">
        <v>20240470</v>
      </c>
      <c r="B544" s="49">
        <v>131</v>
      </c>
      <c r="C544" s="50" t="s">
        <v>403</v>
      </c>
      <c r="D544" s="57" t="s">
        <v>19</v>
      </c>
      <c r="E544" s="58" t="s">
        <v>385</v>
      </c>
      <c r="F544" s="57" t="s">
        <v>387</v>
      </c>
      <c r="G544" s="51">
        <v>45427</v>
      </c>
      <c r="H544" s="59">
        <v>45442</v>
      </c>
      <c r="I544" s="52">
        <v>12</v>
      </c>
      <c r="J544" s="57" t="s">
        <v>36</v>
      </c>
      <c r="K544" s="57" t="s">
        <v>22</v>
      </c>
      <c r="L544" s="57" t="s">
        <v>66</v>
      </c>
      <c r="M544" s="53">
        <v>16000000</v>
      </c>
      <c r="N544" s="58" t="s">
        <v>598</v>
      </c>
      <c r="O544" s="58" t="s">
        <v>598</v>
      </c>
      <c r="P544" s="58" t="s">
        <v>310</v>
      </c>
      <c r="Q544" s="19"/>
      <c r="R544" s="19"/>
    </row>
    <row r="545" spans="1:18" ht="91" customHeight="1" x14ac:dyDescent="0.3">
      <c r="A545" s="49">
        <v>20240471</v>
      </c>
      <c r="B545" s="49">
        <v>131</v>
      </c>
      <c r="C545" s="50" t="s">
        <v>403</v>
      </c>
      <c r="D545" s="57" t="s">
        <v>19</v>
      </c>
      <c r="E545" s="58">
        <v>47131800</v>
      </c>
      <c r="F545" s="57" t="s">
        <v>388</v>
      </c>
      <c r="G545" s="51">
        <v>45427</v>
      </c>
      <c r="H545" s="59">
        <v>45442</v>
      </c>
      <c r="I545" s="52">
        <v>8</v>
      </c>
      <c r="J545" s="57" t="s">
        <v>36</v>
      </c>
      <c r="K545" s="57" t="s">
        <v>22</v>
      </c>
      <c r="L545" s="57" t="s">
        <v>66</v>
      </c>
      <c r="M545" s="53">
        <v>30000000</v>
      </c>
      <c r="N545" s="58" t="s">
        <v>598</v>
      </c>
      <c r="O545" s="58" t="s">
        <v>598</v>
      </c>
      <c r="P545" s="58" t="s">
        <v>26</v>
      </c>
      <c r="Q545" s="19"/>
      <c r="R545" s="19"/>
    </row>
    <row r="546" spans="1:18" ht="91" customHeight="1" x14ac:dyDescent="0.3">
      <c r="A546" s="49">
        <v>20240472</v>
      </c>
      <c r="B546" s="49">
        <v>7658</v>
      </c>
      <c r="C546" s="50" t="s">
        <v>82</v>
      </c>
      <c r="D546" s="57" t="s">
        <v>19</v>
      </c>
      <c r="E546" s="58">
        <v>47131800</v>
      </c>
      <c r="F546" s="57" t="s">
        <v>85</v>
      </c>
      <c r="G546" s="51">
        <v>45427</v>
      </c>
      <c r="H546" s="59">
        <v>45442</v>
      </c>
      <c r="I546" s="52">
        <v>8</v>
      </c>
      <c r="J546" s="57" t="s">
        <v>97</v>
      </c>
      <c r="K546" s="57" t="s">
        <v>22</v>
      </c>
      <c r="L546" s="57" t="s">
        <v>497</v>
      </c>
      <c r="M546" s="53">
        <f>100000000+50000000</f>
        <v>150000000</v>
      </c>
      <c r="N546" s="58" t="s">
        <v>38</v>
      </c>
      <c r="O546" s="58" t="s">
        <v>25</v>
      </c>
      <c r="P546" s="58" t="s">
        <v>26</v>
      </c>
      <c r="Q546" s="19"/>
      <c r="R546" s="19"/>
    </row>
    <row r="547" spans="1:18" ht="91" customHeight="1" x14ac:dyDescent="0.3">
      <c r="A547" s="49">
        <v>20240473</v>
      </c>
      <c r="B547" s="49">
        <v>7637</v>
      </c>
      <c r="C547" s="50" t="s">
        <v>183</v>
      </c>
      <c r="D547" s="57" t="s">
        <v>222</v>
      </c>
      <c r="E547" s="58">
        <v>43233200</v>
      </c>
      <c r="F547" s="57" t="s">
        <v>193</v>
      </c>
      <c r="G547" s="51">
        <v>45446</v>
      </c>
      <c r="H547" s="59">
        <v>45506</v>
      </c>
      <c r="I547" s="52">
        <v>6</v>
      </c>
      <c r="J547" s="57" t="s">
        <v>97</v>
      </c>
      <c r="K547" s="57" t="s">
        <v>22</v>
      </c>
      <c r="L547" s="57" t="s">
        <v>186</v>
      </c>
      <c r="M547" s="53">
        <f>67500000-7500000</f>
        <v>60000000</v>
      </c>
      <c r="N547" s="58" t="s">
        <v>187</v>
      </c>
      <c r="O547" s="58" t="s">
        <v>188</v>
      </c>
      <c r="P547" s="58" t="s">
        <v>310</v>
      </c>
      <c r="Q547" s="19"/>
      <c r="R547" s="19"/>
    </row>
    <row r="548" spans="1:18" ht="91" customHeight="1" x14ac:dyDescent="0.3">
      <c r="A548" s="49">
        <v>20240474</v>
      </c>
      <c r="B548" s="49">
        <v>7637</v>
      </c>
      <c r="C548" s="50" t="s">
        <v>183</v>
      </c>
      <c r="D548" s="57" t="s">
        <v>222</v>
      </c>
      <c r="E548" s="58" t="s">
        <v>201</v>
      </c>
      <c r="F548" s="57" t="s">
        <v>591</v>
      </c>
      <c r="G548" s="51">
        <v>45446</v>
      </c>
      <c r="H548" s="59">
        <v>45476</v>
      </c>
      <c r="I548" s="52">
        <v>6</v>
      </c>
      <c r="J548" s="57" t="s">
        <v>97</v>
      </c>
      <c r="K548" s="57" t="s">
        <v>22</v>
      </c>
      <c r="L548" s="57" t="s">
        <v>191</v>
      </c>
      <c r="M548" s="53">
        <f>46000000-26000000</f>
        <v>20000000</v>
      </c>
      <c r="N548" s="58" t="s">
        <v>187</v>
      </c>
      <c r="O548" s="58" t="s">
        <v>188</v>
      </c>
      <c r="P548" s="58" t="s">
        <v>26</v>
      </c>
      <c r="Q548" s="19"/>
      <c r="R548" s="19"/>
    </row>
    <row r="549" spans="1:18" ht="91" customHeight="1" x14ac:dyDescent="0.3">
      <c r="A549" s="49">
        <v>20240475</v>
      </c>
      <c r="B549" s="49">
        <v>7637</v>
      </c>
      <c r="C549" s="50" t="s">
        <v>183</v>
      </c>
      <c r="D549" s="57" t="s">
        <v>222</v>
      </c>
      <c r="E549" s="58">
        <v>81112217</v>
      </c>
      <c r="F549" s="57" t="s">
        <v>205</v>
      </c>
      <c r="G549" s="51">
        <v>45457</v>
      </c>
      <c r="H549" s="59">
        <v>45488</v>
      </c>
      <c r="I549" s="52">
        <v>3</v>
      </c>
      <c r="J549" s="57" t="s">
        <v>46</v>
      </c>
      <c r="K549" s="57" t="s">
        <v>22</v>
      </c>
      <c r="L549" s="57" t="s">
        <v>191</v>
      </c>
      <c r="M549" s="53">
        <v>26000000</v>
      </c>
      <c r="N549" s="58" t="s">
        <v>187</v>
      </c>
      <c r="O549" s="58" t="s">
        <v>188</v>
      </c>
      <c r="P549" s="58" t="s">
        <v>26</v>
      </c>
      <c r="Q549" s="19"/>
      <c r="R549" s="19"/>
    </row>
    <row r="550" spans="1:18" ht="91" customHeight="1" x14ac:dyDescent="0.3">
      <c r="A550" s="49">
        <v>20240476</v>
      </c>
      <c r="B550" s="49">
        <v>7637</v>
      </c>
      <c r="C550" s="50" t="s">
        <v>183</v>
      </c>
      <c r="D550" s="57" t="s">
        <v>222</v>
      </c>
      <c r="E550" s="58" t="s">
        <v>589</v>
      </c>
      <c r="F550" s="57" t="s">
        <v>590</v>
      </c>
      <c r="G550" s="51">
        <v>45474</v>
      </c>
      <c r="H550" s="59">
        <v>45519</v>
      </c>
      <c r="I550" s="52">
        <v>12</v>
      </c>
      <c r="J550" s="57" t="s">
        <v>36</v>
      </c>
      <c r="K550" s="57" t="s">
        <v>22</v>
      </c>
      <c r="L550" s="57" t="s">
        <v>186</v>
      </c>
      <c r="M550" s="53">
        <v>30000000</v>
      </c>
      <c r="N550" s="58" t="s">
        <v>187</v>
      </c>
      <c r="O550" s="58" t="s">
        <v>188</v>
      </c>
      <c r="P550" s="58" t="s">
        <v>26</v>
      </c>
      <c r="Q550" s="19"/>
      <c r="R550" s="19"/>
    </row>
    <row r="551" spans="1:18" ht="91" customHeight="1" x14ac:dyDescent="0.3">
      <c r="A551" s="49">
        <v>20240477</v>
      </c>
      <c r="B551" s="49">
        <v>131</v>
      </c>
      <c r="C551" s="50" t="s">
        <v>403</v>
      </c>
      <c r="D551" s="57" t="s">
        <v>222</v>
      </c>
      <c r="E551" s="58" t="s">
        <v>471</v>
      </c>
      <c r="F551" s="57" t="s">
        <v>400</v>
      </c>
      <c r="G551" s="51">
        <v>45504</v>
      </c>
      <c r="H551" s="59">
        <v>45518</v>
      </c>
      <c r="I551" s="52">
        <v>12</v>
      </c>
      <c r="J551" s="57" t="s">
        <v>46</v>
      </c>
      <c r="K551" s="57" t="s">
        <v>22</v>
      </c>
      <c r="L551" s="57" t="s">
        <v>66</v>
      </c>
      <c r="M551" s="53">
        <v>32500000</v>
      </c>
      <c r="N551" s="58" t="s">
        <v>598</v>
      </c>
      <c r="O551" s="58" t="s">
        <v>598</v>
      </c>
      <c r="P551" s="58" t="s">
        <v>26</v>
      </c>
      <c r="Q551" s="19"/>
      <c r="R551" s="19"/>
    </row>
    <row r="552" spans="1:18" ht="91" customHeight="1" x14ac:dyDescent="0.3">
      <c r="A552" s="49">
        <v>20240478</v>
      </c>
      <c r="B552" s="49">
        <v>7637</v>
      </c>
      <c r="C552" s="50" t="s">
        <v>183</v>
      </c>
      <c r="D552" s="57" t="s">
        <v>222</v>
      </c>
      <c r="E552" s="58" t="s">
        <v>217</v>
      </c>
      <c r="F552" s="57" t="s">
        <v>218</v>
      </c>
      <c r="G552" s="51">
        <v>45519</v>
      </c>
      <c r="H552" s="59">
        <v>45595</v>
      </c>
      <c r="I552" s="52">
        <v>1</v>
      </c>
      <c r="J552" s="57" t="s">
        <v>36</v>
      </c>
      <c r="K552" s="57" t="s">
        <v>308</v>
      </c>
      <c r="L552" s="57" t="s">
        <v>191</v>
      </c>
      <c r="M552" s="53">
        <v>7500000</v>
      </c>
      <c r="N552" s="58" t="s">
        <v>187</v>
      </c>
      <c r="O552" s="58" t="s">
        <v>188</v>
      </c>
      <c r="P552" s="58" t="s">
        <v>310</v>
      </c>
      <c r="Q552" s="19"/>
      <c r="R552" s="19"/>
    </row>
    <row r="553" spans="1:18" ht="91" customHeight="1" x14ac:dyDescent="0.3">
      <c r="A553" s="49">
        <v>20240479</v>
      </c>
      <c r="B553" s="49">
        <v>131</v>
      </c>
      <c r="C553" s="50" t="s">
        <v>403</v>
      </c>
      <c r="D553" s="57" t="s">
        <v>152</v>
      </c>
      <c r="E553" s="58"/>
      <c r="F553" s="57" t="s">
        <v>392</v>
      </c>
      <c r="G553" s="51">
        <v>45565</v>
      </c>
      <c r="H553" s="59">
        <v>45565</v>
      </c>
      <c r="I553" s="52" t="s">
        <v>66</v>
      </c>
      <c r="J553" s="57" t="s">
        <v>544</v>
      </c>
      <c r="K553" s="57" t="s">
        <v>22</v>
      </c>
      <c r="L553" s="57" t="s">
        <v>66</v>
      </c>
      <c r="M553" s="53">
        <v>170000000</v>
      </c>
      <c r="N553" s="58" t="s">
        <v>598</v>
      </c>
      <c r="O553" s="58" t="s">
        <v>598</v>
      </c>
      <c r="P553" s="58" t="s">
        <v>26</v>
      </c>
      <c r="Q553" s="19"/>
      <c r="R553" s="19"/>
    </row>
    <row r="554" spans="1:18" ht="91" customHeight="1" x14ac:dyDescent="0.3">
      <c r="A554" s="49">
        <v>20240480</v>
      </c>
      <c r="B554" s="49">
        <v>131</v>
      </c>
      <c r="C554" s="50" t="s">
        <v>403</v>
      </c>
      <c r="D554" s="57" t="s">
        <v>222</v>
      </c>
      <c r="E554" s="58" t="s">
        <v>472</v>
      </c>
      <c r="F554" s="57" t="s">
        <v>402</v>
      </c>
      <c r="G554" s="51">
        <v>45569</v>
      </c>
      <c r="H554" s="59">
        <v>45616</v>
      </c>
      <c r="I554" s="52">
        <v>2</v>
      </c>
      <c r="J554" s="57" t="s">
        <v>36</v>
      </c>
      <c r="K554" s="57" t="s">
        <v>22</v>
      </c>
      <c r="L554" s="57" t="s">
        <v>66</v>
      </c>
      <c r="M554" s="53">
        <f>7500000-1100000</f>
        <v>6400000</v>
      </c>
      <c r="N554" s="58" t="s">
        <v>598</v>
      </c>
      <c r="O554" s="58" t="s">
        <v>598</v>
      </c>
      <c r="P554" s="58" t="s">
        <v>26</v>
      </c>
      <c r="Q554" s="19"/>
      <c r="R554" s="19"/>
    </row>
    <row r="555" spans="1:18" ht="91" customHeight="1" x14ac:dyDescent="0.3">
      <c r="A555" s="49">
        <v>20240481</v>
      </c>
      <c r="B555" s="49">
        <v>7658</v>
      </c>
      <c r="C555" s="50" t="s">
        <v>82</v>
      </c>
      <c r="D555" s="57" t="s">
        <v>19</v>
      </c>
      <c r="E555" s="58" t="s">
        <v>66</v>
      </c>
      <c r="F555" s="57" t="s">
        <v>360</v>
      </c>
      <c r="G555" s="54" t="s">
        <v>544</v>
      </c>
      <c r="H555" s="54" t="s">
        <v>544</v>
      </c>
      <c r="I555" s="52" t="s">
        <v>66</v>
      </c>
      <c r="J555" s="54" t="s">
        <v>544</v>
      </c>
      <c r="K555" s="57" t="s">
        <v>22</v>
      </c>
      <c r="L555" s="57" t="s">
        <v>50</v>
      </c>
      <c r="M555" s="53">
        <f>3912398976-10400000-50000000-887000000-150000000-62800000-100000000-10000000-645951718</f>
        <v>1996247258</v>
      </c>
      <c r="N555" s="58" t="s">
        <v>67</v>
      </c>
      <c r="O555" s="58" t="s">
        <v>68</v>
      </c>
      <c r="P555" s="58" t="s">
        <v>26</v>
      </c>
      <c r="Q555" s="19"/>
      <c r="R555" s="19"/>
    </row>
    <row r="556" spans="1:18" ht="91" customHeight="1" x14ac:dyDescent="0.3">
      <c r="A556" s="49">
        <v>20240482</v>
      </c>
      <c r="B556" s="49">
        <v>131</v>
      </c>
      <c r="C556" s="50" t="s">
        <v>403</v>
      </c>
      <c r="D556" s="57" t="s">
        <v>152</v>
      </c>
      <c r="E556" s="58">
        <v>84131600</v>
      </c>
      <c r="F556" s="57" t="s">
        <v>417</v>
      </c>
      <c r="G556" s="51">
        <v>45321</v>
      </c>
      <c r="H556" s="59">
        <v>45337</v>
      </c>
      <c r="I556" s="52">
        <v>24</v>
      </c>
      <c r="J556" s="57" t="s">
        <v>88</v>
      </c>
      <c r="K556" s="57" t="s">
        <v>22</v>
      </c>
      <c r="L556" s="57" t="s">
        <v>66</v>
      </c>
      <c r="M556" s="53">
        <v>0</v>
      </c>
      <c r="N556" s="58" t="s">
        <v>598</v>
      </c>
      <c r="O556" s="58" t="s">
        <v>598</v>
      </c>
      <c r="P556" s="58" t="s">
        <v>26</v>
      </c>
      <c r="Q556" s="19"/>
      <c r="R556" s="19"/>
    </row>
    <row r="557" spans="1:18" ht="91" customHeight="1" x14ac:dyDescent="0.3">
      <c r="A557" s="49">
        <v>20240491</v>
      </c>
      <c r="B557" s="49">
        <v>7655</v>
      </c>
      <c r="C557" s="50" t="s">
        <v>18</v>
      </c>
      <c r="D557" s="57" t="s">
        <v>116</v>
      </c>
      <c r="E557" s="60">
        <v>80111600</v>
      </c>
      <c r="F557" s="57" t="s">
        <v>481</v>
      </c>
      <c r="G557" s="51">
        <v>45351</v>
      </c>
      <c r="H557" s="59">
        <v>45351</v>
      </c>
      <c r="I557" s="52">
        <v>3</v>
      </c>
      <c r="J557" s="57" t="s">
        <v>21</v>
      </c>
      <c r="K557" s="57" t="s">
        <v>22</v>
      </c>
      <c r="L557" s="57" t="s">
        <v>23</v>
      </c>
      <c r="M557" s="53">
        <f>7500000*3</f>
        <v>22500000</v>
      </c>
      <c r="N557" s="60" t="s">
        <v>24</v>
      </c>
      <c r="O557" s="60" t="s">
        <v>80</v>
      </c>
      <c r="P557" s="58" t="s">
        <v>310</v>
      </c>
      <c r="Q557" s="64"/>
      <c r="R557" s="46"/>
    </row>
    <row r="558" spans="1:18" ht="91" customHeight="1" x14ac:dyDescent="0.3">
      <c r="A558" s="49">
        <v>20240494</v>
      </c>
      <c r="B558" s="49">
        <v>7658</v>
      </c>
      <c r="C558" s="50" t="s">
        <v>82</v>
      </c>
      <c r="D558" s="57" t="s">
        <v>116</v>
      </c>
      <c r="E558" s="60">
        <v>80111600</v>
      </c>
      <c r="F558" s="57" t="s">
        <v>482</v>
      </c>
      <c r="G558" s="51">
        <v>45351</v>
      </c>
      <c r="H558" s="59">
        <v>45351</v>
      </c>
      <c r="I558" s="52">
        <v>2</v>
      </c>
      <c r="J558" s="57" t="s">
        <v>21</v>
      </c>
      <c r="K558" s="57" t="s">
        <v>22</v>
      </c>
      <c r="L558" s="57" t="s">
        <v>23</v>
      </c>
      <c r="M558" s="53">
        <f>3850000*2</f>
        <v>7700000</v>
      </c>
      <c r="N558" s="60" t="s">
        <v>118</v>
      </c>
      <c r="O558" s="60" t="s">
        <v>119</v>
      </c>
      <c r="P558" s="58" t="s">
        <v>310</v>
      </c>
      <c r="Q558" s="64"/>
      <c r="R558" s="46"/>
    </row>
    <row r="559" spans="1:18" ht="91" customHeight="1" x14ac:dyDescent="0.3">
      <c r="A559" s="49">
        <v>20240495</v>
      </c>
      <c r="B559" s="49">
        <v>7658</v>
      </c>
      <c r="C559" s="50" t="s">
        <v>82</v>
      </c>
      <c r="D559" s="57" t="s">
        <v>116</v>
      </c>
      <c r="E559" s="60">
        <v>80111600</v>
      </c>
      <c r="F559" s="57" t="s">
        <v>483</v>
      </c>
      <c r="G559" s="51">
        <v>45351</v>
      </c>
      <c r="H559" s="59">
        <v>45351</v>
      </c>
      <c r="I559" s="52">
        <v>2</v>
      </c>
      <c r="J559" s="57" t="s">
        <v>21</v>
      </c>
      <c r="K559" s="57" t="s">
        <v>22</v>
      </c>
      <c r="L559" s="57" t="s">
        <v>23</v>
      </c>
      <c r="M559" s="53">
        <v>9000000</v>
      </c>
      <c r="N559" s="60" t="s">
        <v>118</v>
      </c>
      <c r="O559" s="60" t="s">
        <v>119</v>
      </c>
      <c r="P559" s="58" t="s">
        <v>310</v>
      </c>
      <c r="Q559" s="64"/>
      <c r="R559" s="46"/>
    </row>
    <row r="560" spans="1:18" ht="91" customHeight="1" x14ac:dyDescent="0.3">
      <c r="A560" s="49">
        <v>20240498</v>
      </c>
      <c r="B560" s="49">
        <v>7658</v>
      </c>
      <c r="C560" s="50" t="s">
        <v>82</v>
      </c>
      <c r="D560" s="57" t="s">
        <v>116</v>
      </c>
      <c r="E560" s="60">
        <v>80111600</v>
      </c>
      <c r="F560" s="57" t="s">
        <v>484</v>
      </c>
      <c r="G560" s="51">
        <v>45351</v>
      </c>
      <c r="H560" s="59">
        <v>45351</v>
      </c>
      <c r="I560" s="52">
        <v>3</v>
      </c>
      <c r="J560" s="57" t="s">
        <v>21</v>
      </c>
      <c r="K560" s="57" t="s">
        <v>22</v>
      </c>
      <c r="L560" s="57" t="s">
        <v>23</v>
      </c>
      <c r="M560" s="53">
        <f>4850000*3</f>
        <v>14550000</v>
      </c>
      <c r="N560" s="60" t="s">
        <v>118</v>
      </c>
      <c r="O560" s="60" t="s">
        <v>119</v>
      </c>
      <c r="P560" s="58" t="s">
        <v>310</v>
      </c>
      <c r="Q560" s="64"/>
      <c r="R560" s="46"/>
    </row>
    <row r="561" spans="1:18" ht="91" customHeight="1" x14ac:dyDescent="0.3">
      <c r="A561" s="49">
        <v>20240500</v>
      </c>
      <c r="B561" s="49">
        <v>7658</v>
      </c>
      <c r="C561" s="50" t="s">
        <v>82</v>
      </c>
      <c r="D561" s="57" t="s">
        <v>116</v>
      </c>
      <c r="E561" s="60">
        <v>80111600</v>
      </c>
      <c r="F561" s="57" t="s">
        <v>485</v>
      </c>
      <c r="G561" s="51">
        <v>45351</v>
      </c>
      <c r="H561" s="59">
        <v>45351</v>
      </c>
      <c r="I561" s="52">
        <v>3</v>
      </c>
      <c r="J561" s="57" t="s">
        <v>21</v>
      </c>
      <c r="K561" s="57" t="s">
        <v>22</v>
      </c>
      <c r="L561" s="57" t="s">
        <v>23</v>
      </c>
      <c r="M561" s="53">
        <v>8250000</v>
      </c>
      <c r="N561" s="60" t="s">
        <v>118</v>
      </c>
      <c r="O561" s="60" t="s">
        <v>119</v>
      </c>
      <c r="P561" s="58" t="s">
        <v>310</v>
      </c>
      <c r="Q561" s="64"/>
      <c r="R561" s="46"/>
    </row>
    <row r="562" spans="1:18" ht="91" customHeight="1" x14ac:dyDescent="0.3">
      <c r="A562" s="49">
        <v>20240501</v>
      </c>
      <c r="B562" s="49">
        <v>7658</v>
      </c>
      <c r="C562" s="50" t="s">
        <v>82</v>
      </c>
      <c r="D562" s="57" t="s">
        <v>116</v>
      </c>
      <c r="E562" s="60">
        <v>80111600</v>
      </c>
      <c r="F562" s="57" t="s">
        <v>486</v>
      </c>
      <c r="G562" s="51">
        <v>45351</v>
      </c>
      <c r="H562" s="59">
        <v>45351</v>
      </c>
      <c r="I562" s="54">
        <v>2.2000000000000002</v>
      </c>
      <c r="J562" s="57" t="s">
        <v>21</v>
      </c>
      <c r="K562" s="57" t="s">
        <v>22</v>
      </c>
      <c r="L562" s="57" t="s">
        <v>23</v>
      </c>
      <c r="M562" s="53">
        <v>7466667</v>
      </c>
      <c r="N562" s="60" t="s">
        <v>118</v>
      </c>
      <c r="O562" s="60" t="s">
        <v>119</v>
      </c>
      <c r="P562" s="58" t="s">
        <v>310</v>
      </c>
      <c r="Q562" s="64"/>
      <c r="R562" s="46"/>
    </row>
    <row r="563" spans="1:18" ht="91" customHeight="1" x14ac:dyDescent="0.3">
      <c r="A563" s="49">
        <v>20240502</v>
      </c>
      <c r="B563" s="49">
        <v>7658</v>
      </c>
      <c r="C563" s="50" t="s">
        <v>82</v>
      </c>
      <c r="D563" s="57" t="s">
        <v>116</v>
      </c>
      <c r="E563" s="60">
        <v>80111600</v>
      </c>
      <c r="F563" s="57" t="s">
        <v>487</v>
      </c>
      <c r="G563" s="51">
        <v>45351</v>
      </c>
      <c r="H563" s="59">
        <v>45351</v>
      </c>
      <c r="I563" s="52">
        <v>3</v>
      </c>
      <c r="J563" s="57" t="s">
        <v>21</v>
      </c>
      <c r="K563" s="57" t="s">
        <v>22</v>
      </c>
      <c r="L563" s="57" t="s">
        <v>23</v>
      </c>
      <c r="M563" s="53">
        <v>8400000</v>
      </c>
      <c r="N563" s="60" t="s">
        <v>118</v>
      </c>
      <c r="O563" s="60" t="s">
        <v>119</v>
      </c>
      <c r="P563" s="58" t="s">
        <v>310</v>
      </c>
      <c r="Q563" s="64"/>
      <c r="R563" s="46"/>
    </row>
    <row r="564" spans="1:18" ht="91" customHeight="1" x14ac:dyDescent="0.3">
      <c r="A564" s="49">
        <v>20240503</v>
      </c>
      <c r="B564" s="49">
        <v>7658</v>
      </c>
      <c r="C564" s="50" t="s">
        <v>82</v>
      </c>
      <c r="D564" s="57" t="s">
        <v>116</v>
      </c>
      <c r="E564" s="60">
        <v>80111600</v>
      </c>
      <c r="F564" s="57" t="s">
        <v>488</v>
      </c>
      <c r="G564" s="51">
        <v>45351</v>
      </c>
      <c r="H564" s="59">
        <v>45351</v>
      </c>
      <c r="I564" s="54">
        <v>1.27</v>
      </c>
      <c r="J564" s="57" t="s">
        <v>21</v>
      </c>
      <c r="K564" s="57" t="s">
        <v>22</v>
      </c>
      <c r="L564" s="57" t="s">
        <v>23</v>
      </c>
      <c r="M564" s="53">
        <v>5225000</v>
      </c>
      <c r="N564" s="60" t="s">
        <v>118</v>
      </c>
      <c r="O564" s="60" t="s">
        <v>119</v>
      </c>
      <c r="P564" s="58" t="s">
        <v>310</v>
      </c>
      <c r="Q564" s="64"/>
      <c r="R564" s="46"/>
    </row>
    <row r="565" spans="1:18" ht="91" customHeight="1" x14ac:dyDescent="0.3">
      <c r="A565" s="49">
        <v>20240504</v>
      </c>
      <c r="B565" s="49">
        <v>7658</v>
      </c>
      <c r="C565" s="50" t="s">
        <v>82</v>
      </c>
      <c r="D565" s="57" t="s">
        <v>116</v>
      </c>
      <c r="E565" s="60">
        <v>80111600</v>
      </c>
      <c r="F565" s="57" t="s">
        <v>489</v>
      </c>
      <c r="G565" s="51">
        <v>45351</v>
      </c>
      <c r="H565" s="59">
        <v>45351</v>
      </c>
      <c r="I565" s="52">
        <v>3</v>
      </c>
      <c r="J565" s="57" t="s">
        <v>21</v>
      </c>
      <c r="K565" s="57" t="s">
        <v>22</v>
      </c>
      <c r="L565" s="57" t="s">
        <v>23</v>
      </c>
      <c r="M565" s="53">
        <v>7500000</v>
      </c>
      <c r="N565" s="60" t="s">
        <v>118</v>
      </c>
      <c r="O565" s="60" t="s">
        <v>119</v>
      </c>
      <c r="P565" s="58" t="s">
        <v>310</v>
      </c>
      <c r="Q565" s="64"/>
      <c r="R565" s="46"/>
    </row>
    <row r="566" spans="1:18" ht="91" customHeight="1" x14ac:dyDescent="0.3">
      <c r="A566" s="49">
        <v>20240505</v>
      </c>
      <c r="B566" s="49">
        <v>7658</v>
      </c>
      <c r="C566" s="50" t="s">
        <v>82</v>
      </c>
      <c r="D566" s="57" t="s">
        <v>116</v>
      </c>
      <c r="E566" s="60">
        <v>80111600</v>
      </c>
      <c r="F566" s="57" t="s">
        <v>490</v>
      </c>
      <c r="G566" s="51">
        <v>45351</v>
      </c>
      <c r="H566" s="59">
        <v>45351</v>
      </c>
      <c r="I566" s="52">
        <v>3</v>
      </c>
      <c r="J566" s="57" t="s">
        <v>21</v>
      </c>
      <c r="K566" s="57" t="s">
        <v>22</v>
      </c>
      <c r="L566" s="57" t="s">
        <v>23</v>
      </c>
      <c r="M566" s="53">
        <v>7500000</v>
      </c>
      <c r="N566" s="60" t="s">
        <v>118</v>
      </c>
      <c r="O566" s="60" t="s">
        <v>119</v>
      </c>
      <c r="P566" s="58" t="s">
        <v>310</v>
      </c>
      <c r="Q566" s="64"/>
      <c r="R566" s="46"/>
    </row>
    <row r="567" spans="1:18" ht="91" customHeight="1" x14ac:dyDescent="0.3">
      <c r="A567" s="49">
        <v>20240506</v>
      </c>
      <c r="B567" s="49">
        <v>7655</v>
      </c>
      <c r="C567" s="50" t="s">
        <v>18</v>
      </c>
      <c r="D567" s="57" t="s">
        <v>248</v>
      </c>
      <c r="E567" s="60">
        <v>80111600</v>
      </c>
      <c r="F567" s="57" t="s">
        <v>491</v>
      </c>
      <c r="G567" s="51">
        <v>45311</v>
      </c>
      <c r="H567" s="59">
        <v>45321</v>
      </c>
      <c r="I567" s="52">
        <v>4</v>
      </c>
      <c r="J567" s="57" t="s">
        <v>21</v>
      </c>
      <c r="K567" s="57" t="s">
        <v>22</v>
      </c>
      <c r="L567" s="57" t="s">
        <v>23</v>
      </c>
      <c r="M567" s="53">
        <v>34000000</v>
      </c>
      <c r="N567" s="60" t="s">
        <v>492</v>
      </c>
      <c r="O567" s="60" t="s">
        <v>80</v>
      </c>
      <c r="P567" s="58" t="s">
        <v>26</v>
      </c>
      <c r="Q567" s="64"/>
      <c r="R567" s="46"/>
    </row>
    <row r="568" spans="1:18" ht="91" customHeight="1" x14ac:dyDescent="0.3">
      <c r="A568" s="49">
        <v>20240507</v>
      </c>
      <c r="B568" s="49">
        <v>7655</v>
      </c>
      <c r="C568" s="50" t="s">
        <v>18</v>
      </c>
      <c r="D568" s="57" t="s">
        <v>248</v>
      </c>
      <c r="E568" s="60">
        <v>80111600</v>
      </c>
      <c r="F568" s="57" t="s">
        <v>493</v>
      </c>
      <c r="G568" s="51">
        <v>45311</v>
      </c>
      <c r="H568" s="59">
        <v>45321</v>
      </c>
      <c r="I568" s="52">
        <v>4</v>
      </c>
      <c r="J568" s="57" t="s">
        <v>21</v>
      </c>
      <c r="K568" s="57" t="s">
        <v>22</v>
      </c>
      <c r="L568" s="57" t="s">
        <v>23</v>
      </c>
      <c r="M568" s="53">
        <f>23820000-240000</f>
        <v>23580000</v>
      </c>
      <c r="N568" s="60" t="s">
        <v>492</v>
      </c>
      <c r="O568" s="60" t="s">
        <v>80</v>
      </c>
      <c r="P568" s="58" t="s">
        <v>26</v>
      </c>
      <c r="Q568" s="64"/>
      <c r="R568" s="46"/>
    </row>
    <row r="569" spans="1:18" ht="91" customHeight="1" x14ac:dyDescent="0.3">
      <c r="A569" s="49">
        <v>20240508</v>
      </c>
      <c r="B569" s="49">
        <v>7655</v>
      </c>
      <c r="C569" s="50" t="s">
        <v>18</v>
      </c>
      <c r="D569" s="57" t="s">
        <v>248</v>
      </c>
      <c r="E569" s="60">
        <v>80111600</v>
      </c>
      <c r="F569" s="57" t="s">
        <v>494</v>
      </c>
      <c r="G569" s="51">
        <v>45311</v>
      </c>
      <c r="H569" s="59">
        <v>45321</v>
      </c>
      <c r="I569" s="52">
        <v>4</v>
      </c>
      <c r="J569" s="57" t="s">
        <v>21</v>
      </c>
      <c r="K569" s="57" t="s">
        <v>22</v>
      </c>
      <c r="L569" s="57" t="s">
        <v>23</v>
      </c>
      <c r="M569" s="53">
        <f>23820000-240000</f>
        <v>23580000</v>
      </c>
      <c r="N569" s="60" t="s">
        <v>492</v>
      </c>
      <c r="O569" s="60" t="s">
        <v>80</v>
      </c>
      <c r="P569" s="58" t="s">
        <v>26</v>
      </c>
      <c r="Q569" s="64"/>
      <c r="R569" s="46"/>
    </row>
    <row r="570" spans="1:18" ht="91" customHeight="1" x14ac:dyDescent="0.3">
      <c r="A570" s="49">
        <v>20240509</v>
      </c>
      <c r="B570" s="49">
        <v>7658</v>
      </c>
      <c r="C570" s="50" t="s">
        <v>82</v>
      </c>
      <c r="D570" s="57" t="s">
        <v>248</v>
      </c>
      <c r="E570" s="60" t="s">
        <v>495</v>
      </c>
      <c r="F570" s="57" t="s">
        <v>496</v>
      </c>
      <c r="G570" s="51">
        <v>45444</v>
      </c>
      <c r="H570" s="59">
        <v>45503</v>
      </c>
      <c r="I570" s="52">
        <v>1</v>
      </c>
      <c r="J570" s="57" t="s">
        <v>49</v>
      </c>
      <c r="K570" s="57" t="s">
        <v>308</v>
      </c>
      <c r="L570" s="57" t="s">
        <v>497</v>
      </c>
      <c r="M570" s="53">
        <v>411230099</v>
      </c>
      <c r="N570" s="60" t="s">
        <v>498</v>
      </c>
      <c r="O570" s="60" t="s">
        <v>25</v>
      </c>
      <c r="P570" s="58" t="s">
        <v>310</v>
      </c>
      <c r="Q570" s="64"/>
      <c r="R570" s="46"/>
    </row>
    <row r="571" spans="1:18" ht="91" customHeight="1" x14ac:dyDescent="0.3">
      <c r="A571" s="49">
        <v>20240510</v>
      </c>
      <c r="B571" s="49">
        <v>7637</v>
      </c>
      <c r="C571" s="50" t="s">
        <v>183</v>
      </c>
      <c r="D571" s="57" t="s">
        <v>222</v>
      </c>
      <c r="E571" s="60">
        <v>80111600</v>
      </c>
      <c r="F571" s="57" t="s">
        <v>507</v>
      </c>
      <c r="G571" s="51">
        <v>45323</v>
      </c>
      <c r="H571" s="59">
        <v>45337</v>
      </c>
      <c r="I571" s="52">
        <v>2</v>
      </c>
      <c r="J571" s="57" t="s">
        <v>21</v>
      </c>
      <c r="K571" s="57" t="s">
        <v>22</v>
      </c>
      <c r="L571" s="57" t="s">
        <v>23</v>
      </c>
      <c r="M571" s="53">
        <v>7000000</v>
      </c>
      <c r="N571" s="60" t="s">
        <v>187</v>
      </c>
      <c r="O571" s="60" t="s">
        <v>188</v>
      </c>
      <c r="P571" s="58" t="s">
        <v>26</v>
      </c>
      <c r="Q571" s="64"/>
      <c r="R571" s="46"/>
    </row>
    <row r="572" spans="1:18" ht="91" customHeight="1" x14ac:dyDescent="0.3">
      <c r="A572" s="49">
        <v>20240511</v>
      </c>
      <c r="B572" s="49">
        <v>7637</v>
      </c>
      <c r="C572" s="50" t="s">
        <v>183</v>
      </c>
      <c r="D572" s="57" t="s">
        <v>222</v>
      </c>
      <c r="E572" s="60">
        <v>80111600</v>
      </c>
      <c r="F572" s="57" t="s">
        <v>508</v>
      </c>
      <c r="G572" s="51">
        <v>45323</v>
      </c>
      <c r="H572" s="59">
        <v>45337</v>
      </c>
      <c r="I572" s="52">
        <v>2</v>
      </c>
      <c r="J572" s="57" t="s">
        <v>21</v>
      </c>
      <c r="K572" s="57" t="s">
        <v>22</v>
      </c>
      <c r="L572" s="57" t="s">
        <v>23</v>
      </c>
      <c r="M572" s="53">
        <v>7200000</v>
      </c>
      <c r="N572" s="60" t="s">
        <v>187</v>
      </c>
      <c r="O572" s="60" t="s">
        <v>188</v>
      </c>
      <c r="P572" s="58" t="s">
        <v>26</v>
      </c>
      <c r="Q572" s="64"/>
      <c r="R572" s="46"/>
    </row>
    <row r="573" spans="1:18" ht="91" customHeight="1" x14ac:dyDescent="0.3">
      <c r="A573" s="49">
        <v>20240512</v>
      </c>
      <c r="B573" s="49">
        <v>7655</v>
      </c>
      <c r="C573" s="50" t="s">
        <v>18</v>
      </c>
      <c r="D573" s="57" t="s">
        <v>184</v>
      </c>
      <c r="E573" s="58">
        <v>80111600</v>
      </c>
      <c r="F573" s="57" t="s">
        <v>539</v>
      </c>
      <c r="G573" s="51">
        <v>45292</v>
      </c>
      <c r="H573" s="59">
        <v>45306</v>
      </c>
      <c r="I573" s="52">
        <v>10</v>
      </c>
      <c r="J573" s="57" t="s">
        <v>21</v>
      </c>
      <c r="K573" s="57" t="s">
        <v>22</v>
      </c>
      <c r="L573" s="57" t="s">
        <v>23</v>
      </c>
      <c r="M573" s="53">
        <f>32000000+40800000+7200000</f>
        <v>80000000</v>
      </c>
      <c r="N573" s="58" t="s">
        <v>24</v>
      </c>
      <c r="O573" s="58" t="s">
        <v>80</v>
      </c>
      <c r="P573" s="58" t="s">
        <v>26</v>
      </c>
      <c r="Q573" s="64"/>
      <c r="R573" s="46"/>
    </row>
    <row r="574" spans="1:18" ht="91" customHeight="1" x14ac:dyDescent="0.3">
      <c r="A574" s="49">
        <v>20240513</v>
      </c>
      <c r="B574" s="49">
        <v>7655</v>
      </c>
      <c r="C574" s="50" t="s">
        <v>18</v>
      </c>
      <c r="D574" s="57" t="s">
        <v>184</v>
      </c>
      <c r="E574" s="58">
        <v>80111600</v>
      </c>
      <c r="F574" s="57" t="s">
        <v>575</v>
      </c>
      <c r="G574" s="51">
        <v>45337</v>
      </c>
      <c r="H574" s="59">
        <v>45351</v>
      </c>
      <c r="I574" s="52">
        <v>8</v>
      </c>
      <c r="J574" s="57" t="s">
        <v>21</v>
      </c>
      <c r="K574" s="57" t="s">
        <v>22</v>
      </c>
      <c r="L574" s="57" t="s">
        <v>23</v>
      </c>
      <c r="M574" s="53">
        <f>32000000-7200000+24800000</f>
        <v>49600000</v>
      </c>
      <c r="N574" s="58" t="s">
        <v>24</v>
      </c>
      <c r="O574" s="58" t="s">
        <v>80</v>
      </c>
      <c r="P574" s="58" t="s">
        <v>26</v>
      </c>
      <c r="Q574" s="65"/>
      <c r="R574" s="46"/>
    </row>
    <row r="575" spans="1:18" ht="91" customHeight="1" x14ac:dyDescent="0.3">
      <c r="A575" s="49">
        <v>20240514</v>
      </c>
      <c r="B575" s="49">
        <v>7658</v>
      </c>
      <c r="C575" s="50" t="s">
        <v>82</v>
      </c>
      <c r="D575" s="57" t="s">
        <v>152</v>
      </c>
      <c r="E575" s="58">
        <v>80111600</v>
      </c>
      <c r="F575" s="57" t="s">
        <v>174</v>
      </c>
      <c r="G575" s="51">
        <v>45306</v>
      </c>
      <c r="H575" s="59">
        <v>45314</v>
      </c>
      <c r="I575" s="52">
        <v>9</v>
      </c>
      <c r="J575" s="57" t="s">
        <v>21</v>
      </c>
      <c r="K575" s="57" t="s">
        <v>22</v>
      </c>
      <c r="L575" s="57" t="s">
        <v>23</v>
      </c>
      <c r="M575" s="53">
        <f>38889000-89000</f>
        <v>38800000</v>
      </c>
      <c r="N575" s="58" t="s">
        <v>154</v>
      </c>
      <c r="O575" s="58" t="s">
        <v>155</v>
      </c>
      <c r="P575" s="58" t="s">
        <v>26</v>
      </c>
      <c r="Q575" s="64"/>
      <c r="R575" s="46"/>
    </row>
    <row r="576" spans="1:18" ht="91" customHeight="1" x14ac:dyDescent="0.3">
      <c r="A576" s="49">
        <v>20240515</v>
      </c>
      <c r="B576" s="49">
        <v>7658</v>
      </c>
      <c r="C576" s="50" t="s">
        <v>82</v>
      </c>
      <c r="D576" s="57" t="s">
        <v>152</v>
      </c>
      <c r="E576" s="58">
        <v>80111600</v>
      </c>
      <c r="F576" s="57" t="s">
        <v>175</v>
      </c>
      <c r="G576" s="51">
        <v>45306</v>
      </c>
      <c r="H576" s="59">
        <v>45314</v>
      </c>
      <c r="I576" s="52">
        <v>9</v>
      </c>
      <c r="J576" s="57" t="s">
        <v>21</v>
      </c>
      <c r="K576" s="57" t="s">
        <v>22</v>
      </c>
      <c r="L576" s="57" t="s">
        <v>23</v>
      </c>
      <c r="M576" s="53">
        <v>38127000</v>
      </c>
      <c r="N576" s="58" t="s">
        <v>154</v>
      </c>
      <c r="O576" s="58" t="s">
        <v>155</v>
      </c>
      <c r="P576" s="58" t="s">
        <v>26</v>
      </c>
      <c r="Q576" s="64"/>
      <c r="R576" s="46"/>
    </row>
    <row r="577" spans="1:18" ht="91" customHeight="1" x14ac:dyDescent="0.3">
      <c r="A577" s="49">
        <v>20240516</v>
      </c>
      <c r="B577" s="49">
        <v>7658</v>
      </c>
      <c r="C577" s="50" t="s">
        <v>82</v>
      </c>
      <c r="D577" s="57" t="s">
        <v>152</v>
      </c>
      <c r="E577" s="58">
        <v>80111600</v>
      </c>
      <c r="F577" s="57" t="s">
        <v>514</v>
      </c>
      <c r="G577" s="51">
        <v>45306</v>
      </c>
      <c r="H577" s="59">
        <v>45314</v>
      </c>
      <c r="I577" s="52">
        <v>9</v>
      </c>
      <c r="J577" s="57" t="s">
        <v>21</v>
      </c>
      <c r="K577" s="57" t="s">
        <v>22</v>
      </c>
      <c r="L577" s="57" t="s">
        <v>23</v>
      </c>
      <c r="M577" s="53">
        <f>46200000+4144000-30135000-19692000+2000+42000+4000+4000+32000+1064000+4000+89000</f>
        <v>1758000</v>
      </c>
      <c r="N577" s="58" t="s">
        <v>154</v>
      </c>
      <c r="O577" s="58" t="s">
        <v>155</v>
      </c>
      <c r="P577" s="58" t="s">
        <v>26</v>
      </c>
      <c r="Q577" s="64"/>
      <c r="R577" s="46"/>
    </row>
    <row r="578" spans="1:18" ht="91" customHeight="1" x14ac:dyDescent="0.3">
      <c r="A578" s="49">
        <v>20240517</v>
      </c>
      <c r="B578" s="49">
        <v>7658</v>
      </c>
      <c r="C578" s="50" t="s">
        <v>82</v>
      </c>
      <c r="D578" s="57" t="s">
        <v>152</v>
      </c>
      <c r="E578" s="58">
        <v>80111600</v>
      </c>
      <c r="F578" s="57" t="s">
        <v>515</v>
      </c>
      <c r="G578" s="51">
        <v>45311</v>
      </c>
      <c r="H578" s="59">
        <v>45318</v>
      </c>
      <c r="I578" s="52">
        <v>5</v>
      </c>
      <c r="J578" s="57" t="s">
        <v>21</v>
      </c>
      <c r="K578" s="57" t="s">
        <v>22</v>
      </c>
      <c r="L578" s="57" t="s">
        <v>23</v>
      </c>
      <c r="M578" s="53">
        <v>30000000</v>
      </c>
      <c r="N578" s="58" t="s">
        <v>154</v>
      </c>
      <c r="O578" s="58" t="s">
        <v>155</v>
      </c>
      <c r="P578" s="58" t="s">
        <v>26</v>
      </c>
      <c r="Q578" s="64"/>
      <c r="R578" s="46"/>
    </row>
    <row r="579" spans="1:18" ht="91" customHeight="1" x14ac:dyDescent="0.3">
      <c r="A579" s="49">
        <v>20240519</v>
      </c>
      <c r="B579" s="49">
        <v>131</v>
      </c>
      <c r="C579" s="50" t="s">
        <v>403</v>
      </c>
      <c r="D579" s="57" t="s">
        <v>19</v>
      </c>
      <c r="E579" s="58" t="s">
        <v>418</v>
      </c>
      <c r="F579" s="57" t="s">
        <v>521</v>
      </c>
      <c r="G579" s="51">
        <v>45337</v>
      </c>
      <c r="H579" s="59">
        <v>45350</v>
      </c>
      <c r="I579" s="52" t="s">
        <v>66</v>
      </c>
      <c r="J579" s="57" t="s">
        <v>97</v>
      </c>
      <c r="K579" s="57" t="s">
        <v>22</v>
      </c>
      <c r="L579" s="57" t="s">
        <v>66</v>
      </c>
      <c r="M579" s="53">
        <v>23500000</v>
      </c>
      <c r="N579" s="58" t="s">
        <v>598</v>
      </c>
      <c r="O579" s="58" t="s">
        <v>598</v>
      </c>
      <c r="P579" s="58" t="s">
        <v>310</v>
      </c>
      <c r="Q579" s="64"/>
      <c r="R579" s="46"/>
    </row>
    <row r="580" spans="1:18" ht="91" customHeight="1" x14ac:dyDescent="0.3">
      <c r="A580" s="49">
        <v>20240520</v>
      </c>
      <c r="B580" s="49">
        <v>7658</v>
      </c>
      <c r="C580" s="50" t="s">
        <v>82</v>
      </c>
      <c r="D580" s="57" t="s">
        <v>92</v>
      </c>
      <c r="E580" s="58">
        <v>15101500</v>
      </c>
      <c r="F580" s="57" t="s">
        <v>527</v>
      </c>
      <c r="G580" s="51">
        <v>45317</v>
      </c>
      <c r="H580" s="59">
        <v>45322</v>
      </c>
      <c r="I580" s="52">
        <v>1</v>
      </c>
      <c r="J580" s="57" t="s">
        <v>46</v>
      </c>
      <c r="K580" s="57" t="s">
        <v>22</v>
      </c>
      <c r="L580" s="57" t="s">
        <v>95</v>
      </c>
      <c r="M580" s="53">
        <v>40000000</v>
      </c>
      <c r="N580" s="58" t="s">
        <v>94</v>
      </c>
      <c r="O580" s="58" t="s">
        <v>25</v>
      </c>
      <c r="P580" s="58" t="s">
        <v>310</v>
      </c>
      <c r="Q580" s="64"/>
      <c r="R580" s="46"/>
    </row>
    <row r="581" spans="1:18" ht="91" customHeight="1" x14ac:dyDescent="0.3">
      <c r="A581" s="49">
        <v>20240521</v>
      </c>
      <c r="B581" s="49">
        <v>7658</v>
      </c>
      <c r="C581" s="50" t="s">
        <v>82</v>
      </c>
      <c r="D581" s="57" t="s">
        <v>92</v>
      </c>
      <c r="E581" s="58">
        <v>80111600</v>
      </c>
      <c r="F581" s="57" t="s">
        <v>528</v>
      </c>
      <c r="G581" s="51">
        <v>45320</v>
      </c>
      <c r="H581" s="59">
        <v>45321</v>
      </c>
      <c r="I581" s="52">
        <v>4</v>
      </c>
      <c r="J581" s="57" t="s">
        <v>21</v>
      </c>
      <c r="K581" s="57" t="s">
        <v>22</v>
      </c>
      <c r="L581" s="57" t="s">
        <v>23</v>
      </c>
      <c r="M581" s="53">
        <v>12400000</v>
      </c>
      <c r="N581" s="58" t="s">
        <v>96</v>
      </c>
      <c r="O581" s="58" t="s">
        <v>25</v>
      </c>
      <c r="P581" s="58" t="s">
        <v>26</v>
      </c>
      <c r="Q581" s="64"/>
      <c r="R581" s="46"/>
    </row>
    <row r="582" spans="1:18" ht="91" customHeight="1" x14ac:dyDescent="0.3">
      <c r="A582" s="49">
        <v>20240522</v>
      </c>
      <c r="B582" s="49">
        <v>7658</v>
      </c>
      <c r="C582" s="50" t="s">
        <v>82</v>
      </c>
      <c r="D582" s="57" t="s">
        <v>92</v>
      </c>
      <c r="E582" s="58" t="s">
        <v>531</v>
      </c>
      <c r="F582" s="57" t="s">
        <v>529</v>
      </c>
      <c r="G582" s="51">
        <v>45337</v>
      </c>
      <c r="H582" s="59">
        <v>45337</v>
      </c>
      <c r="I582" s="52">
        <v>1</v>
      </c>
      <c r="J582" s="57" t="s">
        <v>97</v>
      </c>
      <c r="K582" s="57" t="s">
        <v>22</v>
      </c>
      <c r="L582" s="57" t="s">
        <v>98</v>
      </c>
      <c r="M582" s="53">
        <v>50000000</v>
      </c>
      <c r="N582" s="58" t="s">
        <v>96</v>
      </c>
      <c r="O582" s="58" t="s">
        <v>25</v>
      </c>
      <c r="P582" s="58" t="s">
        <v>310</v>
      </c>
      <c r="Q582" s="64"/>
      <c r="R582" s="46"/>
    </row>
    <row r="583" spans="1:18" ht="91" customHeight="1" x14ac:dyDescent="0.3">
      <c r="A583" s="49">
        <v>20240524</v>
      </c>
      <c r="B583" s="49">
        <v>7658</v>
      </c>
      <c r="C583" s="50" t="s">
        <v>82</v>
      </c>
      <c r="D583" s="57" t="s">
        <v>19</v>
      </c>
      <c r="E583" s="58" t="s">
        <v>532</v>
      </c>
      <c r="F583" s="57" t="s">
        <v>533</v>
      </c>
      <c r="G583" s="51">
        <v>45337</v>
      </c>
      <c r="H583" s="59">
        <v>45350</v>
      </c>
      <c r="I583" s="52" t="s">
        <v>66</v>
      </c>
      <c r="J583" s="57" t="s">
        <v>97</v>
      </c>
      <c r="K583" s="57" t="s">
        <v>22</v>
      </c>
      <c r="L583" s="57" t="s">
        <v>497</v>
      </c>
      <c r="M583" s="53">
        <v>52000000</v>
      </c>
      <c r="N583" s="58" t="s">
        <v>38</v>
      </c>
      <c r="O583" s="58" t="s">
        <v>25</v>
      </c>
      <c r="P583" s="58" t="s">
        <v>310</v>
      </c>
      <c r="Q583" s="64"/>
      <c r="R583" s="46"/>
    </row>
    <row r="584" spans="1:18" ht="91" customHeight="1" x14ac:dyDescent="0.3">
      <c r="A584" s="49">
        <v>20240525</v>
      </c>
      <c r="B584" s="49">
        <v>7658</v>
      </c>
      <c r="C584" s="50" t="s">
        <v>82</v>
      </c>
      <c r="D584" s="57" t="s">
        <v>19</v>
      </c>
      <c r="E584" s="58">
        <v>80111600</v>
      </c>
      <c r="F584" s="57" t="s">
        <v>536</v>
      </c>
      <c r="G584" s="51">
        <v>45337</v>
      </c>
      <c r="H584" s="59">
        <v>45350</v>
      </c>
      <c r="I584" s="52">
        <v>8</v>
      </c>
      <c r="J584" s="57" t="s">
        <v>21</v>
      </c>
      <c r="K584" s="57" t="s">
        <v>22</v>
      </c>
      <c r="L584" s="57" t="s">
        <v>23</v>
      </c>
      <c r="M584" s="53">
        <f>62800000</f>
        <v>62800000</v>
      </c>
      <c r="N584" s="58" t="s">
        <v>38</v>
      </c>
      <c r="O584" s="58" t="s">
        <v>25</v>
      </c>
      <c r="P584" s="58" t="s">
        <v>26</v>
      </c>
      <c r="Q584" s="64"/>
      <c r="R584" s="46"/>
    </row>
    <row r="585" spans="1:18" ht="91" customHeight="1" x14ac:dyDescent="0.3">
      <c r="A585" s="49">
        <v>20240526</v>
      </c>
      <c r="B585" s="49">
        <v>7637</v>
      </c>
      <c r="C585" s="50" t="s">
        <v>183</v>
      </c>
      <c r="D585" s="57" t="s">
        <v>222</v>
      </c>
      <c r="E585" s="58">
        <v>80111600</v>
      </c>
      <c r="F585" s="57" t="s">
        <v>571</v>
      </c>
      <c r="G585" s="51">
        <v>45342</v>
      </c>
      <c r="H585" s="59">
        <v>45345</v>
      </c>
      <c r="I585" s="52">
        <v>4</v>
      </c>
      <c r="J585" s="57" t="s">
        <v>21</v>
      </c>
      <c r="K585" s="57" t="s">
        <v>22</v>
      </c>
      <c r="L585" s="57" t="s">
        <v>23</v>
      </c>
      <c r="M585" s="53">
        <v>32960000</v>
      </c>
      <c r="N585" s="58" t="s">
        <v>187</v>
      </c>
      <c r="O585" s="58" t="s">
        <v>188</v>
      </c>
      <c r="P585" s="58" t="s">
        <v>26</v>
      </c>
      <c r="Q585" s="64"/>
      <c r="R585" s="46"/>
    </row>
    <row r="586" spans="1:18" ht="91" customHeight="1" x14ac:dyDescent="0.3">
      <c r="A586" s="49">
        <v>20240527</v>
      </c>
      <c r="B586" s="49">
        <v>7637</v>
      </c>
      <c r="C586" s="50" t="s">
        <v>183</v>
      </c>
      <c r="D586" s="57" t="s">
        <v>222</v>
      </c>
      <c r="E586" s="58">
        <v>80111600</v>
      </c>
      <c r="F586" s="57" t="s">
        <v>542</v>
      </c>
      <c r="G586" s="51">
        <v>45334</v>
      </c>
      <c r="H586" s="59">
        <v>45338</v>
      </c>
      <c r="I586" s="52">
        <v>4</v>
      </c>
      <c r="J586" s="57" t="s">
        <v>21</v>
      </c>
      <c r="K586" s="57" t="s">
        <v>22</v>
      </c>
      <c r="L586" s="57" t="s">
        <v>23</v>
      </c>
      <c r="M586" s="53">
        <v>14476000</v>
      </c>
      <c r="N586" s="58" t="s">
        <v>592</v>
      </c>
      <c r="O586" s="58" t="s">
        <v>188</v>
      </c>
      <c r="P586" s="58" t="s">
        <v>26</v>
      </c>
      <c r="Q586" s="64"/>
      <c r="R586" s="46"/>
    </row>
    <row r="587" spans="1:18" ht="91" customHeight="1" x14ac:dyDescent="0.3">
      <c r="A587" s="49">
        <v>20240528</v>
      </c>
      <c r="B587" s="49">
        <v>7658</v>
      </c>
      <c r="C587" s="50" t="s">
        <v>82</v>
      </c>
      <c r="D587" s="57" t="s">
        <v>248</v>
      </c>
      <c r="E587" s="58">
        <v>80111600</v>
      </c>
      <c r="F587" s="57" t="s">
        <v>540</v>
      </c>
      <c r="G587" s="51">
        <v>45337</v>
      </c>
      <c r="H587" s="59">
        <v>45352</v>
      </c>
      <c r="I587" s="52">
        <v>10</v>
      </c>
      <c r="J587" s="57" t="s">
        <v>21</v>
      </c>
      <c r="K587" s="57" t="s">
        <v>22</v>
      </c>
      <c r="L587" s="57" t="s">
        <v>23</v>
      </c>
      <c r="M587" s="53">
        <v>38000000</v>
      </c>
      <c r="N587" s="58" t="s">
        <v>249</v>
      </c>
      <c r="O587" s="58" t="s">
        <v>25</v>
      </c>
      <c r="P587" s="58" t="s">
        <v>26</v>
      </c>
      <c r="Q587" s="64"/>
      <c r="R587" s="46"/>
    </row>
    <row r="588" spans="1:18" ht="91" customHeight="1" x14ac:dyDescent="0.3">
      <c r="A588" s="49">
        <v>20240529</v>
      </c>
      <c r="B588" s="49">
        <v>7658</v>
      </c>
      <c r="C588" s="50" t="s">
        <v>82</v>
      </c>
      <c r="D588" s="57" t="s">
        <v>543</v>
      </c>
      <c r="E588" s="58">
        <v>80111600</v>
      </c>
      <c r="F588" s="57" t="s">
        <v>545</v>
      </c>
      <c r="G588" s="51">
        <v>45342</v>
      </c>
      <c r="H588" s="51">
        <v>45342</v>
      </c>
      <c r="I588" s="52">
        <v>1</v>
      </c>
      <c r="J588" s="57" t="s">
        <v>544</v>
      </c>
      <c r="K588" s="57" t="s">
        <v>22</v>
      </c>
      <c r="L588" s="57" t="s">
        <v>23</v>
      </c>
      <c r="M588" s="53">
        <v>1545072622</v>
      </c>
      <c r="N588" s="58" t="s">
        <v>66</v>
      </c>
      <c r="O588" s="58" t="s">
        <v>66</v>
      </c>
      <c r="P588" s="58" t="s">
        <v>310</v>
      </c>
      <c r="Q588" s="47"/>
      <c r="R588" s="48"/>
    </row>
    <row r="589" spans="1:18" ht="91" customHeight="1" x14ac:dyDescent="0.3">
      <c r="A589" s="49">
        <v>20240530</v>
      </c>
      <c r="B589" s="49">
        <v>7655</v>
      </c>
      <c r="C589" s="50" t="s">
        <v>18</v>
      </c>
      <c r="D589" s="57" t="s">
        <v>543</v>
      </c>
      <c r="E589" s="58">
        <v>80111600</v>
      </c>
      <c r="F589" s="57" t="s">
        <v>545</v>
      </c>
      <c r="G589" s="51">
        <v>45342</v>
      </c>
      <c r="H589" s="51">
        <v>45342</v>
      </c>
      <c r="I589" s="52">
        <v>1</v>
      </c>
      <c r="J589" s="57" t="s">
        <v>544</v>
      </c>
      <c r="K589" s="57" t="s">
        <v>22</v>
      </c>
      <c r="L589" s="57" t="s">
        <v>23</v>
      </c>
      <c r="M589" s="53">
        <v>68000000</v>
      </c>
      <c r="N589" s="58" t="s">
        <v>66</v>
      </c>
      <c r="O589" s="58" t="s">
        <v>66</v>
      </c>
      <c r="P589" s="58" t="s">
        <v>310</v>
      </c>
      <c r="Q589" s="47"/>
      <c r="R589" s="48"/>
    </row>
    <row r="590" spans="1:18" ht="91" customHeight="1" x14ac:dyDescent="0.3">
      <c r="A590" s="49">
        <v>20240531</v>
      </c>
      <c r="B590" s="49">
        <v>7637</v>
      </c>
      <c r="C590" s="50" t="s">
        <v>183</v>
      </c>
      <c r="D590" s="57" t="s">
        <v>543</v>
      </c>
      <c r="E590" s="58">
        <v>80111600</v>
      </c>
      <c r="F590" s="57" t="s">
        <v>545</v>
      </c>
      <c r="G590" s="51">
        <v>45342</v>
      </c>
      <c r="H590" s="51">
        <v>45342</v>
      </c>
      <c r="I590" s="52">
        <v>1</v>
      </c>
      <c r="J590" s="57" t="s">
        <v>544</v>
      </c>
      <c r="K590" s="57" t="s">
        <v>22</v>
      </c>
      <c r="L590" s="57" t="s">
        <v>23</v>
      </c>
      <c r="M590" s="53">
        <v>140000000</v>
      </c>
      <c r="N590" s="58" t="s">
        <v>66</v>
      </c>
      <c r="O590" s="58" t="s">
        <v>66</v>
      </c>
      <c r="P590" s="58" t="s">
        <v>310</v>
      </c>
      <c r="Q590" s="47"/>
      <c r="R590" s="48"/>
    </row>
    <row r="591" spans="1:18" ht="91" customHeight="1" x14ac:dyDescent="0.3">
      <c r="A591" s="49">
        <v>20240533</v>
      </c>
      <c r="B591" s="49">
        <v>7658</v>
      </c>
      <c r="C591" s="50" t="s">
        <v>82</v>
      </c>
      <c r="D591" s="57" t="s">
        <v>19</v>
      </c>
      <c r="E591" s="58" t="s">
        <v>548</v>
      </c>
      <c r="F591" s="57" t="s">
        <v>549</v>
      </c>
      <c r="G591" s="51">
        <v>45355</v>
      </c>
      <c r="H591" s="51">
        <v>45361</v>
      </c>
      <c r="I591" s="52">
        <v>4</v>
      </c>
      <c r="J591" s="57" t="s">
        <v>358</v>
      </c>
      <c r="K591" s="57" t="s">
        <v>22</v>
      </c>
      <c r="L591" s="57" t="s">
        <v>361</v>
      </c>
      <c r="M591" s="53">
        <v>170000000</v>
      </c>
      <c r="N591" s="58" t="s">
        <v>67</v>
      </c>
      <c r="O591" s="58" t="s">
        <v>68</v>
      </c>
      <c r="P591" s="58" t="s">
        <v>26</v>
      </c>
      <c r="Q591" s="47"/>
      <c r="R591" s="48"/>
    </row>
    <row r="592" spans="1:18" ht="91" customHeight="1" x14ac:dyDescent="0.3">
      <c r="A592" s="49">
        <v>20240534</v>
      </c>
      <c r="B592" s="49">
        <v>7658</v>
      </c>
      <c r="C592" s="50" t="s">
        <v>82</v>
      </c>
      <c r="D592" s="57" t="s">
        <v>19</v>
      </c>
      <c r="E592" s="58">
        <v>80111600</v>
      </c>
      <c r="F592" s="57" t="s">
        <v>550</v>
      </c>
      <c r="G592" s="51">
        <v>45355</v>
      </c>
      <c r="H592" s="51">
        <v>45361</v>
      </c>
      <c r="I592" s="52">
        <v>8</v>
      </c>
      <c r="J592" s="57" t="s">
        <v>21</v>
      </c>
      <c r="K592" s="57" t="s">
        <v>22</v>
      </c>
      <c r="L592" s="57" t="s">
        <v>23</v>
      </c>
      <c r="M592" s="53">
        <v>40000000</v>
      </c>
      <c r="N592" s="58" t="s">
        <v>38</v>
      </c>
      <c r="O592" s="58" t="s">
        <v>25</v>
      </c>
      <c r="P592" s="58" t="s">
        <v>26</v>
      </c>
      <c r="Q592" s="47"/>
      <c r="R592" s="48"/>
    </row>
    <row r="593" spans="1:18" ht="91" customHeight="1" x14ac:dyDescent="0.3">
      <c r="A593" s="49">
        <v>20240535</v>
      </c>
      <c r="B593" s="49">
        <v>7655</v>
      </c>
      <c r="C593" s="50" t="s">
        <v>18</v>
      </c>
      <c r="D593" s="57" t="s">
        <v>19</v>
      </c>
      <c r="E593" s="58">
        <v>80111600</v>
      </c>
      <c r="F593" s="57" t="s">
        <v>551</v>
      </c>
      <c r="G593" s="51">
        <v>45355</v>
      </c>
      <c r="H593" s="51">
        <v>45361</v>
      </c>
      <c r="I593" s="52">
        <v>4</v>
      </c>
      <c r="J593" s="57" t="s">
        <v>21</v>
      </c>
      <c r="K593" s="57" t="s">
        <v>22</v>
      </c>
      <c r="L593" s="57" t="s">
        <v>29</v>
      </c>
      <c r="M593" s="53">
        <f>7300000*4</f>
        <v>29200000</v>
      </c>
      <c r="N593" s="58" t="s">
        <v>24</v>
      </c>
      <c r="O593" s="58" t="s">
        <v>80</v>
      </c>
      <c r="P593" s="58" t="s">
        <v>26</v>
      </c>
      <c r="Q593" s="47"/>
      <c r="R593" s="48"/>
    </row>
    <row r="594" spans="1:18" ht="91" customHeight="1" x14ac:dyDescent="0.3">
      <c r="A594" s="49">
        <v>20240536</v>
      </c>
      <c r="B594" s="49">
        <v>131</v>
      </c>
      <c r="C594" s="50" t="s">
        <v>403</v>
      </c>
      <c r="D594" s="57" t="s">
        <v>92</v>
      </c>
      <c r="E594" s="58" t="s">
        <v>554</v>
      </c>
      <c r="F594" s="57" t="s">
        <v>555</v>
      </c>
      <c r="G594" s="51">
        <v>45338</v>
      </c>
      <c r="H594" s="51">
        <v>45348</v>
      </c>
      <c r="I594" s="52">
        <v>1</v>
      </c>
      <c r="J594" s="57" t="s">
        <v>36</v>
      </c>
      <c r="K594" s="57" t="s">
        <v>22</v>
      </c>
      <c r="L594" s="57" t="s">
        <v>556</v>
      </c>
      <c r="M594" s="53">
        <v>3000000</v>
      </c>
      <c r="N594" s="58" t="s">
        <v>598</v>
      </c>
      <c r="O594" s="58" t="s">
        <v>598</v>
      </c>
      <c r="P594" s="58" t="s">
        <v>310</v>
      </c>
      <c r="Q594" s="47"/>
      <c r="R594" s="48"/>
    </row>
    <row r="595" spans="1:18" ht="91" customHeight="1" x14ac:dyDescent="0.3">
      <c r="A595" s="49">
        <v>20240537</v>
      </c>
      <c r="B595" s="49">
        <v>7658</v>
      </c>
      <c r="C595" s="50" t="s">
        <v>82</v>
      </c>
      <c r="D595" s="57" t="s">
        <v>92</v>
      </c>
      <c r="E595" s="58">
        <v>78181500</v>
      </c>
      <c r="F595" s="57" t="s">
        <v>558</v>
      </c>
      <c r="G595" s="51">
        <v>45338</v>
      </c>
      <c r="H595" s="51">
        <v>45348</v>
      </c>
      <c r="I595" s="52">
        <v>2</v>
      </c>
      <c r="J595" s="57" t="s">
        <v>49</v>
      </c>
      <c r="K595" s="57" t="s">
        <v>22</v>
      </c>
      <c r="L595" s="57" t="s">
        <v>93</v>
      </c>
      <c r="M595" s="53">
        <v>400000000</v>
      </c>
      <c r="N595" s="58" t="s">
        <v>94</v>
      </c>
      <c r="O595" s="58" t="s">
        <v>25</v>
      </c>
      <c r="P595" s="58" t="s">
        <v>310</v>
      </c>
      <c r="Q595" s="47"/>
      <c r="R595" s="48"/>
    </row>
    <row r="596" spans="1:18" ht="91" customHeight="1" x14ac:dyDescent="0.3">
      <c r="A596" s="49">
        <v>20240539</v>
      </c>
      <c r="B596" s="49">
        <v>131</v>
      </c>
      <c r="C596" s="50" t="s">
        <v>403</v>
      </c>
      <c r="D596" s="57" t="s">
        <v>152</v>
      </c>
      <c r="E596" s="58" t="s">
        <v>560</v>
      </c>
      <c r="F596" s="57" t="s">
        <v>561</v>
      </c>
      <c r="G596" s="51">
        <v>45356</v>
      </c>
      <c r="H596" s="51">
        <v>45370</v>
      </c>
      <c r="I596" s="52">
        <v>2</v>
      </c>
      <c r="J596" s="57" t="s">
        <v>36</v>
      </c>
      <c r="K596" s="57" t="s">
        <v>22</v>
      </c>
      <c r="L596" s="57" t="s">
        <v>66</v>
      </c>
      <c r="M596" s="53">
        <v>0</v>
      </c>
      <c r="N596" s="58" t="s">
        <v>598</v>
      </c>
      <c r="O596" s="58" t="s">
        <v>598</v>
      </c>
      <c r="P596" s="58" t="s">
        <v>310</v>
      </c>
      <c r="Q596" s="47"/>
      <c r="R596" s="48"/>
    </row>
    <row r="597" spans="1:18" ht="91" customHeight="1" x14ac:dyDescent="0.3">
      <c r="A597" s="49">
        <v>20240540</v>
      </c>
      <c r="B597" s="49">
        <v>7658</v>
      </c>
      <c r="C597" s="50" t="s">
        <v>82</v>
      </c>
      <c r="D597" s="57" t="s">
        <v>152</v>
      </c>
      <c r="E597" s="58">
        <v>80111600</v>
      </c>
      <c r="F597" s="57" t="s">
        <v>178</v>
      </c>
      <c r="G597" s="51">
        <v>45345</v>
      </c>
      <c r="H597" s="51">
        <v>45348</v>
      </c>
      <c r="I597" s="52">
        <v>6</v>
      </c>
      <c r="J597" s="57" t="s">
        <v>21</v>
      </c>
      <c r="K597" s="57" t="s">
        <v>22</v>
      </c>
      <c r="L597" s="57" t="s">
        <v>23</v>
      </c>
      <c r="M597" s="53">
        <v>25278000</v>
      </c>
      <c r="N597" s="58" t="s">
        <v>154</v>
      </c>
      <c r="O597" s="58" t="s">
        <v>155</v>
      </c>
      <c r="P597" s="58" t="s">
        <v>26</v>
      </c>
      <c r="Q597" s="47"/>
      <c r="R597" s="48"/>
    </row>
    <row r="598" spans="1:18" ht="91" customHeight="1" x14ac:dyDescent="0.3">
      <c r="A598" s="49">
        <v>20240541</v>
      </c>
      <c r="B598" s="49">
        <v>7658</v>
      </c>
      <c r="C598" s="50" t="s">
        <v>82</v>
      </c>
      <c r="D598" s="57" t="s">
        <v>152</v>
      </c>
      <c r="E598" s="58">
        <v>80111600</v>
      </c>
      <c r="F598" s="57" t="s">
        <v>163</v>
      </c>
      <c r="G598" s="51">
        <v>45345</v>
      </c>
      <c r="H598" s="51">
        <v>45348</v>
      </c>
      <c r="I598" s="52">
        <v>6</v>
      </c>
      <c r="J598" s="57" t="s">
        <v>21</v>
      </c>
      <c r="K598" s="57" t="s">
        <v>22</v>
      </c>
      <c r="L598" s="57" t="s">
        <v>23</v>
      </c>
      <c r="M598" s="53">
        <v>32826000</v>
      </c>
      <c r="N598" s="58" t="s">
        <v>154</v>
      </c>
      <c r="O598" s="58" t="s">
        <v>155</v>
      </c>
      <c r="P598" s="58" t="s">
        <v>26</v>
      </c>
      <c r="Q598" s="47"/>
      <c r="R598" s="48"/>
    </row>
    <row r="599" spans="1:18" ht="91" customHeight="1" x14ac:dyDescent="0.3">
      <c r="A599" s="49">
        <v>20240542</v>
      </c>
      <c r="B599" s="49">
        <v>7658</v>
      </c>
      <c r="C599" s="50" t="s">
        <v>82</v>
      </c>
      <c r="D599" s="57" t="s">
        <v>152</v>
      </c>
      <c r="E599" s="58">
        <v>80111600</v>
      </c>
      <c r="F599" s="57" t="s">
        <v>562</v>
      </c>
      <c r="G599" s="51">
        <v>45345</v>
      </c>
      <c r="H599" s="51">
        <v>45348</v>
      </c>
      <c r="I599" s="52">
        <v>4</v>
      </c>
      <c r="J599" s="57" t="s">
        <v>21</v>
      </c>
      <c r="K599" s="57" t="s">
        <v>22</v>
      </c>
      <c r="L599" s="57" t="s">
        <v>23</v>
      </c>
      <c r="M599" s="53">
        <v>18000000</v>
      </c>
      <c r="N599" s="58" t="s">
        <v>154</v>
      </c>
      <c r="O599" s="58" t="s">
        <v>155</v>
      </c>
      <c r="P599" s="58" t="s">
        <v>26</v>
      </c>
      <c r="Q599" s="47"/>
      <c r="R599" s="48"/>
    </row>
    <row r="600" spans="1:18" ht="108" customHeight="1" x14ac:dyDescent="0.3">
      <c r="A600" s="49">
        <v>20240544</v>
      </c>
      <c r="B600" s="49">
        <v>7658</v>
      </c>
      <c r="C600" s="50" t="s">
        <v>82</v>
      </c>
      <c r="D600" s="57" t="s">
        <v>152</v>
      </c>
      <c r="E600" s="58">
        <v>80111600</v>
      </c>
      <c r="F600" s="57" t="s">
        <v>563</v>
      </c>
      <c r="G600" s="51">
        <v>45345</v>
      </c>
      <c r="H600" s="51">
        <v>45348</v>
      </c>
      <c r="I600" s="52">
        <v>6</v>
      </c>
      <c r="J600" s="57" t="s">
        <v>21</v>
      </c>
      <c r="K600" s="57" t="s">
        <v>22</v>
      </c>
      <c r="L600" s="57" t="s">
        <v>23</v>
      </c>
      <c r="M600" s="53">
        <v>19692000</v>
      </c>
      <c r="N600" s="58" t="s">
        <v>154</v>
      </c>
      <c r="O600" s="58" t="s">
        <v>155</v>
      </c>
      <c r="P600" s="58" t="s">
        <v>26</v>
      </c>
      <c r="Q600" s="47"/>
      <c r="R600" s="48"/>
    </row>
    <row r="601" spans="1:18" ht="91" customHeight="1" x14ac:dyDescent="0.3">
      <c r="A601" s="49">
        <v>20240545</v>
      </c>
      <c r="B601" s="49">
        <v>7655</v>
      </c>
      <c r="C601" s="50" t="s">
        <v>18</v>
      </c>
      <c r="D601" s="57" t="s">
        <v>222</v>
      </c>
      <c r="E601" s="58">
        <v>80111600</v>
      </c>
      <c r="F601" s="57" t="s">
        <v>236</v>
      </c>
      <c r="G601" s="51">
        <v>45342</v>
      </c>
      <c r="H601" s="51">
        <v>45352</v>
      </c>
      <c r="I601" s="52">
        <v>10</v>
      </c>
      <c r="J601" s="57" t="s">
        <v>21</v>
      </c>
      <c r="K601" s="57" t="s">
        <v>22</v>
      </c>
      <c r="L601" s="57" t="s">
        <v>23</v>
      </c>
      <c r="M601" s="53">
        <v>36500000</v>
      </c>
      <c r="N601" s="58" t="s">
        <v>24</v>
      </c>
      <c r="O601" s="58" t="s">
        <v>80</v>
      </c>
      <c r="P601" s="58" t="s">
        <v>26</v>
      </c>
      <c r="Q601" s="47"/>
      <c r="R601" s="48"/>
    </row>
    <row r="602" spans="1:18" ht="91" customHeight="1" x14ac:dyDescent="0.3">
      <c r="A602" s="49">
        <v>20240546</v>
      </c>
      <c r="B602" s="49">
        <v>7658</v>
      </c>
      <c r="C602" s="50" t="s">
        <v>82</v>
      </c>
      <c r="D602" s="57" t="s">
        <v>248</v>
      </c>
      <c r="E602" s="58">
        <v>80111600</v>
      </c>
      <c r="F602" s="57" t="s">
        <v>565</v>
      </c>
      <c r="G602" s="51">
        <v>45347</v>
      </c>
      <c r="H602" s="51">
        <v>45351</v>
      </c>
      <c r="I602" s="52">
        <v>6</v>
      </c>
      <c r="J602" s="57" t="s">
        <v>21</v>
      </c>
      <c r="K602" s="57" t="s">
        <v>22</v>
      </c>
      <c r="L602" s="57" t="s">
        <v>23</v>
      </c>
      <c r="M602" s="53">
        <f>7000000*6</f>
        <v>42000000</v>
      </c>
      <c r="N602" s="58" t="s">
        <v>249</v>
      </c>
      <c r="O602" s="58" t="s">
        <v>25</v>
      </c>
      <c r="P602" s="58" t="s">
        <v>26</v>
      </c>
      <c r="Q602" s="47"/>
      <c r="R602" s="48"/>
    </row>
    <row r="603" spans="1:18" ht="91" customHeight="1" x14ac:dyDescent="0.3">
      <c r="A603" s="49">
        <v>20240547</v>
      </c>
      <c r="B603" s="49">
        <v>7658</v>
      </c>
      <c r="C603" s="50" t="s">
        <v>82</v>
      </c>
      <c r="D603" s="57" t="s">
        <v>92</v>
      </c>
      <c r="E603" s="60">
        <v>80111600</v>
      </c>
      <c r="F603" s="57" t="s">
        <v>566</v>
      </c>
      <c r="G603" s="51">
        <v>45352</v>
      </c>
      <c r="H603" s="59">
        <v>45366</v>
      </c>
      <c r="I603" s="52">
        <v>3</v>
      </c>
      <c r="J603" s="57" t="s">
        <v>21</v>
      </c>
      <c r="K603" s="57" t="s">
        <v>22</v>
      </c>
      <c r="L603" s="57" t="s">
        <v>23</v>
      </c>
      <c r="M603" s="53">
        <v>12000000</v>
      </c>
      <c r="N603" s="60" t="s">
        <v>96</v>
      </c>
      <c r="O603" s="60" t="s">
        <v>25</v>
      </c>
      <c r="P603" s="58" t="s">
        <v>26</v>
      </c>
      <c r="Q603" s="47"/>
      <c r="R603" s="48"/>
    </row>
    <row r="604" spans="1:18" ht="91" customHeight="1" x14ac:dyDescent="0.3">
      <c r="A604" s="49">
        <v>20240548</v>
      </c>
      <c r="B604" s="49">
        <v>7658</v>
      </c>
      <c r="C604" s="50" t="s">
        <v>82</v>
      </c>
      <c r="D604" s="57" t="s">
        <v>92</v>
      </c>
      <c r="E604" s="60" t="s">
        <v>425</v>
      </c>
      <c r="F604" s="57" t="s">
        <v>567</v>
      </c>
      <c r="G604" s="51">
        <v>45352</v>
      </c>
      <c r="H604" s="59">
        <v>45366</v>
      </c>
      <c r="I604" s="52">
        <v>12</v>
      </c>
      <c r="J604" s="57" t="s">
        <v>36</v>
      </c>
      <c r="K604" s="57" t="s">
        <v>22</v>
      </c>
      <c r="L604" s="57" t="s">
        <v>99</v>
      </c>
      <c r="M604" s="53">
        <v>30000000</v>
      </c>
      <c r="N604" s="60" t="s">
        <v>96</v>
      </c>
      <c r="O604" s="60" t="s">
        <v>25</v>
      </c>
      <c r="P604" s="58" t="s">
        <v>26</v>
      </c>
      <c r="Q604" s="47"/>
      <c r="R604" s="48"/>
    </row>
    <row r="605" spans="1:18" ht="91" customHeight="1" x14ac:dyDescent="0.3">
      <c r="A605" s="49">
        <v>20240549</v>
      </c>
      <c r="B605" s="49">
        <v>7658</v>
      </c>
      <c r="C605" s="50" t="s">
        <v>82</v>
      </c>
      <c r="D605" s="57" t="s">
        <v>19</v>
      </c>
      <c r="E605" s="60">
        <v>80111600</v>
      </c>
      <c r="F605" s="57" t="s">
        <v>572</v>
      </c>
      <c r="G605" s="51">
        <v>45352</v>
      </c>
      <c r="H605" s="59">
        <v>45359</v>
      </c>
      <c r="I605" s="52">
        <v>6</v>
      </c>
      <c r="J605" s="57" t="s">
        <v>21</v>
      </c>
      <c r="K605" s="57" t="s">
        <v>22</v>
      </c>
      <c r="L605" s="57" t="s">
        <v>23</v>
      </c>
      <c r="M605" s="53">
        <v>15000000</v>
      </c>
      <c r="N605" s="60" t="s">
        <v>89</v>
      </c>
      <c r="O605" s="60" t="s">
        <v>90</v>
      </c>
      <c r="P605" s="58" t="s">
        <v>26</v>
      </c>
      <c r="Q605" s="47"/>
      <c r="R605" s="48"/>
    </row>
    <row r="606" spans="1:18" ht="119.5" customHeight="1" x14ac:dyDescent="0.3">
      <c r="A606" s="49">
        <v>20240550</v>
      </c>
      <c r="B606" s="49">
        <v>7658</v>
      </c>
      <c r="C606" s="50" t="s">
        <v>82</v>
      </c>
      <c r="D606" s="57" t="s">
        <v>19</v>
      </c>
      <c r="E606" s="60">
        <v>80111600</v>
      </c>
      <c r="F606" s="57" t="s">
        <v>572</v>
      </c>
      <c r="G606" s="51">
        <v>45352</v>
      </c>
      <c r="H606" s="59">
        <v>45359</v>
      </c>
      <c r="I606" s="52">
        <v>6</v>
      </c>
      <c r="J606" s="57" t="s">
        <v>21</v>
      </c>
      <c r="K606" s="57" t="s">
        <v>22</v>
      </c>
      <c r="L606" s="57" t="s">
        <v>23</v>
      </c>
      <c r="M606" s="53">
        <v>15000000</v>
      </c>
      <c r="N606" s="60" t="s">
        <v>38</v>
      </c>
      <c r="O606" s="60" t="s">
        <v>25</v>
      </c>
      <c r="P606" s="58" t="s">
        <v>26</v>
      </c>
      <c r="Q606" s="47"/>
      <c r="R606" s="48"/>
    </row>
    <row r="607" spans="1:18" ht="91" customHeight="1" x14ac:dyDescent="0.3">
      <c r="A607" s="49">
        <v>20240551</v>
      </c>
      <c r="B607" s="49">
        <v>131</v>
      </c>
      <c r="C607" s="50" t="s">
        <v>403</v>
      </c>
      <c r="D607" s="57" t="s">
        <v>19</v>
      </c>
      <c r="E607" s="60" t="s">
        <v>437</v>
      </c>
      <c r="F607" s="57" t="s">
        <v>573</v>
      </c>
      <c r="G607" s="51">
        <v>45352</v>
      </c>
      <c r="H607" s="59">
        <v>45359</v>
      </c>
      <c r="I607" s="52" t="s">
        <v>66</v>
      </c>
      <c r="J607" s="57" t="s">
        <v>21</v>
      </c>
      <c r="K607" s="57" t="s">
        <v>22</v>
      </c>
      <c r="L607" s="57" t="s">
        <v>66</v>
      </c>
      <c r="M607" s="53">
        <v>967969</v>
      </c>
      <c r="N607" s="58" t="s">
        <v>598</v>
      </c>
      <c r="O607" s="58" t="s">
        <v>598</v>
      </c>
      <c r="P607" s="58" t="s">
        <v>310</v>
      </c>
      <c r="Q607" s="47"/>
      <c r="R607" s="48"/>
    </row>
    <row r="608" spans="1:18" ht="91" customHeight="1" x14ac:dyDescent="0.3">
      <c r="A608" s="49">
        <v>20240552</v>
      </c>
      <c r="B608" s="49">
        <v>7658</v>
      </c>
      <c r="C608" s="50" t="s">
        <v>82</v>
      </c>
      <c r="D608" s="57" t="s">
        <v>92</v>
      </c>
      <c r="E608" s="60">
        <v>80111600</v>
      </c>
      <c r="F608" s="57" t="s">
        <v>574</v>
      </c>
      <c r="G608" s="51">
        <v>45352</v>
      </c>
      <c r="H608" s="59">
        <v>45366</v>
      </c>
      <c r="I608" s="52">
        <v>4</v>
      </c>
      <c r="J608" s="57" t="s">
        <v>21</v>
      </c>
      <c r="K608" s="57" t="s">
        <v>22</v>
      </c>
      <c r="L608" s="57" t="s">
        <v>23</v>
      </c>
      <c r="M608" s="53">
        <f>3000000*4</f>
        <v>12000000</v>
      </c>
      <c r="N608" s="60" t="s">
        <v>94</v>
      </c>
      <c r="O608" s="60" t="s">
        <v>25</v>
      </c>
      <c r="P608" s="58" t="s">
        <v>26</v>
      </c>
      <c r="Q608" s="47"/>
      <c r="R608" s="48"/>
    </row>
    <row r="609" spans="1:18" ht="91" customHeight="1" x14ac:dyDescent="0.3">
      <c r="A609" s="49">
        <v>20240553</v>
      </c>
      <c r="B609" s="49">
        <v>131</v>
      </c>
      <c r="C609" s="50" t="s">
        <v>403</v>
      </c>
      <c r="D609" s="57" t="s">
        <v>152</v>
      </c>
      <c r="E609" s="60">
        <v>60103704</v>
      </c>
      <c r="F609" s="57" t="s">
        <v>576</v>
      </c>
      <c r="G609" s="51">
        <v>45361</v>
      </c>
      <c r="H609" s="59">
        <v>45366</v>
      </c>
      <c r="I609" s="52">
        <v>1</v>
      </c>
      <c r="J609" s="57" t="s">
        <v>21</v>
      </c>
      <c r="K609" s="57" t="s">
        <v>22</v>
      </c>
      <c r="L609" s="57" t="s">
        <v>66</v>
      </c>
      <c r="M609" s="53">
        <v>0</v>
      </c>
      <c r="N609" s="58" t="s">
        <v>598</v>
      </c>
      <c r="O609" s="58" t="s">
        <v>598</v>
      </c>
      <c r="P609" s="58" t="s">
        <v>26</v>
      </c>
      <c r="Q609" s="47"/>
      <c r="R609" s="48"/>
    </row>
    <row r="610" spans="1:18" ht="91" customHeight="1" x14ac:dyDescent="0.3">
      <c r="A610" s="49">
        <v>20240554</v>
      </c>
      <c r="B610" s="49">
        <v>7658</v>
      </c>
      <c r="C610" s="50" t="s">
        <v>82</v>
      </c>
      <c r="D610" s="57" t="s">
        <v>19</v>
      </c>
      <c r="E610" s="60" t="s">
        <v>534</v>
      </c>
      <c r="F610" s="57" t="s">
        <v>577</v>
      </c>
      <c r="G610" s="51">
        <v>45361</v>
      </c>
      <c r="H610" s="59">
        <v>45366</v>
      </c>
      <c r="I610" s="52" t="s">
        <v>66</v>
      </c>
      <c r="J610" s="57" t="s">
        <v>36</v>
      </c>
      <c r="K610" s="57" t="s">
        <v>22</v>
      </c>
      <c r="L610" s="57" t="s">
        <v>37</v>
      </c>
      <c r="M610" s="53">
        <v>10000000</v>
      </c>
      <c r="N610" s="60" t="s">
        <v>38</v>
      </c>
      <c r="O610" s="60" t="s">
        <v>25</v>
      </c>
      <c r="P610" s="58" t="s">
        <v>310</v>
      </c>
      <c r="Q610" s="47"/>
      <c r="R610" s="48"/>
    </row>
    <row r="611" spans="1:18" ht="91" customHeight="1" x14ac:dyDescent="0.3">
      <c r="A611" s="49">
        <v>20240555</v>
      </c>
      <c r="B611" s="49">
        <v>7655</v>
      </c>
      <c r="C611" s="50" t="s">
        <v>18</v>
      </c>
      <c r="D611" s="57" t="s">
        <v>19</v>
      </c>
      <c r="E611" s="60">
        <v>80111600</v>
      </c>
      <c r="F611" s="57" t="s">
        <v>551</v>
      </c>
      <c r="G611" s="51">
        <v>45355</v>
      </c>
      <c r="H611" s="59">
        <v>45361</v>
      </c>
      <c r="I611" s="52">
        <v>4</v>
      </c>
      <c r="J611" s="57" t="s">
        <v>21</v>
      </c>
      <c r="K611" s="57" t="s">
        <v>22</v>
      </c>
      <c r="L611" s="57" t="s">
        <v>29</v>
      </c>
      <c r="M611" s="53">
        <f>6000000*6</f>
        <v>36000000</v>
      </c>
      <c r="N611" s="60" t="s">
        <v>24</v>
      </c>
      <c r="O611" s="60" t="s">
        <v>80</v>
      </c>
      <c r="P611" s="58" t="s">
        <v>26</v>
      </c>
      <c r="Q611" s="47"/>
      <c r="R611" s="48"/>
    </row>
    <row r="612" spans="1:18" ht="91" customHeight="1" x14ac:dyDescent="0.3">
      <c r="A612" s="49">
        <v>20240556</v>
      </c>
      <c r="B612" s="49">
        <v>7655</v>
      </c>
      <c r="C612" s="50" t="s">
        <v>18</v>
      </c>
      <c r="D612" s="57" t="s">
        <v>19</v>
      </c>
      <c r="E612" s="60">
        <v>80111600</v>
      </c>
      <c r="F612" s="57" t="s">
        <v>578</v>
      </c>
      <c r="G612" s="51">
        <v>45355</v>
      </c>
      <c r="H612" s="59">
        <v>45361</v>
      </c>
      <c r="I612" s="52">
        <v>4</v>
      </c>
      <c r="J612" s="57" t="s">
        <v>21</v>
      </c>
      <c r="K612" s="57" t="s">
        <v>22</v>
      </c>
      <c r="L612" s="57" t="s">
        <v>23</v>
      </c>
      <c r="M612" s="53">
        <v>29104000</v>
      </c>
      <c r="N612" s="60" t="s">
        <v>24</v>
      </c>
      <c r="O612" s="60" t="s">
        <v>80</v>
      </c>
      <c r="P612" s="58" t="s">
        <v>26</v>
      </c>
      <c r="Q612" s="47"/>
      <c r="R612" s="48"/>
    </row>
    <row r="613" spans="1:18" ht="116.15" customHeight="1" x14ac:dyDescent="0.3">
      <c r="A613" s="49">
        <v>20240557</v>
      </c>
      <c r="B613" s="49">
        <v>7637</v>
      </c>
      <c r="C613" s="50" t="s">
        <v>183</v>
      </c>
      <c r="D613" s="57" t="s">
        <v>222</v>
      </c>
      <c r="E613" s="60" t="s">
        <v>189</v>
      </c>
      <c r="F613" s="57" t="s">
        <v>582</v>
      </c>
      <c r="G613" s="51">
        <v>45365</v>
      </c>
      <c r="H613" s="59">
        <v>45380</v>
      </c>
      <c r="I613" s="54">
        <v>1.5</v>
      </c>
      <c r="J613" s="57" t="s">
        <v>97</v>
      </c>
      <c r="K613" s="57" t="s">
        <v>22</v>
      </c>
      <c r="L613" s="57" t="s">
        <v>191</v>
      </c>
      <c r="M613" s="53">
        <v>55000000</v>
      </c>
      <c r="N613" s="60" t="s">
        <v>192</v>
      </c>
      <c r="O613" s="60" t="s">
        <v>188</v>
      </c>
      <c r="P613" s="58" t="s">
        <v>310</v>
      </c>
      <c r="Q613" s="47"/>
      <c r="R613" s="48"/>
    </row>
    <row r="614" spans="1:18" ht="91" customHeight="1" x14ac:dyDescent="0.3">
      <c r="A614" s="49">
        <v>20240558</v>
      </c>
      <c r="B614" s="49">
        <v>131</v>
      </c>
      <c r="C614" s="50" t="s">
        <v>403</v>
      </c>
      <c r="D614" s="57" t="s">
        <v>152</v>
      </c>
      <c r="E614" s="60">
        <v>84131600</v>
      </c>
      <c r="F614" s="57" t="s">
        <v>583</v>
      </c>
      <c r="G614" s="51">
        <v>45382</v>
      </c>
      <c r="H614" s="59">
        <v>45382</v>
      </c>
      <c r="I614" s="52">
        <v>1</v>
      </c>
      <c r="J614" s="57" t="s">
        <v>88</v>
      </c>
      <c r="K614" s="57" t="s">
        <v>22</v>
      </c>
      <c r="L614" s="57" t="s">
        <v>66</v>
      </c>
      <c r="M614" s="53">
        <v>0</v>
      </c>
      <c r="N614" s="58" t="s">
        <v>598</v>
      </c>
      <c r="O614" s="58" t="s">
        <v>598</v>
      </c>
      <c r="P614" s="58" t="s">
        <v>310</v>
      </c>
      <c r="Q614" s="47"/>
      <c r="R614" s="48"/>
    </row>
    <row r="615" spans="1:18" ht="91" customHeight="1" x14ac:dyDescent="0.3">
      <c r="A615" s="49">
        <v>20240560</v>
      </c>
      <c r="B615" s="49">
        <v>7658</v>
      </c>
      <c r="C615" s="50" t="s">
        <v>82</v>
      </c>
      <c r="D615" s="57" t="s">
        <v>152</v>
      </c>
      <c r="E615" s="60" t="s">
        <v>622</v>
      </c>
      <c r="F615" s="57" t="s">
        <v>585</v>
      </c>
      <c r="G615" s="51">
        <v>45383</v>
      </c>
      <c r="H615" s="59">
        <v>45427</v>
      </c>
      <c r="I615" s="52">
        <v>3</v>
      </c>
      <c r="J615" s="57" t="s">
        <v>358</v>
      </c>
      <c r="K615" s="57" t="s">
        <v>22</v>
      </c>
      <c r="L615" s="57" t="s">
        <v>23</v>
      </c>
      <c r="M615" s="53">
        <v>274586560</v>
      </c>
      <c r="N615" s="60" t="s">
        <v>154</v>
      </c>
      <c r="O615" s="60" t="s">
        <v>155</v>
      </c>
      <c r="P615" s="58" t="s">
        <v>26</v>
      </c>
      <c r="Q615" s="47"/>
      <c r="R615" s="48"/>
    </row>
    <row r="616" spans="1:18" ht="70" x14ac:dyDescent="0.3">
      <c r="A616" s="49">
        <v>20240561</v>
      </c>
      <c r="B616" s="49">
        <v>7637</v>
      </c>
      <c r="C616" s="50" t="s">
        <v>183</v>
      </c>
      <c r="D616" s="57" t="s">
        <v>222</v>
      </c>
      <c r="E616" s="60" t="s">
        <v>587</v>
      </c>
      <c r="F616" s="57" t="s">
        <v>588</v>
      </c>
      <c r="G616" s="51">
        <v>45414</v>
      </c>
      <c r="H616" s="59">
        <v>45446</v>
      </c>
      <c r="I616" s="52">
        <v>6</v>
      </c>
      <c r="J616" s="57" t="s">
        <v>36</v>
      </c>
      <c r="K616" s="57" t="s">
        <v>22</v>
      </c>
      <c r="L616" s="57" t="s">
        <v>191</v>
      </c>
      <c r="M616" s="53">
        <v>26000000</v>
      </c>
      <c r="N616" s="60" t="s">
        <v>187</v>
      </c>
      <c r="O616" s="60" t="s">
        <v>188</v>
      </c>
      <c r="P616" s="58" t="s">
        <v>26</v>
      </c>
      <c r="Q616" s="47"/>
      <c r="R616" s="48"/>
    </row>
    <row r="617" spans="1:18" ht="64" customHeight="1" x14ac:dyDescent="0.3">
      <c r="A617" s="49">
        <v>20240562</v>
      </c>
      <c r="B617" s="49">
        <v>131</v>
      </c>
      <c r="C617" s="50" t="s">
        <v>403</v>
      </c>
      <c r="D617" s="57" t="s">
        <v>19</v>
      </c>
      <c r="E617" s="60" t="s">
        <v>596</v>
      </c>
      <c r="F617" s="57" t="s">
        <v>597</v>
      </c>
      <c r="G617" s="51">
        <v>45370</v>
      </c>
      <c r="H617" s="59">
        <v>45373</v>
      </c>
      <c r="I617" s="52">
        <v>6</v>
      </c>
      <c r="J617" s="57" t="s">
        <v>49</v>
      </c>
      <c r="K617" s="57" t="s">
        <v>22</v>
      </c>
      <c r="L617" s="57" t="s">
        <v>66</v>
      </c>
      <c r="M617" s="53">
        <v>24820000</v>
      </c>
      <c r="N617" s="60" t="s">
        <v>598</v>
      </c>
      <c r="O617" s="60" t="s">
        <v>598</v>
      </c>
      <c r="P617" s="58" t="s">
        <v>310</v>
      </c>
      <c r="Q617" s="47"/>
      <c r="R617" s="48"/>
    </row>
    <row r="618" spans="1:18" ht="70" x14ac:dyDescent="0.3">
      <c r="A618" s="49">
        <v>20240563</v>
      </c>
      <c r="B618" s="49">
        <v>131</v>
      </c>
      <c r="C618" s="50" t="s">
        <v>403</v>
      </c>
      <c r="D618" s="57" t="s">
        <v>19</v>
      </c>
      <c r="E618" s="60" t="s">
        <v>54</v>
      </c>
      <c r="F618" s="57" t="s">
        <v>599</v>
      </c>
      <c r="G618" s="51">
        <v>45383</v>
      </c>
      <c r="H618" s="59">
        <v>45387</v>
      </c>
      <c r="I618" s="52">
        <v>1</v>
      </c>
      <c r="J618" s="57" t="s">
        <v>49</v>
      </c>
      <c r="K618" s="57" t="s">
        <v>22</v>
      </c>
      <c r="L618" s="57" t="s">
        <v>66</v>
      </c>
      <c r="M618" s="53">
        <v>25000000</v>
      </c>
      <c r="N618" s="58" t="s">
        <v>598</v>
      </c>
      <c r="O618" s="58" t="s">
        <v>598</v>
      </c>
      <c r="P618" s="58" t="s">
        <v>310</v>
      </c>
      <c r="Q618" s="47"/>
      <c r="R618" s="48"/>
    </row>
    <row r="619" spans="1:18" ht="84" x14ac:dyDescent="0.3">
      <c r="A619" s="49">
        <v>20240564</v>
      </c>
      <c r="B619" s="49">
        <v>7658</v>
      </c>
      <c r="C619" s="50" t="s">
        <v>82</v>
      </c>
      <c r="D619" s="57" t="s">
        <v>19</v>
      </c>
      <c r="E619" s="60" t="s">
        <v>54</v>
      </c>
      <c r="F619" s="57" t="s">
        <v>599</v>
      </c>
      <c r="G619" s="51">
        <v>45383</v>
      </c>
      <c r="H619" s="59">
        <v>45387</v>
      </c>
      <c r="I619" s="52">
        <v>1</v>
      </c>
      <c r="J619" s="57" t="s">
        <v>49</v>
      </c>
      <c r="K619" s="57" t="s">
        <v>22</v>
      </c>
      <c r="L619" s="57" t="s">
        <v>56</v>
      </c>
      <c r="M619" s="53">
        <v>25000000</v>
      </c>
      <c r="N619" s="60" t="s">
        <v>38</v>
      </c>
      <c r="O619" s="60" t="s">
        <v>25</v>
      </c>
      <c r="P619" s="58" t="s">
        <v>310</v>
      </c>
      <c r="Q619" s="47"/>
      <c r="R619" s="48"/>
    </row>
    <row r="620" spans="1:18" ht="109" customHeight="1" x14ac:dyDescent="0.3">
      <c r="A620" s="49">
        <v>20240565</v>
      </c>
      <c r="B620" s="49">
        <v>7655</v>
      </c>
      <c r="C620" s="50" t="s">
        <v>18</v>
      </c>
      <c r="D620" s="57" t="s">
        <v>19</v>
      </c>
      <c r="E620" s="60">
        <v>80111600</v>
      </c>
      <c r="F620" s="57" t="s">
        <v>600</v>
      </c>
      <c r="G620" s="51">
        <v>45404</v>
      </c>
      <c r="H620" s="59">
        <v>45408</v>
      </c>
      <c r="I620" s="52">
        <v>2</v>
      </c>
      <c r="J620" s="57" t="s">
        <v>21</v>
      </c>
      <c r="K620" s="57" t="s">
        <v>22</v>
      </c>
      <c r="L620" s="57" t="s">
        <v>23</v>
      </c>
      <c r="M620" s="53">
        <v>6334720</v>
      </c>
      <c r="N620" s="60" t="s">
        <v>24</v>
      </c>
      <c r="O620" s="60" t="s">
        <v>80</v>
      </c>
      <c r="P620" s="58" t="s">
        <v>310</v>
      </c>
      <c r="Q620" s="47"/>
      <c r="R620" s="48"/>
    </row>
    <row r="621" spans="1:18" ht="106.5" customHeight="1" x14ac:dyDescent="0.3">
      <c r="A621" s="49">
        <v>20240566</v>
      </c>
      <c r="B621" s="49">
        <v>7655</v>
      </c>
      <c r="C621" s="50" t="s">
        <v>18</v>
      </c>
      <c r="D621" s="57" t="s">
        <v>19</v>
      </c>
      <c r="E621" s="60">
        <v>80111600</v>
      </c>
      <c r="F621" s="57" t="s">
        <v>601</v>
      </c>
      <c r="G621" s="51">
        <v>45404</v>
      </c>
      <c r="H621" s="59">
        <v>45408</v>
      </c>
      <c r="I621" s="52">
        <v>2</v>
      </c>
      <c r="J621" s="57" t="s">
        <v>21</v>
      </c>
      <c r="K621" s="57" t="s">
        <v>22</v>
      </c>
      <c r="L621" s="57" t="s">
        <v>29</v>
      </c>
      <c r="M621" s="53">
        <v>16515520</v>
      </c>
      <c r="N621" s="60" t="s">
        <v>24</v>
      </c>
      <c r="O621" s="60" t="s">
        <v>80</v>
      </c>
      <c r="P621" s="58" t="s">
        <v>310</v>
      </c>
      <c r="Q621" s="47"/>
      <c r="R621" s="48"/>
    </row>
    <row r="622" spans="1:18" ht="70" x14ac:dyDescent="0.3">
      <c r="A622" s="49">
        <v>20240567</v>
      </c>
      <c r="B622" s="49">
        <v>7655</v>
      </c>
      <c r="C622" s="50" t="s">
        <v>18</v>
      </c>
      <c r="D622" s="57" t="s">
        <v>19</v>
      </c>
      <c r="E622" s="60">
        <v>80111600</v>
      </c>
      <c r="F622" s="57" t="s">
        <v>602</v>
      </c>
      <c r="G622" s="51">
        <v>45404</v>
      </c>
      <c r="H622" s="59">
        <v>45408</v>
      </c>
      <c r="I622" s="52">
        <v>2</v>
      </c>
      <c r="J622" s="57" t="s">
        <v>21</v>
      </c>
      <c r="K622" s="57" t="s">
        <v>22</v>
      </c>
      <c r="L622" s="57" t="s">
        <v>23</v>
      </c>
      <c r="M622" s="53">
        <v>10180800</v>
      </c>
      <c r="N622" s="60" t="s">
        <v>24</v>
      </c>
      <c r="O622" s="60" t="s">
        <v>80</v>
      </c>
      <c r="P622" s="58" t="s">
        <v>310</v>
      </c>
      <c r="Q622" s="47"/>
      <c r="R622" s="48"/>
    </row>
    <row r="623" spans="1:18" ht="84" x14ac:dyDescent="0.3">
      <c r="A623" s="49">
        <v>20240568</v>
      </c>
      <c r="B623" s="49">
        <v>7655</v>
      </c>
      <c r="C623" s="50" t="s">
        <v>18</v>
      </c>
      <c r="D623" s="57" t="s">
        <v>19</v>
      </c>
      <c r="E623" s="60">
        <v>80111600</v>
      </c>
      <c r="F623" s="57" t="s">
        <v>603</v>
      </c>
      <c r="G623" s="51">
        <v>45404</v>
      </c>
      <c r="H623" s="59">
        <v>45408</v>
      </c>
      <c r="I623" s="52">
        <v>2</v>
      </c>
      <c r="J623" s="57" t="s">
        <v>21</v>
      </c>
      <c r="K623" s="57" t="s">
        <v>22</v>
      </c>
      <c r="L623" s="57" t="s">
        <v>23</v>
      </c>
      <c r="M623" s="53">
        <v>11200000</v>
      </c>
      <c r="N623" s="60" t="s">
        <v>24</v>
      </c>
      <c r="O623" s="60" t="s">
        <v>80</v>
      </c>
      <c r="P623" s="58" t="s">
        <v>310</v>
      </c>
      <c r="Q623" s="47"/>
      <c r="R623" s="48"/>
    </row>
    <row r="624" spans="1:18" ht="81.650000000000006" customHeight="1" x14ac:dyDescent="0.3">
      <c r="A624" s="49">
        <v>20240569</v>
      </c>
      <c r="B624" s="49">
        <v>7655</v>
      </c>
      <c r="C624" s="50" t="s">
        <v>18</v>
      </c>
      <c r="D624" s="57" t="s">
        <v>19</v>
      </c>
      <c r="E624" s="60">
        <v>80111600</v>
      </c>
      <c r="F624" s="57" t="s">
        <v>604</v>
      </c>
      <c r="G624" s="51">
        <v>45404</v>
      </c>
      <c r="H624" s="59">
        <v>45408</v>
      </c>
      <c r="I624" s="52">
        <v>2</v>
      </c>
      <c r="J624" s="57" t="s">
        <v>21</v>
      </c>
      <c r="K624" s="57" t="s">
        <v>22</v>
      </c>
      <c r="L624" s="57" t="s">
        <v>29</v>
      </c>
      <c r="M624" s="53">
        <v>11538240</v>
      </c>
      <c r="N624" s="60" t="s">
        <v>24</v>
      </c>
      <c r="O624" s="60" t="s">
        <v>80</v>
      </c>
      <c r="P624" s="58" t="s">
        <v>310</v>
      </c>
      <c r="Q624" s="47"/>
      <c r="R624" s="48"/>
    </row>
    <row r="625" spans="1:18" ht="70" x14ac:dyDescent="0.3">
      <c r="A625" s="49">
        <v>20240570</v>
      </c>
      <c r="B625" s="49">
        <v>7655</v>
      </c>
      <c r="C625" s="50" t="s">
        <v>18</v>
      </c>
      <c r="D625" s="57" t="s">
        <v>19</v>
      </c>
      <c r="E625" s="60">
        <v>80111600</v>
      </c>
      <c r="F625" s="57" t="s">
        <v>605</v>
      </c>
      <c r="G625" s="51">
        <v>45404</v>
      </c>
      <c r="H625" s="59">
        <v>45408</v>
      </c>
      <c r="I625" s="52">
        <v>2</v>
      </c>
      <c r="J625" s="57" t="s">
        <v>21</v>
      </c>
      <c r="K625" s="57" t="s">
        <v>22</v>
      </c>
      <c r="L625" s="57" t="s">
        <v>23</v>
      </c>
      <c r="M625" s="53">
        <v>13910000</v>
      </c>
      <c r="N625" s="60" t="s">
        <v>24</v>
      </c>
      <c r="O625" s="60" t="s">
        <v>80</v>
      </c>
      <c r="P625" s="58" t="s">
        <v>310</v>
      </c>
      <c r="Q625" s="47"/>
      <c r="R625" s="48"/>
    </row>
    <row r="626" spans="1:18" ht="111.65" customHeight="1" x14ac:dyDescent="0.3">
      <c r="A626" s="49">
        <v>20240571</v>
      </c>
      <c r="B626" s="49">
        <v>7655</v>
      </c>
      <c r="C626" s="50" t="s">
        <v>18</v>
      </c>
      <c r="D626" s="57" t="s">
        <v>19</v>
      </c>
      <c r="E626" s="60">
        <v>80111600</v>
      </c>
      <c r="F626" s="57" t="s">
        <v>606</v>
      </c>
      <c r="G626" s="51">
        <v>45404</v>
      </c>
      <c r="H626" s="59">
        <v>45408</v>
      </c>
      <c r="I626" s="52">
        <v>2</v>
      </c>
      <c r="J626" s="57" t="s">
        <v>21</v>
      </c>
      <c r="K626" s="57" t="s">
        <v>22</v>
      </c>
      <c r="L626" s="57" t="s">
        <v>23</v>
      </c>
      <c r="M626" s="53">
        <v>5542880</v>
      </c>
      <c r="N626" s="60" t="s">
        <v>24</v>
      </c>
      <c r="O626" s="60" t="s">
        <v>80</v>
      </c>
      <c r="P626" s="58" t="s">
        <v>310</v>
      </c>
      <c r="Q626" s="47"/>
      <c r="R626" s="48"/>
    </row>
    <row r="627" spans="1:18" ht="87.65" customHeight="1" x14ac:dyDescent="0.3">
      <c r="A627" s="49">
        <v>20240572</v>
      </c>
      <c r="B627" s="49">
        <v>7655</v>
      </c>
      <c r="C627" s="50" t="s">
        <v>18</v>
      </c>
      <c r="D627" s="57" t="s">
        <v>19</v>
      </c>
      <c r="E627" s="60">
        <v>80111600</v>
      </c>
      <c r="F627" s="57" t="s">
        <v>607</v>
      </c>
      <c r="G627" s="51">
        <v>45404</v>
      </c>
      <c r="H627" s="59">
        <v>45408</v>
      </c>
      <c r="I627" s="52">
        <v>2</v>
      </c>
      <c r="J627" s="57" t="s">
        <v>21</v>
      </c>
      <c r="K627" s="57" t="s">
        <v>22</v>
      </c>
      <c r="L627" s="57" t="s">
        <v>23</v>
      </c>
      <c r="M627" s="53">
        <v>15384320</v>
      </c>
      <c r="N627" s="60" t="s">
        <v>24</v>
      </c>
      <c r="O627" s="60" t="s">
        <v>80</v>
      </c>
      <c r="P627" s="58" t="s">
        <v>310</v>
      </c>
      <c r="Q627" s="47"/>
      <c r="R627" s="48"/>
    </row>
    <row r="628" spans="1:18" ht="56" x14ac:dyDescent="0.3">
      <c r="A628" s="49">
        <v>20240573</v>
      </c>
      <c r="B628" s="49">
        <v>7655</v>
      </c>
      <c r="C628" s="50" t="s">
        <v>18</v>
      </c>
      <c r="D628" s="57" t="s">
        <v>19</v>
      </c>
      <c r="E628" s="60">
        <v>80111600</v>
      </c>
      <c r="F628" s="57" t="s">
        <v>608</v>
      </c>
      <c r="G628" s="51">
        <v>45404</v>
      </c>
      <c r="H628" s="59">
        <v>45408</v>
      </c>
      <c r="I628" s="52">
        <v>2</v>
      </c>
      <c r="J628" s="57" t="s">
        <v>21</v>
      </c>
      <c r="K628" s="57" t="s">
        <v>22</v>
      </c>
      <c r="L628" s="57" t="s">
        <v>23</v>
      </c>
      <c r="M628" s="53">
        <v>5542880</v>
      </c>
      <c r="N628" s="60" t="s">
        <v>24</v>
      </c>
      <c r="O628" s="60" t="s">
        <v>80</v>
      </c>
      <c r="P628" s="58" t="s">
        <v>310</v>
      </c>
      <c r="Q628" s="47"/>
      <c r="R628" s="48"/>
    </row>
    <row r="629" spans="1:18" ht="56" x14ac:dyDescent="0.3">
      <c r="A629" s="49">
        <v>20240574</v>
      </c>
      <c r="B629" s="49">
        <v>7655</v>
      </c>
      <c r="C629" s="50" t="s">
        <v>18</v>
      </c>
      <c r="D629" s="57" t="s">
        <v>19</v>
      </c>
      <c r="E629" s="60">
        <v>80111600</v>
      </c>
      <c r="F629" s="57" t="s">
        <v>609</v>
      </c>
      <c r="G629" s="51">
        <v>45404</v>
      </c>
      <c r="H629" s="59">
        <v>45408</v>
      </c>
      <c r="I629" s="52">
        <v>2</v>
      </c>
      <c r="J629" s="57" t="s">
        <v>21</v>
      </c>
      <c r="K629" s="57" t="s">
        <v>22</v>
      </c>
      <c r="L629" s="57" t="s">
        <v>23</v>
      </c>
      <c r="M629" s="53">
        <v>10180000</v>
      </c>
      <c r="N629" s="60" t="s">
        <v>24</v>
      </c>
      <c r="O629" s="60" t="s">
        <v>80</v>
      </c>
      <c r="P629" s="58" t="s">
        <v>310</v>
      </c>
      <c r="Q629" s="47"/>
      <c r="R629" s="48"/>
    </row>
    <row r="630" spans="1:18" ht="70" x14ac:dyDescent="0.3">
      <c r="A630" s="49">
        <v>20240575</v>
      </c>
      <c r="B630" s="49">
        <v>7655</v>
      </c>
      <c r="C630" s="50" t="s">
        <v>18</v>
      </c>
      <c r="D630" s="57" t="s">
        <v>19</v>
      </c>
      <c r="E630" s="60">
        <v>80111600</v>
      </c>
      <c r="F630" s="57" t="s">
        <v>610</v>
      </c>
      <c r="G630" s="51">
        <v>45404</v>
      </c>
      <c r="H630" s="59">
        <v>45408</v>
      </c>
      <c r="I630" s="52">
        <v>2</v>
      </c>
      <c r="J630" s="57" t="s">
        <v>21</v>
      </c>
      <c r="K630" s="57" t="s">
        <v>22</v>
      </c>
      <c r="L630" s="57" t="s">
        <v>23</v>
      </c>
      <c r="M630" s="53">
        <v>8670240</v>
      </c>
      <c r="N630" s="60" t="s">
        <v>24</v>
      </c>
      <c r="O630" s="60" t="s">
        <v>80</v>
      </c>
      <c r="P630" s="58" t="s">
        <v>310</v>
      </c>
      <c r="Q630" s="47"/>
      <c r="R630" s="48"/>
    </row>
    <row r="631" spans="1:18" ht="56" x14ac:dyDescent="0.3">
      <c r="A631" s="49">
        <v>20240576</v>
      </c>
      <c r="B631" s="49">
        <v>7655</v>
      </c>
      <c r="C631" s="50" t="s">
        <v>18</v>
      </c>
      <c r="D631" s="57" t="s">
        <v>19</v>
      </c>
      <c r="E631" s="60">
        <v>80111600</v>
      </c>
      <c r="F631" s="57" t="s">
        <v>611</v>
      </c>
      <c r="G631" s="51">
        <v>45404</v>
      </c>
      <c r="H631" s="59">
        <v>45408</v>
      </c>
      <c r="I631" s="52">
        <v>2</v>
      </c>
      <c r="J631" s="57" t="s">
        <v>21</v>
      </c>
      <c r="K631" s="57" t="s">
        <v>22</v>
      </c>
      <c r="L631" s="57" t="s">
        <v>23</v>
      </c>
      <c r="M631" s="53">
        <v>5542880</v>
      </c>
      <c r="N631" s="60" t="s">
        <v>24</v>
      </c>
      <c r="O631" s="60" t="s">
        <v>80</v>
      </c>
      <c r="P631" s="58" t="s">
        <v>310</v>
      </c>
      <c r="Q631" s="47"/>
      <c r="R631" s="48"/>
    </row>
    <row r="632" spans="1:18" ht="56" x14ac:dyDescent="0.3">
      <c r="A632" s="49">
        <v>20240577</v>
      </c>
      <c r="B632" s="49">
        <v>7655</v>
      </c>
      <c r="C632" s="50" t="s">
        <v>18</v>
      </c>
      <c r="D632" s="57" t="s">
        <v>19</v>
      </c>
      <c r="E632" s="60">
        <v>80111600</v>
      </c>
      <c r="F632" s="57" t="s">
        <v>612</v>
      </c>
      <c r="G632" s="51">
        <v>45404</v>
      </c>
      <c r="H632" s="59">
        <v>45408</v>
      </c>
      <c r="I632" s="52">
        <v>2</v>
      </c>
      <c r="J632" s="57" t="s">
        <v>21</v>
      </c>
      <c r="K632" s="57" t="s">
        <v>22</v>
      </c>
      <c r="L632" s="57" t="s">
        <v>23</v>
      </c>
      <c r="M632" s="53">
        <v>7579040</v>
      </c>
      <c r="N632" s="60" t="s">
        <v>24</v>
      </c>
      <c r="O632" s="60" t="s">
        <v>80</v>
      </c>
      <c r="P632" s="58" t="s">
        <v>310</v>
      </c>
      <c r="Q632" s="47"/>
      <c r="R632" s="48"/>
    </row>
    <row r="633" spans="1:18" ht="56" x14ac:dyDescent="0.3">
      <c r="A633" s="49">
        <v>20240578</v>
      </c>
      <c r="B633" s="49">
        <v>7655</v>
      </c>
      <c r="C633" s="50" t="s">
        <v>18</v>
      </c>
      <c r="D633" s="57" t="s">
        <v>19</v>
      </c>
      <c r="E633" s="60">
        <v>80111600</v>
      </c>
      <c r="F633" s="57" t="s">
        <v>613</v>
      </c>
      <c r="G633" s="51">
        <v>45404</v>
      </c>
      <c r="H633" s="59">
        <v>45408</v>
      </c>
      <c r="I633" s="52">
        <v>2</v>
      </c>
      <c r="J633" s="57" t="s">
        <v>21</v>
      </c>
      <c r="K633" s="57" t="s">
        <v>22</v>
      </c>
      <c r="L633" s="57" t="s">
        <v>23</v>
      </c>
      <c r="M633" s="53">
        <v>5542880</v>
      </c>
      <c r="N633" s="60" t="s">
        <v>24</v>
      </c>
      <c r="O633" s="60" t="s">
        <v>80</v>
      </c>
      <c r="P633" s="58" t="s">
        <v>310</v>
      </c>
      <c r="Q633" s="47"/>
      <c r="R633" s="48"/>
    </row>
    <row r="634" spans="1:18" ht="56" x14ac:dyDescent="0.3">
      <c r="A634" s="49">
        <v>20240579</v>
      </c>
      <c r="B634" s="49">
        <v>7655</v>
      </c>
      <c r="C634" s="50" t="s">
        <v>18</v>
      </c>
      <c r="D634" s="57" t="s">
        <v>19</v>
      </c>
      <c r="E634" s="60">
        <v>80111600</v>
      </c>
      <c r="F634" s="57" t="s">
        <v>614</v>
      </c>
      <c r="G634" s="51">
        <v>45404</v>
      </c>
      <c r="H634" s="59">
        <v>45408</v>
      </c>
      <c r="I634" s="52">
        <v>2</v>
      </c>
      <c r="J634" s="57" t="s">
        <v>21</v>
      </c>
      <c r="K634" s="57" t="s">
        <v>22</v>
      </c>
      <c r="L634" s="57" t="s">
        <v>23</v>
      </c>
      <c r="M634" s="53">
        <v>5542880</v>
      </c>
      <c r="N634" s="60" t="s">
        <v>24</v>
      </c>
      <c r="O634" s="60" t="s">
        <v>80</v>
      </c>
      <c r="P634" s="58" t="s">
        <v>310</v>
      </c>
      <c r="Q634" s="47"/>
      <c r="R634" s="48"/>
    </row>
    <row r="635" spans="1:18" ht="56" x14ac:dyDescent="0.3">
      <c r="A635" s="49">
        <v>20240580</v>
      </c>
      <c r="B635" s="49">
        <v>7655</v>
      </c>
      <c r="C635" s="50" t="s">
        <v>18</v>
      </c>
      <c r="D635" s="57" t="s">
        <v>19</v>
      </c>
      <c r="E635" s="60">
        <v>80111600</v>
      </c>
      <c r="F635" s="57" t="s">
        <v>615</v>
      </c>
      <c r="G635" s="51">
        <v>45404</v>
      </c>
      <c r="H635" s="59">
        <v>45408</v>
      </c>
      <c r="I635" s="52">
        <v>2</v>
      </c>
      <c r="J635" s="57" t="s">
        <v>21</v>
      </c>
      <c r="K635" s="57" t="s">
        <v>22</v>
      </c>
      <c r="L635" s="57" t="s">
        <v>23</v>
      </c>
      <c r="M635" s="53">
        <v>5542880</v>
      </c>
      <c r="N635" s="60" t="s">
        <v>24</v>
      </c>
      <c r="O635" s="60" t="s">
        <v>80</v>
      </c>
      <c r="P635" s="58" t="s">
        <v>310</v>
      </c>
      <c r="Q635" s="47"/>
      <c r="R635" s="48"/>
    </row>
    <row r="636" spans="1:18" ht="70" x14ac:dyDescent="0.3">
      <c r="A636" s="49">
        <v>20240581</v>
      </c>
      <c r="B636" s="49">
        <v>7655</v>
      </c>
      <c r="C636" s="50" t="s">
        <v>18</v>
      </c>
      <c r="D636" s="57" t="s">
        <v>19</v>
      </c>
      <c r="E636" s="60">
        <v>80111600</v>
      </c>
      <c r="F636" s="57" t="s">
        <v>616</v>
      </c>
      <c r="G636" s="51">
        <v>45404</v>
      </c>
      <c r="H636" s="59">
        <v>45408</v>
      </c>
      <c r="I636" s="52">
        <v>2</v>
      </c>
      <c r="J636" s="57" t="s">
        <v>21</v>
      </c>
      <c r="K636" s="57" t="s">
        <v>22</v>
      </c>
      <c r="L636" s="57" t="s">
        <v>23</v>
      </c>
      <c r="M636" s="53">
        <v>14980000</v>
      </c>
      <c r="N636" s="60" t="s">
        <v>24</v>
      </c>
      <c r="O636" s="60" t="s">
        <v>80</v>
      </c>
      <c r="P636" s="58" t="s">
        <v>310</v>
      </c>
      <c r="Q636" s="47"/>
      <c r="R636" s="48"/>
    </row>
    <row r="637" spans="1:18" ht="84" x14ac:dyDescent="0.3">
      <c r="A637" s="49">
        <v>20240582</v>
      </c>
      <c r="B637" s="49">
        <v>7655</v>
      </c>
      <c r="C637" s="50" t="s">
        <v>18</v>
      </c>
      <c r="D637" s="57" t="s">
        <v>19</v>
      </c>
      <c r="E637" s="60">
        <v>80111600</v>
      </c>
      <c r="F637" s="57" t="s">
        <v>617</v>
      </c>
      <c r="G637" s="51">
        <v>45404</v>
      </c>
      <c r="H637" s="59">
        <v>45408</v>
      </c>
      <c r="I637" s="52">
        <v>2</v>
      </c>
      <c r="J637" s="57" t="s">
        <v>21</v>
      </c>
      <c r="K637" s="57" t="s">
        <v>22</v>
      </c>
      <c r="L637" s="57" t="s">
        <v>23</v>
      </c>
      <c r="M637" s="53">
        <v>10180800</v>
      </c>
      <c r="N637" s="60" t="s">
        <v>24</v>
      </c>
      <c r="O637" s="60" t="s">
        <v>80</v>
      </c>
      <c r="P637" s="58" t="s">
        <v>310</v>
      </c>
      <c r="Q637" s="47"/>
      <c r="R637" s="48"/>
    </row>
    <row r="638" spans="1:18" ht="56" x14ac:dyDescent="0.3">
      <c r="A638" s="49">
        <v>20240583</v>
      </c>
      <c r="B638" s="49">
        <v>7655</v>
      </c>
      <c r="C638" s="50" t="s">
        <v>18</v>
      </c>
      <c r="D638" s="57" t="s">
        <v>19</v>
      </c>
      <c r="E638" s="60">
        <v>80111600</v>
      </c>
      <c r="F638" s="57" t="s">
        <v>618</v>
      </c>
      <c r="G638" s="51">
        <v>45404</v>
      </c>
      <c r="H638" s="59">
        <v>45408</v>
      </c>
      <c r="I638" s="52">
        <v>2</v>
      </c>
      <c r="J638" s="57" t="s">
        <v>21</v>
      </c>
      <c r="K638" s="57" t="s">
        <v>22</v>
      </c>
      <c r="L638" s="57" t="s">
        <v>23</v>
      </c>
      <c r="M638" s="53">
        <v>10180000</v>
      </c>
      <c r="N638" s="60" t="s">
        <v>24</v>
      </c>
      <c r="O638" s="60" t="s">
        <v>80</v>
      </c>
      <c r="P638" s="58" t="s">
        <v>310</v>
      </c>
      <c r="Q638" s="47"/>
      <c r="R638" s="48"/>
    </row>
    <row r="639" spans="1:18" ht="70" x14ac:dyDescent="0.3">
      <c r="A639" s="49">
        <v>20240584</v>
      </c>
      <c r="B639" s="49">
        <v>7655</v>
      </c>
      <c r="C639" s="50" t="s">
        <v>18</v>
      </c>
      <c r="D639" s="57" t="s">
        <v>19</v>
      </c>
      <c r="E639" s="60">
        <v>80111600</v>
      </c>
      <c r="F639" s="57" t="s">
        <v>619</v>
      </c>
      <c r="G639" s="51">
        <v>45404</v>
      </c>
      <c r="H639" s="59">
        <v>45408</v>
      </c>
      <c r="I639" s="52">
        <v>2</v>
      </c>
      <c r="J639" s="57" t="s">
        <v>21</v>
      </c>
      <c r="K639" s="57" t="s">
        <v>22</v>
      </c>
      <c r="L639" s="57" t="s">
        <v>23</v>
      </c>
      <c r="M639" s="53">
        <v>13600000</v>
      </c>
      <c r="N639" s="60" t="s">
        <v>24</v>
      </c>
      <c r="O639" s="60" t="s">
        <v>80</v>
      </c>
      <c r="P639" s="58" t="s">
        <v>310</v>
      </c>
      <c r="Q639" s="47"/>
      <c r="R639" s="48"/>
    </row>
    <row r="640" spans="1:18" ht="56" x14ac:dyDescent="0.3">
      <c r="A640" s="49">
        <v>20240585</v>
      </c>
      <c r="B640" s="49">
        <v>7655</v>
      </c>
      <c r="C640" s="50" t="s">
        <v>18</v>
      </c>
      <c r="D640" s="57" t="s">
        <v>19</v>
      </c>
      <c r="E640" s="60">
        <v>80111600</v>
      </c>
      <c r="F640" s="57" t="s">
        <v>620</v>
      </c>
      <c r="G640" s="51">
        <v>45404</v>
      </c>
      <c r="H640" s="59">
        <v>45408</v>
      </c>
      <c r="I640" s="52">
        <v>2</v>
      </c>
      <c r="J640" s="57" t="s">
        <v>21</v>
      </c>
      <c r="K640" s="57" t="s">
        <v>22</v>
      </c>
      <c r="L640" s="57" t="s">
        <v>23</v>
      </c>
      <c r="M640" s="53">
        <v>5542880</v>
      </c>
      <c r="N640" s="60" t="s">
        <v>24</v>
      </c>
      <c r="O640" s="60" t="s">
        <v>80</v>
      </c>
      <c r="P640" s="58" t="s">
        <v>310</v>
      </c>
      <c r="Q640" s="47"/>
      <c r="R640" s="48"/>
    </row>
    <row r="641" spans="1:18" ht="70" x14ac:dyDescent="0.3">
      <c r="A641" s="49">
        <v>20240586</v>
      </c>
      <c r="B641" s="49">
        <v>7655</v>
      </c>
      <c r="C641" s="50" t="s">
        <v>18</v>
      </c>
      <c r="D641" s="57" t="s">
        <v>19</v>
      </c>
      <c r="E641" s="60">
        <v>80111600</v>
      </c>
      <c r="F641" s="57" t="s">
        <v>621</v>
      </c>
      <c r="G641" s="51">
        <v>45404</v>
      </c>
      <c r="H641" s="59">
        <v>45408</v>
      </c>
      <c r="I641" s="52">
        <v>2</v>
      </c>
      <c r="J641" s="57" t="s">
        <v>21</v>
      </c>
      <c r="K641" s="57" t="s">
        <v>22</v>
      </c>
      <c r="L641" s="57" t="s">
        <v>23</v>
      </c>
      <c r="M641" s="53">
        <v>12443200</v>
      </c>
      <c r="N641" s="60" t="s">
        <v>24</v>
      </c>
      <c r="O641" s="60" t="s">
        <v>80</v>
      </c>
      <c r="P641" s="58" t="s">
        <v>310</v>
      </c>
      <c r="Q641" s="47"/>
      <c r="R641" s="48"/>
    </row>
    <row r="642" spans="1:18" ht="70" x14ac:dyDescent="0.3">
      <c r="A642" s="49">
        <v>20240587</v>
      </c>
      <c r="B642" s="49">
        <v>7637</v>
      </c>
      <c r="C642" s="50" t="s">
        <v>183</v>
      </c>
      <c r="D642" s="57" t="s">
        <v>222</v>
      </c>
      <c r="E642" s="60" t="s">
        <v>434</v>
      </c>
      <c r="F642" s="57" t="s">
        <v>623</v>
      </c>
      <c r="G642" s="51">
        <v>45387</v>
      </c>
      <c r="H642" s="59">
        <v>45399</v>
      </c>
      <c r="I642" s="52">
        <v>5</v>
      </c>
      <c r="J642" s="57" t="s">
        <v>195</v>
      </c>
      <c r="K642" s="57" t="s">
        <v>22</v>
      </c>
      <c r="L642" s="57" t="s">
        <v>191</v>
      </c>
      <c r="M642" s="53">
        <v>105500000</v>
      </c>
      <c r="N642" s="60" t="s">
        <v>187</v>
      </c>
      <c r="O642" s="60" t="s">
        <v>188</v>
      </c>
      <c r="P642" s="58" t="s">
        <v>310</v>
      </c>
      <c r="Q642" s="47"/>
      <c r="R642" s="48"/>
    </row>
    <row r="643" spans="1:18" ht="56" x14ac:dyDescent="0.3">
      <c r="A643" s="49">
        <v>20240588</v>
      </c>
      <c r="B643" s="49">
        <v>131</v>
      </c>
      <c r="C643" s="50" t="s">
        <v>403</v>
      </c>
      <c r="D643" s="57" t="s">
        <v>222</v>
      </c>
      <c r="E643" s="60">
        <v>81112100</v>
      </c>
      <c r="F643" s="57" t="s">
        <v>624</v>
      </c>
      <c r="G643" s="51">
        <v>45397</v>
      </c>
      <c r="H643" s="59">
        <v>45414</v>
      </c>
      <c r="I643" s="52">
        <v>5</v>
      </c>
      <c r="J643" s="57" t="s">
        <v>195</v>
      </c>
      <c r="K643" s="57" t="s">
        <v>22</v>
      </c>
      <c r="L643" s="57" t="s">
        <v>66</v>
      </c>
      <c r="M643" s="53">
        <v>133000000</v>
      </c>
      <c r="N643" s="58" t="s">
        <v>598</v>
      </c>
      <c r="O643" s="58" t="s">
        <v>598</v>
      </c>
      <c r="P643" s="58" t="s">
        <v>310</v>
      </c>
      <c r="Q643" s="47"/>
      <c r="R643" s="48"/>
    </row>
    <row r="644" spans="1:18" ht="84" x14ac:dyDescent="0.3">
      <c r="A644" s="49">
        <v>20240590</v>
      </c>
      <c r="B644" s="49">
        <v>7658</v>
      </c>
      <c r="C644" s="50" t="s">
        <v>82</v>
      </c>
      <c r="D644" s="57" t="s">
        <v>92</v>
      </c>
      <c r="E644" s="60">
        <v>80111600</v>
      </c>
      <c r="F644" s="57" t="s">
        <v>627</v>
      </c>
      <c r="G644" s="51">
        <v>45373</v>
      </c>
      <c r="H644" s="59">
        <v>45381</v>
      </c>
      <c r="I644" s="52">
        <v>1</v>
      </c>
      <c r="J644" s="57" t="s">
        <v>21</v>
      </c>
      <c r="K644" s="57" t="s">
        <v>308</v>
      </c>
      <c r="L644" s="57" t="s">
        <v>23</v>
      </c>
      <c r="M644" s="53">
        <v>5635667</v>
      </c>
      <c r="N644" s="60" t="s">
        <v>94</v>
      </c>
      <c r="O644" s="60" t="s">
        <v>25</v>
      </c>
      <c r="P644" s="58" t="s">
        <v>310</v>
      </c>
      <c r="Q644" s="47"/>
      <c r="R644" s="48"/>
    </row>
    <row r="645" spans="1:18" ht="84" x14ac:dyDescent="0.3">
      <c r="A645" s="49">
        <v>20240591</v>
      </c>
      <c r="B645" s="49">
        <v>7658</v>
      </c>
      <c r="C645" s="50" t="s">
        <v>82</v>
      </c>
      <c r="D645" s="57" t="s">
        <v>116</v>
      </c>
      <c r="E645" s="60">
        <v>80111600</v>
      </c>
      <c r="F645" s="61" t="s">
        <v>629</v>
      </c>
      <c r="G645" s="59">
        <v>45428</v>
      </c>
      <c r="H645" s="62">
        <v>45430</v>
      </c>
      <c r="I645" s="57">
        <v>1.37</v>
      </c>
      <c r="J645" s="51" t="s">
        <v>49</v>
      </c>
      <c r="K645" s="59" t="s">
        <v>22</v>
      </c>
      <c r="L645" s="63" t="s">
        <v>23</v>
      </c>
      <c r="M645" s="53">
        <v>75735381</v>
      </c>
      <c r="N645" s="57" t="s">
        <v>118</v>
      </c>
      <c r="O645" s="57" t="s">
        <v>628</v>
      </c>
      <c r="P645" s="53" t="s">
        <v>310</v>
      </c>
      <c r="Q645" s="47"/>
      <c r="R645" s="48"/>
    </row>
    <row r="646" spans="1:18" ht="84" x14ac:dyDescent="0.3">
      <c r="A646" s="49">
        <v>20240592</v>
      </c>
      <c r="B646" s="49">
        <v>7655</v>
      </c>
      <c r="C646" s="50" t="s">
        <v>18</v>
      </c>
      <c r="D646" s="57" t="s">
        <v>220</v>
      </c>
      <c r="E646" s="60">
        <v>80111600</v>
      </c>
      <c r="F646" s="61" t="s">
        <v>630</v>
      </c>
      <c r="G646" s="59">
        <v>45397</v>
      </c>
      <c r="H646" s="62">
        <v>45412</v>
      </c>
      <c r="I646" s="57">
        <v>2</v>
      </c>
      <c r="J646" s="51" t="s">
        <v>21</v>
      </c>
      <c r="K646" s="59" t="s">
        <v>22</v>
      </c>
      <c r="L646" s="63" t="s">
        <v>23</v>
      </c>
      <c r="M646" s="53">
        <v>12000000</v>
      </c>
      <c r="N646" s="57" t="s">
        <v>24</v>
      </c>
      <c r="O646" s="57" t="s">
        <v>80</v>
      </c>
      <c r="P646" s="53" t="s">
        <v>310</v>
      </c>
      <c r="Q646" s="47"/>
      <c r="R646" s="48"/>
    </row>
    <row r="647" spans="1:18" ht="70" x14ac:dyDescent="0.3">
      <c r="A647" s="49">
        <v>20240593</v>
      </c>
      <c r="B647" s="49">
        <v>7655</v>
      </c>
      <c r="C647" s="50" t="s">
        <v>18</v>
      </c>
      <c r="D647" s="57" t="s">
        <v>220</v>
      </c>
      <c r="E647" s="60">
        <v>80111600</v>
      </c>
      <c r="F647" s="61" t="s">
        <v>631</v>
      </c>
      <c r="G647" s="59">
        <v>45397</v>
      </c>
      <c r="H647" s="62">
        <v>45412</v>
      </c>
      <c r="I647" s="57">
        <v>2</v>
      </c>
      <c r="J647" s="51" t="s">
        <v>21</v>
      </c>
      <c r="K647" s="59" t="s">
        <v>22</v>
      </c>
      <c r="L647" s="63" t="s">
        <v>23</v>
      </c>
      <c r="M647" s="53">
        <v>10000000</v>
      </c>
      <c r="N647" s="57" t="s">
        <v>24</v>
      </c>
      <c r="O647" s="57" t="s">
        <v>80</v>
      </c>
      <c r="P647" s="53" t="s">
        <v>310</v>
      </c>
      <c r="Q647" s="47"/>
      <c r="R647" s="48"/>
    </row>
    <row r="648" spans="1:18" ht="56" x14ac:dyDescent="0.3">
      <c r="A648" s="49">
        <v>20240594</v>
      </c>
      <c r="B648" s="49">
        <v>7655</v>
      </c>
      <c r="C648" s="50" t="s">
        <v>18</v>
      </c>
      <c r="D648" s="57" t="s">
        <v>220</v>
      </c>
      <c r="E648" s="60">
        <v>80111600</v>
      </c>
      <c r="F648" s="61" t="s">
        <v>632</v>
      </c>
      <c r="G648" s="59">
        <v>45397</v>
      </c>
      <c r="H648" s="62">
        <v>45412</v>
      </c>
      <c r="I648" s="57">
        <v>2</v>
      </c>
      <c r="J648" s="51" t="s">
        <v>21</v>
      </c>
      <c r="K648" s="59" t="s">
        <v>22</v>
      </c>
      <c r="L648" s="63" t="s">
        <v>23</v>
      </c>
      <c r="M648" s="53">
        <v>10000000</v>
      </c>
      <c r="N648" s="57" t="s">
        <v>24</v>
      </c>
      <c r="O648" s="57" t="s">
        <v>80</v>
      </c>
      <c r="P648" s="53" t="s">
        <v>310</v>
      </c>
      <c r="Q648" s="47"/>
      <c r="R648" s="48"/>
    </row>
    <row r="649" spans="1:18" ht="70" x14ac:dyDescent="0.3">
      <c r="A649" s="49">
        <v>20240595</v>
      </c>
      <c r="B649" s="49">
        <v>7655</v>
      </c>
      <c r="C649" s="50" t="s">
        <v>18</v>
      </c>
      <c r="D649" s="57" t="s">
        <v>220</v>
      </c>
      <c r="E649" s="60">
        <v>80111600</v>
      </c>
      <c r="F649" s="61" t="s">
        <v>633</v>
      </c>
      <c r="G649" s="59">
        <v>45397</v>
      </c>
      <c r="H649" s="62">
        <v>45412</v>
      </c>
      <c r="I649" s="57">
        <v>2</v>
      </c>
      <c r="J649" s="51" t="s">
        <v>21</v>
      </c>
      <c r="K649" s="59" t="s">
        <v>22</v>
      </c>
      <c r="L649" s="63" t="s">
        <v>23</v>
      </c>
      <c r="M649" s="53">
        <v>10000000</v>
      </c>
      <c r="N649" s="57" t="s">
        <v>24</v>
      </c>
      <c r="O649" s="57" t="s">
        <v>80</v>
      </c>
      <c r="P649" s="53" t="s">
        <v>310</v>
      </c>
      <c r="Q649" s="47"/>
      <c r="R649" s="48"/>
    </row>
    <row r="650" spans="1:18" ht="56" x14ac:dyDescent="0.3">
      <c r="A650" s="49">
        <v>20240596</v>
      </c>
      <c r="B650" s="49">
        <v>7655</v>
      </c>
      <c r="C650" s="50" t="s">
        <v>18</v>
      </c>
      <c r="D650" s="57" t="s">
        <v>220</v>
      </c>
      <c r="E650" s="60">
        <v>80111600</v>
      </c>
      <c r="F650" s="61" t="s">
        <v>634</v>
      </c>
      <c r="G650" s="59">
        <v>45397</v>
      </c>
      <c r="H650" s="62">
        <v>45412</v>
      </c>
      <c r="I650" s="57">
        <v>2</v>
      </c>
      <c r="J650" s="51" t="s">
        <v>21</v>
      </c>
      <c r="K650" s="59" t="s">
        <v>22</v>
      </c>
      <c r="L650" s="63" t="s">
        <v>23</v>
      </c>
      <c r="M650" s="53">
        <v>10000000</v>
      </c>
      <c r="N650" s="57" t="s">
        <v>24</v>
      </c>
      <c r="O650" s="57" t="s">
        <v>80</v>
      </c>
      <c r="P650" s="53" t="s">
        <v>310</v>
      </c>
      <c r="Q650" s="47"/>
      <c r="R650" s="48"/>
    </row>
    <row r="651" spans="1:18" ht="56" x14ac:dyDescent="0.3">
      <c r="A651" s="49">
        <v>20240597</v>
      </c>
      <c r="B651" s="49">
        <v>7655</v>
      </c>
      <c r="C651" s="50" t="s">
        <v>18</v>
      </c>
      <c r="D651" s="57" t="s">
        <v>220</v>
      </c>
      <c r="E651" s="60">
        <v>80111600</v>
      </c>
      <c r="F651" s="61" t="s">
        <v>635</v>
      </c>
      <c r="G651" s="59">
        <v>45397</v>
      </c>
      <c r="H651" s="62">
        <v>45412</v>
      </c>
      <c r="I651" s="57">
        <v>2</v>
      </c>
      <c r="J651" s="51" t="s">
        <v>21</v>
      </c>
      <c r="K651" s="59" t="s">
        <v>22</v>
      </c>
      <c r="L651" s="63" t="s">
        <v>23</v>
      </c>
      <c r="M651" s="53">
        <v>6700000</v>
      </c>
      <c r="N651" s="57" t="s">
        <v>24</v>
      </c>
      <c r="O651" s="57" t="s">
        <v>80</v>
      </c>
      <c r="P651" s="53" t="s">
        <v>310</v>
      </c>
      <c r="Q651" s="47"/>
      <c r="R651" s="48"/>
    </row>
    <row r="652" spans="1:18" ht="70" x14ac:dyDescent="0.3">
      <c r="A652" s="49">
        <v>20240598</v>
      </c>
      <c r="B652" s="49">
        <v>7637</v>
      </c>
      <c r="C652" s="50" t="s">
        <v>183</v>
      </c>
      <c r="D652" s="57" t="s">
        <v>222</v>
      </c>
      <c r="E652" s="60">
        <v>80111600</v>
      </c>
      <c r="F652" s="61" t="s">
        <v>636</v>
      </c>
      <c r="G652" s="59">
        <v>45414</v>
      </c>
      <c r="H652" s="62">
        <v>45443</v>
      </c>
      <c r="I652" s="57">
        <v>2</v>
      </c>
      <c r="J652" s="51" t="s">
        <v>21</v>
      </c>
      <c r="K652" s="59" t="s">
        <v>22</v>
      </c>
      <c r="L652" s="63" t="s">
        <v>23</v>
      </c>
      <c r="M652" s="53">
        <v>15800000</v>
      </c>
      <c r="N652" s="57" t="s">
        <v>192</v>
      </c>
      <c r="O652" s="57" t="s">
        <v>188</v>
      </c>
      <c r="P652" s="53" t="s">
        <v>310</v>
      </c>
      <c r="Q652" s="47"/>
      <c r="R652" s="48"/>
    </row>
    <row r="653" spans="1:18" ht="70" x14ac:dyDescent="0.3">
      <c r="A653" s="49">
        <v>20240599</v>
      </c>
      <c r="B653" s="49">
        <v>7637</v>
      </c>
      <c r="C653" s="50" t="s">
        <v>183</v>
      </c>
      <c r="D653" s="57" t="s">
        <v>222</v>
      </c>
      <c r="E653" s="60">
        <v>80111600</v>
      </c>
      <c r="F653" s="61" t="s">
        <v>637</v>
      </c>
      <c r="G653" s="59">
        <v>45414</v>
      </c>
      <c r="H653" s="62">
        <v>45443</v>
      </c>
      <c r="I653" s="57">
        <v>4</v>
      </c>
      <c r="J653" s="51" t="s">
        <v>21</v>
      </c>
      <c r="K653" s="59" t="s">
        <v>22</v>
      </c>
      <c r="L653" s="63" t="s">
        <v>23</v>
      </c>
      <c r="M653" s="53">
        <v>28000000</v>
      </c>
      <c r="N653" s="57" t="s">
        <v>187</v>
      </c>
      <c r="O653" s="57" t="s">
        <v>188</v>
      </c>
      <c r="P653" s="53" t="s">
        <v>26</v>
      </c>
      <c r="Q653" s="47"/>
      <c r="R653" s="48"/>
    </row>
    <row r="654" spans="1:18" ht="84" x14ac:dyDescent="0.3">
      <c r="A654" s="49">
        <v>20240600</v>
      </c>
      <c r="B654" s="49">
        <v>7637</v>
      </c>
      <c r="C654" s="50" t="s">
        <v>183</v>
      </c>
      <c r="D654" s="57" t="s">
        <v>222</v>
      </c>
      <c r="E654" s="60">
        <v>80111600</v>
      </c>
      <c r="F654" s="61" t="s">
        <v>638</v>
      </c>
      <c r="G654" s="59">
        <v>45414</v>
      </c>
      <c r="H654" s="62">
        <v>45443</v>
      </c>
      <c r="I654" s="57">
        <v>2</v>
      </c>
      <c r="J654" s="51" t="s">
        <v>21</v>
      </c>
      <c r="K654" s="59" t="s">
        <v>22</v>
      </c>
      <c r="L654" s="63" t="s">
        <v>23</v>
      </c>
      <c r="M654" s="53">
        <v>14400000</v>
      </c>
      <c r="N654" s="57" t="s">
        <v>192</v>
      </c>
      <c r="O654" s="57" t="s">
        <v>188</v>
      </c>
      <c r="P654" s="53" t="s">
        <v>310</v>
      </c>
      <c r="Q654" s="47"/>
      <c r="R654" s="48"/>
    </row>
    <row r="655" spans="1:18" ht="70" x14ac:dyDescent="0.3">
      <c r="A655" s="49">
        <v>20240601</v>
      </c>
      <c r="B655" s="49">
        <v>7637</v>
      </c>
      <c r="C655" s="50" t="s">
        <v>183</v>
      </c>
      <c r="D655" s="57" t="s">
        <v>222</v>
      </c>
      <c r="E655" s="60">
        <v>80111600</v>
      </c>
      <c r="F655" s="61" t="s">
        <v>639</v>
      </c>
      <c r="G655" s="59">
        <v>45414</v>
      </c>
      <c r="H655" s="62">
        <v>45443</v>
      </c>
      <c r="I655" s="57">
        <v>2</v>
      </c>
      <c r="J655" s="51" t="s">
        <v>21</v>
      </c>
      <c r="K655" s="59" t="s">
        <v>22</v>
      </c>
      <c r="L655" s="63" t="s">
        <v>23</v>
      </c>
      <c r="M655" s="53">
        <v>14400000</v>
      </c>
      <c r="N655" s="57" t="s">
        <v>187</v>
      </c>
      <c r="O655" s="57" t="s">
        <v>188</v>
      </c>
      <c r="P655" s="53" t="s">
        <v>310</v>
      </c>
      <c r="Q655" s="47"/>
      <c r="R655" s="48"/>
    </row>
    <row r="656" spans="1:18" ht="70" x14ac:dyDescent="0.3">
      <c r="A656" s="49">
        <v>20240602</v>
      </c>
      <c r="B656" s="49">
        <v>7637</v>
      </c>
      <c r="C656" s="50" t="s">
        <v>183</v>
      </c>
      <c r="D656" s="57" t="s">
        <v>222</v>
      </c>
      <c r="E656" s="60">
        <v>80111600</v>
      </c>
      <c r="F656" s="61" t="s">
        <v>640</v>
      </c>
      <c r="G656" s="59">
        <v>45414</v>
      </c>
      <c r="H656" s="62">
        <v>45443</v>
      </c>
      <c r="I656" s="57">
        <v>2</v>
      </c>
      <c r="J656" s="51" t="s">
        <v>21</v>
      </c>
      <c r="K656" s="59" t="s">
        <v>22</v>
      </c>
      <c r="L656" s="63" t="s">
        <v>23</v>
      </c>
      <c r="M656" s="53">
        <v>14400000</v>
      </c>
      <c r="N656" s="57" t="s">
        <v>187</v>
      </c>
      <c r="O656" s="57" t="s">
        <v>188</v>
      </c>
      <c r="P656" s="53" t="s">
        <v>310</v>
      </c>
      <c r="Q656" s="47"/>
      <c r="R656" s="48"/>
    </row>
    <row r="657" spans="1:18" ht="70" x14ac:dyDescent="0.3">
      <c r="A657" s="49">
        <v>20240603</v>
      </c>
      <c r="B657" s="49">
        <v>7637</v>
      </c>
      <c r="C657" s="50" t="s">
        <v>183</v>
      </c>
      <c r="D657" s="57" t="s">
        <v>222</v>
      </c>
      <c r="E657" s="60">
        <v>80111600</v>
      </c>
      <c r="F657" s="61" t="s">
        <v>641</v>
      </c>
      <c r="G657" s="59">
        <v>45414</v>
      </c>
      <c r="H657" s="62">
        <v>45443</v>
      </c>
      <c r="I657" s="57">
        <v>2</v>
      </c>
      <c r="J657" s="51" t="s">
        <v>21</v>
      </c>
      <c r="K657" s="59" t="s">
        <v>22</v>
      </c>
      <c r="L657" s="63" t="s">
        <v>23</v>
      </c>
      <c r="M657" s="53">
        <v>14400000</v>
      </c>
      <c r="N657" s="57" t="s">
        <v>187</v>
      </c>
      <c r="O657" s="57" t="s">
        <v>188</v>
      </c>
      <c r="P657" s="53" t="s">
        <v>310</v>
      </c>
      <c r="Q657" s="47"/>
      <c r="R657" s="48"/>
    </row>
    <row r="658" spans="1:18" ht="84" x14ac:dyDescent="0.3">
      <c r="A658" s="49">
        <v>20240604</v>
      </c>
      <c r="B658" s="49">
        <v>7637</v>
      </c>
      <c r="C658" s="50" t="s">
        <v>183</v>
      </c>
      <c r="D658" s="57" t="s">
        <v>222</v>
      </c>
      <c r="E658" s="60">
        <v>80111600</v>
      </c>
      <c r="F658" s="61" t="s">
        <v>642</v>
      </c>
      <c r="G658" s="59">
        <v>45414</v>
      </c>
      <c r="H658" s="62">
        <v>45443</v>
      </c>
      <c r="I658" s="57">
        <v>2</v>
      </c>
      <c r="J658" s="51" t="s">
        <v>21</v>
      </c>
      <c r="K658" s="59" t="s">
        <v>22</v>
      </c>
      <c r="L658" s="63" t="s">
        <v>23</v>
      </c>
      <c r="M658" s="53">
        <v>14400000</v>
      </c>
      <c r="N658" s="57" t="s">
        <v>192</v>
      </c>
      <c r="O658" s="57" t="s">
        <v>188</v>
      </c>
      <c r="P658" s="53" t="s">
        <v>310</v>
      </c>
      <c r="Q658" s="47"/>
      <c r="R658" s="48"/>
    </row>
    <row r="659" spans="1:18" ht="98" x14ac:dyDescent="0.3">
      <c r="A659" s="49">
        <v>20240605</v>
      </c>
      <c r="B659" s="49">
        <v>7637</v>
      </c>
      <c r="C659" s="50" t="s">
        <v>183</v>
      </c>
      <c r="D659" s="57" t="s">
        <v>222</v>
      </c>
      <c r="E659" s="60">
        <v>80111600</v>
      </c>
      <c r="F659" s="61" t="s">
        <v>643</v>
      </c>
      <c r="G659" s="59">
        <v>45414</v>
      </c>
      <c r="H659" s="62">
        <v>45443</v>
      </c>
      <c r="I659" s="57">
        <v>2</v>
      </c>
      <c r="J659" s="51" t="s">
        <v>21</v>
      </c>
      <c r="K659" s="59" t="s">
        <v>22</v>
      </c>
      <c r="L659" s="63" t="s">
        <v>23</v>
      </c>
      <c r="M659" s="53">
        <v>12000000</v>
      </c>
      <c r="N659" s="57" t="s">
        <v>187</v>
      </c>
      <c r="O659" s="57" t="s">
        <v>188</v>
      </c>
      <c r="P659" s="53" t="s">
        <v>310</v>
      </c>
      <c r="Q659" s="47"/>
      <c r="R659" s="48"/>
    </row>
    <row r="660" spans="1:18" ht="70" x14ac:dyDescent="0.3">
      <c r="A660" s="49">
        <v>20240606</v>
      </c>
      <c r="B660" s="49">
        <v>7637</v>
      </c>
      <c r="C660" s="50" t="s">
        <v>183</v>
      </c>
      <c r="D660" s="57" t="s">
        <v>222</v>
      </c>
      <c r="E660" s="60">
        <v>80111600</v>
      </c>
      <c r="F660" s="61" t="s">
        <v>644</v>
      </c>
      <c r="G660" s="59">
        <v>45414</v>
      </c>
      <c r="H660" s="62">
        <v>45443</v>
      </c>
      <c r="I660" s="57">
        <v>4</v>
      </c>
      <c r="J660" s="51" t="s">
        <v>21</v>
      </c>
      <c r="K660" s="59" t="s">
        <v>22</v>
      </c>
      <c r="L660" s="63" t="s">
        <v>23</v>
      </c>
      <c r="M660" s="53">
        <v>12800000</v>
      </c>
      <c r="N660" s="57" t="s">
        <v>187</v>
      </c>
      <c r="O660" s="57" t="s">
        <v>188</v>
      </c>
      <c r="P660" s="53" t="s">
        <v>26</v>
      </c>
      <c r="Q660" s="47"/>
      <c r="R660" s="48"/>
    </row>
    <row r="661" spans="1:18" ht="70" x14ac:dyDescent="0.3">
      <c r="A661" s="49">
        <v>20240607</v>
      </c>
      <c r="B661" s="49">
        <v>7637</v>
      </c>
      <c r="C661" s="50" t="s">
        <v>183</v>
      </c>
      <c r="D661" s="57" t="s">
        <v>222</v>
      </c>
      <c r="E661" s="60">
        <v>80111600</v>
      </c>
      <c r="F661" s="61" t="s">
        <v>645</v>
      </c>
      <c r="G661" s="59">
        <v>45414</v>
      </c>
      <c r="H661" s="62">
        <v>45443</v>
      </c>
      <c r="I661" s="57">
        <v>4</v>
      </c>
      <c r="J661" s="51" t="s">
        <v>21</v>
      </c>
      <c r="K661" s="59" t="s">
        <v>22</v>
      </c>
      <c r="L661" s="63" t="s">
        <v>23</v>
      </c>
      <c r="M661" s="53">
        <v>14000000</v>
      </c>
      <c r="N661" s="57" t="s">
        <v>187</v>
      </c>
      <c r="O661" s="57" t="s">
        <v>188</v>
      </c>
      <c r="P661" s="53" t="s">
        <v>26</v>
      </c>
      <c r="Q661" s="47"/>
      <c r="R661" s="48"/>
    </row>
    <row r="662" spans="1:18" ht="70" x14ac:dyDescent="0.3">
      <c r="A662" s="49">
        <v>20240608</v>
      </c>
      <c r="B662" s="49">
        <v>7637</v>
      </c>
      <c r="C662" s="50" t="s">
        <v>183</v>
      </c>
      <c r="D662" s="57" t="s">
        <v>222</v>
      </c>
      <c r="E662" s="60">
        <v>80111600</v>
      </c>
      <c r="F662" s="61" t="s">
        <v>646</v>
      </c>
      <c r="G662" s="59">
        <v>45414</v>
      </c>
      <c r="H662" s="62">
        <v>45443</v>
      </c>
      <c r="I662" s="57">
        <v>4</v>
      </c>
      <c r="J662" s="51" t="s">
        <v>21</v>
      </c>
      <c r="K662" s="59" t="s">
        <v>22</v>
      </c>
      <c r="L662" s="63" t="s">
        <v>23</v>
      </c>
      <c r="M662" s="53">
        <v>14400000</v>
      </c>
      <c r="N662" s="57" t="s">
        <v>187</v>
      </c>
      <c r="O662" s="57" t="s">
        <v>188</v>
      </c>
      <c r="P662" s="53" t="s">
        <v>26</v>
      </c>
      <c r="Q662" s="47"/>
      <c r="R662" s="48"/>
    </row>
    <row r="663" spans="1:18" ht="70" x14ac:dyDescent="0.3">
      <c r="A663" s="49">
        <v>20240609</v>
      </c>
      <c r="B663" s="49">
        <v>7637</v>
      </c>
      <c r="C663" s="50" t="s">
        <v>183</v>
      </c>
      <c r="D663" s="57" t="s">
        <v>222</v>
      </c>
      <c r="E663" s="60">
        <v>80111600</v>
      </c>
      <c r="F663" s="61" t="s">
        <v>647</v>
      </c>
      <c r="G663" s="59">
        <v>45414</v>
      </c>
      <c r="H663" s="62">
        <v>45443</v>
      </c>
      <c r="I663" s="57">
        <v>4</v>
      </c>
      <c r="J663" s="51" t="s">
        <v>21</v>
      </c>
      <c r="K663" s="59" t="s">
        <v>22</v>
      </c>
      <c r="L663" s="63" t="s">
        <v>23</v>
      </c>
      <c r="M663" s="53">
        <v>20000000</v>
      </c>
      <c r="N663" s="57" t="s">
        <v>187</v>
      </c>
      <c r="O663" s="57" t="s">
        <v>188</v>
      </c>
      <c r="P663" s="53" t="s">
        <v>26</v>
      </c>
      <c r="Q663" s="47"/>
      <c r="R663" s="48"/>
    </row>
    <row r="664" spans="1:18" ht="84" x14ac:dyDescent="0.3">
      <c r="A664" s="49">
        <v>20240610</v>
      </c>
      <c r="B664" s="49">
        <v>7658</v>
      </c>
      <c r="C664" s="50" t="s">
        <v>82</v>
      </c>
      <c r="D664" s="57" t="s">
        <v>248</v>
      </c>
      <c r="E664" s="60">
        <v>80111600</v>
      </c>
      <c r="F664" s="61" t="s">
        <v>269</v>
      </c>
      <c r="G664" s="59">
        <v>45397</v>
      </c>
      <c r="H664" s="62">
        <v>45407</v>
      </c>
      <c r="I664" s="57">
        <v>4</v>
      </c>
      <c r="J664" s="51" t="s">
        <v>21</v>
      </c>
      <c r="K664" s="59" t="s">
        <v>22</v>
      </c>
      <c r="L664" s="63" t="s">
        <v>23</v>
      </c>
      <c r="M664" s="53">
        <v>10800000</v>
      </c>
      <c r="N664" s="57" t="s">
        <v>249</v>
      </c>
      <c r="O664" s="57" t="s">
        <v>25</v>
      </c>
      <c r="P664" s="53" t="s">
        <v>26</v>
      </c>
      <c r="Q664" s="47"/>
      <c r="R664" s="48"/>
    </row>
    <row r="665" spans="1:18" ht="84" x14ac:dyDescent="0.3">
      <c r="A665" s="49">
        <v>20240611</v>
      </c>
      <c r="B665" s="49">
        <v>7658</v>
      </c>
      <c r="C665" s="50" t="s">
        <v>82</v>
      </c>
      <c r="D665" s="57" t="s">
        <v>248</v>
      </c>
      <c r="E665" s="60">
        <v>80111600</v>
      </c>
      <c r="F665" s="61" t="s">
        <v>648</v>
      </c>
      <c r="G665" s="59">
        <v>45397</v>
      </c>
      <c r="H665" s="62">
        <v>45407</v>
      </c>
      <c r="I665" s="57">
        <v>4</v>
      </c>
      <c r="J665" s="51" t="s">
        <v>21</v>
      </c>
      <c r="K665" s="59" t="s">
        <v>22</v>
      </c>
      <c r="L665" s="63" t="s">
        <v>23</v>
      </c>
      <c r="M665" s="53">
        <v>4050000</v>
      </c>
      <c r="N665" s="57" t="s">
        <v>249</v>
      </c>
      <c r="O665" s="57" t="s">
        <v>25</v>
      </c>
      <c r="P665" s="53" t="s">
        <v>310</v>
      </c>
      <c r="Q665" s="47"/>
      <c r="R665" s="48"/>
    </row>
    <row r="666" spans="1:18" ht="84" x14ac:dyDescent="0.3">
      <c r="A666" s="49">
        <v>20240612</v>
      </c>
      <c r="B666" s="49">
        <v>7658</v>
      </c>
      <c r="C666" s="50" t="s">
        <v>82</v>
      </c>
      <c r="D666" s="57" t="s">
        <v>248</v>
      </c>
      <c r="E666" s="60">
        <v>80111600</v>
      </c>
      <c r="F666" s="61" t="s">
        <v>649</v>
      </c>
      <c r="G666" s="59">
        <v>45397</v>
      </c>
      <c r="H666" s="62">
        <v>45407</v>
      </c>
      <c r="I666" s="57">
        <v>4</v>
      </c>
      <c r="J666" s="51" t="s">
        <v>21</v>
      </c>
      <c r="K666" s="59" t="s">
        <v>22</v>
      </c>
      <c r="L666" s="63" t="s">
        <v>23</v>
      </c>
      <c r="M666" s="53">
        <v>4050000</v>
      </c>
      <c r="N666" s="57" t="s">
        <v>249</v>
      </c>
      <c r="O666" s="57" t="s">
        <v>25</v>
      </c>
      <c r="P666" s="53" t="s">
        <v>310</v>
      </c>
      <c r="Q666" s="47"/>
      <c r="R666" s="48"/>
    </row>
    <row r="667" spans="1:18" ht="84" x14ac:dyDescent="0.3">
      <c r="A667" s="49">
        <v>20240613</v>
      </c>
      <c r="B667" s="49">
        <v>7658</v>
      </c>
      <c r="C667" s="50" t="s">
        <v>82</v>
      </c>
      <c r="D667" s="57" t="s">
        <v>248</v>
      </c>
      <c r="E667" s="60">
        <v>80111600</v>
      </c>
      <c r="F667" s="61" t="s">
        <v>650</v>
      </c>
      <c r="G667" s="59">
        <v>45397</v>
      </c>
      <c r="H667" s="62">
        <v>45407</v>
      </c>
      <c r="I667" s="57">
        <v>4</v>
      </c>
      <c r="J667" s="51" t="s">
        <v>21</v>
      </c>
      <c r="K667" s="59" t="s">
        <v>22</v>
      </c>
      <c r="L667" s="63" t="s">
        <v>23</v>
      </c>
      <c r="M667" s="53">
        <v>4050000</v>
      </c>
      <c r="N667" s="57" t="s">
        <v>249</v>
      </c>
      <c r="O667" s="57" t="s">
        <v>25</v>
      </c>
      <c r="P667" s="53" t="s">
        <v>310</v>
      </c>
      <c r="Q667" s="47"/>
      <c r="R667" s="48"/>
    </row>
    <row r="668" spans="1:18" ht="84" x14ac:dyDescent="0.3">
      <c r="A668" s="49">
        <v>20240614</v>
      </c>
      <c r="B668" s="49">
        <v>7658</v>
      </c>
      <c r="C668" s="50" t="s">
        <v>82</v>
      </c>
      <c r="D668" s="57" t="s">
        <v>248</v>
      </c>
      <c r="E668" s="60">
        <v>80111600</v>
      </c>
      <c r="F668" s="61" t="s">
        <v>651</v>
      </c>
      <c r="G668" s="59">
        <v>45397</v>
      </c>
      <c r="H668" s="62">
        <v>45407</v>
      </c>
      <c r="I668" s="57">
        <v>4</v>
      </c>
      <c r="J668" s="51" t="s">
        <v>21</v>
      </c>
      <c r="K668" s="59" t="s">
        <v>22</v>
      </c>
      <c r="L668" s="63" t="s">
        <v>23</v>
      </c>
      <c r="M668" s="53">
        <v>4050000</v>
      </c>
      <c r="N668" s="57" t="s">
        <v>249</v>
      </c>
      <c r="O668" s="57" t="s">
        <v>25</v>
      </c>
      <c r="P668" s="53" t="s">
        <v>310</v>
      </c>
      <c r="Q668" s="47"/>
      <c r="R668" s="48"/>
    </row>
    <row r="669" spans="1:18" ht="84" x14ac:dyDescent="0.3">
      <c r="A669" s="49">
        <v>20240615</v>
      </c>
      <c r="B669" s="49">
        <v>7658</v>
      </c>
      <c r="C669" s="50" t="s">
        <v>82</v>
      </c>
      <c r="D669" s="57" t="s">
        <v>248</v>
      </c>
      <c r="E669" s="60">
        <v>80111600</v>
      </c>
      <c r="F669" s="61" t="s">
        <v>652</v>
      </c>
      <c r="G669" s="59">
        <v>45397</v>
      </c>
      <c r="H669" s="62">
        <v>45407</v>
      </c>
      <c r="I669" s="57">
        <v>4</v>
      </c>
      <c r="J669" s="51" t="s">
        <v>21</v>
      </c>
      <c r="K669" s="59" t="s">
        <v>22</v>
      </c>
      <c r="L669" s="63" t="s">
        <v>23</v>
      </c>
      <c r="M669" s="53">
        <v>4050000</v>
      </c>
      <c r="N669" s="57" t="s">
        <v>249</v>
      </c>
      <c r="O669" s="57" t="s">
        <v>25</v>
      </c>
      <c r="P669" s="53" t="s">
        <v>310</v>
      </c>
      <c r="Q669" s="47"/>
      <c r="R669" s="48"/>
    </row>
    <row r="670" spans="1:18" ht="84" x14ac:dyDescent="0.3">
      <c r="A670" s="49">
        <v>20240616</v>
      </c>
      <c r="B670" s="49">
        <v>7658</v>
      </c>
      <c r="C670" s="50" t="s">
        <v>82</v>
      </c>
      <c r="D670" s="57" t="s">
        <v>248</v>
      </c>
      <c r="E670" s="60">
        <v>80111600</v>
      </c>
      <c r="F670" s="61" t="s">
        <v>653</v>
      </c>
      <c r="G670" s="59">
        <v>45397</v>
      </c>
      <c r="H670" s="62">
        <v>45407</v>
      </c>
      <c r="I670" s="57">
        <v>4</v>
      </c>
      <c r="J670" s="51" t="s">
        <v>21</v>
      </c>
      <c r="K670" s="59" t="s">
        <v>22</v>
      </c>
      <c r="L670" s="63" t="s">
        <v>23</v>
      </c>
      <c r="M670" s="53">
        <v>4050000</v>
      </c>
      <c r="N670" s="57" t="s">
        <v>249</v>
      </c>
      <c r="O670" s="57" t="s">
        <v>25</v>
      </c>
      <c r="P670" s="53" t="s">
        <v>310</v>
      </c>
      <c r="Q670" s="47"/>
      <c r="R670" s="48"/>
    </row>
    <row r="671" spans="1:18" ht="84" x14ac:dyDescent="0.3">
      <c r="A671" s="49">
        <v>20240617</v>
      </c>
      <c r="B671" s="49">
        <v>7658</v>
      </c>
      <c r="C671" s="50" t="s">
        <v>82</v>
      </c>
      <c r="D671" s="57" t="s">
        <v>248</v>
      </c>
      <c r="E671" s="60">
        <v>80111600</v>
      </c>
      <c r="F671" s="61" t="s">
        <v>654</v>
      </c>
      <c r="G671" s="59">
        <v>45397</v>
      </c>
      <c r="H671" s="62">
        <v>45407</v>
      </c>
      <c r="I671" s="57">
        <v>4</v>
      </c>
      <c r="J671" s="51" t="s">
        <v>21</v>
      </c>
      <c r="K671" s="59" t="s">
        <v>22</v>
      </c>
      <c r="L671" s="63" t="s">
        <v>23</v>
      </c>
      <c r="M671" s="53">
        <v>4050000</v>
      </c>
      <c r="N671" s="57" t="s">
        <v>249</v>
      </c>
      <c r="O671" s="57" t="s">
        <v>25</v>
      </c>
      <c r="P671" s="53" t="s">
        <v>310</v>
      </c>
      <c r="Q671" s="47"/>
      <c r="R671" s="48"/>
    </row>
    <row r="672" spans="1:18" ht="84" x14ac:dyDescent="0.3">
      <c r="A672" s="49">
        <v>20240618</v>
      </c>
      <c r="B672" s="49">
        <v>7658</v>
      </c>
      <c r="C672" s="50" t="s">
        <v>82</v>
      </c>
      <c r="D672" s="57" t="s">
        <v>248</v>
      </c>
      <c r="E672" s="60">
        <v>80111600</v>
      </c>
      <c r="F672" s="61" t="s">
        <v>655</v>
      </c>
      <c r="G672" s="59">
        <v>45397</v>
      </c>
      <c r="H672" s="62">
        <v>45407</v>
      </c>
      <c r="I672" s="57">
        <v>4</v>
      </c>
      <c r="J672" s="51" t="s">
        <v>21</v>
      </c>
      <c r="K672" s="59" t="s">
        <v>22</v>
      </c>
      <c r="L672" s="63" t="s">
        <v>23</v>
      </c>
      <c r="M672" s="53">
        <v>10266667</v>
      </c>
      <c r="N672" s="57" t="s">
        <v>249</v>
      </c>
      <c r="O672" s="57" t="s">
        <v>25</v>
      </c>
      <c r="P672" s="53" t="s">
        <v>310</v>
      </c>
      <c r="Q672" s="47"/>
      <c r="R672" s="48"/>
    </row>
    <row r="673" spans="1:18" ht="84" x14ac:dyDescent="0.3">
      <c r="A673" s="49">
        <v>20240619</v>
      </c>
      <c r="B673" s="49">
        <v>7658</v>
      </c>
      <c r="C673" s="50" t="s">
        <v>82</v>
      </c>
      <c r="D673" s="57" t="s">
        <v>248</v>
      </c>
      <c r="E673" s="60">
        <v>80111600</v>
      </c>
      <c r="F673" s="61" t="s">
        <v>656</v>
      </c>
      <c r="G673" s="59">
        <v>45397</v>
      </c>
      <c r="H673" s="62">
        <v>45407</v>
      </c>
      <c r="I673" s="57">
        <v>4</v>
      </c>
      <c r="J673" s="51" t="s">
        <v>21</v>
      </c>
      <c r="K673" s="59" t="s">
        <v>22</v>
      </c>
      <c r="L673" s="63" t="s">
        <v>23</v>
      </c>
      <c r="M673" s="53">
        <v>4216667</v>
      </c>
      <c r="N673" s="57" t="s">
        <v>249</v>
      </c>
      <c r="O673" s="57" t="s">
        <v>25</v>
      </c>
      <c r="P673" s="53" t="s">
        <v>310</v>
      </c>
      <c r="Q673" s="47"/>
      <c r="R673" s="48"/>
    </row>
    <row r="674" spans="1:18" ht="84" x14ac:dyDescent="0.3">
      <c r="A674" s="49">
        <v>20240620</v>
      </c>
      <c r="B674" s="49">
        <v>7658</v>
      </c>
      <c r="C674" s="50" t="s">
        <v>82</v>
      </c>
      <c r="D674" s="57" t="s">
        <v>248</v>
      </c>
      <c r="E674" s="60">
        <v>80111600</v>
      </c>
      <c r="F674" s="61" t="s">
        <v>657</v>
      </c>
      <c r="G674" s="59">
        <v>45397</v>
      </c>
      <c r="H674" s="62">
        <v>45407</v>
      </c>
      <c r="I674" s="57">
        <v>4</v>
      </c>
      <c r="J674" s="51" t="s">
        <v>21</v>
      </c>
      <c r="K674" s="59" t="s">
        <v>22</v>
      </c>
      <c r="L674" s="63" t="s">
        <v>23</v>
      </c>
      <c r="M674" s="53">
        <v>4140000</v>
      </c>
      <c r="N674" s="57" t="s">
        <v>249</v>
      </c>
      <c r="O674" s="57" t="s">
        <v>25</v>
      </c>
      <c r="P674" s="53" t="s">
        <v>310</v>
      </c>
      <c r="Q674" s="47"/>
      <c r="R674" s="48"/>
    </row>
    <row r="675" spans="1:18" ht="84" x14ac:dyDescent="0.3">
      <c r="A675" s="49">
        <v>20240621</v>
      </c>
      <c r="B675" s="49">
        <v>7658</v>
      </c>
      <c r="C675" s="50" t="s">
        <v>82</v>
      </c>
      <c r="D675" s="57" t="s">
        <v>248</v>
      </c>
      <c r="E675" s="60">
        <v>80111600</v>
      </c>
      <c r="F675" s="61" t="s">
        <v>658</v>
      </c>
      <c r="G675" s="59">
        <v>45397</v>
      </c>
      <c r="H675" s="62">
        <v>45407</v>
      </c>
      <c r="I675" s="57">
        <v>4</v>
      </c>
      <c r="J675" s="51" t="s">
        <v>21</v>
      </c>
      <c r="K675" s="59" t="s">
        <v>22</v>
      </c>
      <c r="L675" s="63" t="s">
        <v>23</v>
      </c>
      <c r="M675" s="53">
        <v>4140000</v>
      </c>
      <c r="N675" s="57" t="s">
        <v>249</v>
      </c>
      <c r="O675" s="57" t="s">
        <v>25</v>
      </c>
      <c r="P675" s="53" t="s">
        <v>310</v>
      </c>
      <c r="Q675" s="47"/>
      <c r="R675" s="48"/>
    </row>
    <row r="676" spans="1:18" ht="84" x14ac:dyDescent="0.3">
      <c r="A676" s="49">
        <v>20240622</v>
      </c>
      <c r="B676" s="49">
        <v>7658</v>
      </c>
      <c r="C676" s="50" t="s">
        <v>82</v>
      </c>
      <c r="D676" s="57" t="s">
        <v>248</v>
      </c>
      <c r="E676" s="60">
        <v>80111600</v>
      </c>
      <c r="F676" s="61" t="s">
        <v>659</v>
      </c>
      <c r="G676" s="59">
        <v>45397</v>
      </c>
      <c r="H676" s="62">
        <v>45407</v>
      </c>
      <c r="I676" s="57">
        <v>4</v>
      </c>
      <c r="J676" s="51" t="s">
        <v>21</v>
      </c>
      <c r="K676" s="59" t="s">
        <v>22</v>
      </c>
      <c r="L676" s="63" t="s">
        <v>23</v>
      </c>
      <c r="M676" s="53">
        <v>4063333</v>
      </c>
      <c r="N676" s="57" t="s">
        <v>249</v>
      </c>
      <c r="O676" s="57" t="s">
        <v>25</v>
      </c>
      <c r="P676" s="53" t="s">
        <v>310</v>
      </c>
      <c r="Q676" s="47"/>
      <c r="R676" s="48"/>
    </row>
    <row r="677" spans="1:18" ht="84" x14ac:dyDescent="0.3">
      <c r="A677" s="49">
        <v>20240623</v>
      </c>
      <c r="B677" s="49">
        <v>7658</v>
      </c>
      <c r="C677" s="50" t="s">
        <v>82</v>
      </c>
      <c r="D677" s="57" t="s">
        <v>248</v>
      </c>
      <c r="E677" s="60">
        <v>80111600</v>
      </c>
      <c r="F677" s="61" t="s">
        <v>660</v>
      </c>
      <c r="G677" s="59">
        <v>45397</v>
      </c>
      <c r="H677" s="62">
        <v>45407</v>
      </c>
      <c r="I677" s="57">
        <v>4</v>
      </c>
      <c r="J677" s="51" t="s">
        <v>21</v>
      </c>
      <c r="K677" s="59" t="s">
        <v>22</v>
      </c>
      <c r="L677" s="63" t="s">
        <v>23</v>
      </c>
      <c r="M677" s="53">
        <v>3986667</v>
      </c>
      <c r="N677" s="57" t="s">
        <v>249</v>
      </c>
      <c r="O677" s="57" t="s">
        <v>25</v>
      </c>
      <c r="P677" s="53" t="s">
        <v>310</v>
      </c>
      <c r="Q677" s="47"/>
      <c r="R677" s="48"/>
    </row>
    <row r="678" spans="1:18" ht="112" x14ac:dyDescent="0.3">
      <c r="A678" s="49">
        <v>20240624</v>
      </c>
      <c r="B678" s="49">
        <v>7658</v>
      </c>
      <c r="C678" s="50" t="s">
        <v>82</v>
      </c>
      <c r="D678" s="57" t="s">
        <v>248</v>
      </c>
      <c r="E678" s="60">
        <v>80111600</v>
      </c>
      <c r="F678" s="61" t="s">
        <v>661</v>
      </c>
      <c r="G678" s="59">
        <v>45397</v>
      </c>
      <c r="H678" s="62">
        <v>45407</v>
      </c>
      <c r="I678" s="57">
        <v>4</v>
      </c>
      <c r="J678" s="51" t="s">
        <v>21</v>
      </c>
      <c r="K678" s="59" t="s">
        <v>22</v>
      </c>
      <c r="L678" s="63" t="s">
        <v>23</v>
      </c>
      <c r="M678" s="53">
        <v>7105000</v>
      </c>
      <c r="N678" s="57" t="s">
        <v>249</v>
      </c>
      <c r="O678" s="57" t="s">
        <v>25</v>
      </c>
      <c r="P678" s="53" t="s">
        <v>310</v>
      </c>
      <c r="Q678" s="47"/>
      <c r="R678" s="48"/>
    </row>
    <row r="679" spans="1:18" ht="84" x14ac:dyDescent="0.3">
      <c r="A679" s="49">
        <v>20240625</v>
      </c>
      <c r="B679" s="49">
        <v>7658</v>
      </c>
      <c r="C679" s="50" t="s">
        <v>82</v>
      </c>
      <c r="D679" s="57" t="s">
        <v>248</v>
      </c>
      <c r="E679" s="60">
        <v>80111600</v>
      </c>
      <c r="F679" s="61" t="s">
        <v>662</v>
      </c>
      <c r="G679" s="59">
        <v>45397</v>
      </c>
      <c r="H679" s="62">
        <v>45407</v>
      </c>
      <c r="I679" s="57">
        <v>4</v>
      </c>
      <c r="J679" s="51" t="s">
        <v>21</v>
      </c>
      <c r="K679" s="59" t="s">
        <v>22</v>
      </c>
      <c r="L679" s="63" t="s">
        <v>23</v>
      </c>
      <c r="M679" s="53">
        <v>3756667</v>
      </c>
      <c r="N679" s="57" t="s">
        <v>249</v>
      </c>
      <c r="O679" s="57" t="s">
        <v>25</v>
      </c>
      <c r="P679" s="53" t="s">
        <v>310</v>
      </c>
      <c r="Q679" s="47"/>
      <c r="R679" s="48"/>
    </row>
    <row r="680" spans="1:18" ht="84" x14ac:dyDescent="0.3">
      <c r="A680" s="49">
        <v>20240626</v>
      </c>
      <c r="B680" s="49">
        <v>7658</v>
      </c>
      <c r="C680" s="50" t="s">
        <v>82</v>
      </c>
      <c r="D680" s="57" t="s">
        <v>248</v>
      </c>
      <c r="E680" s="60">
        <v>80111600</v>
      </c>
      <c r="F680" s="61" t="s">
        <v>663</v>
      </c>
      <c r="G680" s="59">
        <v>45397</v>
      </c>
      <c r="H680" s="62">
        <v>45407</v>
      </c>
      <c r="I680" s="57">
        <v>4</v>
      </c>
      <c r="J680" s="51" t="s">
        <v>21</v>
      </c>
      <c r="K680" s="59" t="s">
        <v>22</v>
      </c>
      <c r="L680" s="63" t="s">
        <v>23</v>
      </c>
      <c r="M680" s="53">
        <v>6400000</v>
      </c>
      <c r="N680" s="57" t="s">
        <v>249</v>
      </c>
      <c r="O680" s="57" t="s">
        <v>25</v>
      </c>
      <c r="P680" s="53" t="s">
        <v>310</v>
      </c>
      <c r="Q680" s="47"/>
      <c r="R680" s="48"/>
    </row>
    <row r="681" spans="1:18" ht="84" x14ac:dyDescent="0.3">
      <c r="A681" s="49">
        <v>20240627</v>
      </c>
      <c r="B681" s="49">
        <v>7658</v>
      </c>
      <c r="C681" s="50" t="s">
        <v>82</v>
      </c>
      <c r="D681" s="57" t="s">
        <v>248</v>
      </c>
      <c r="E681" s="60">
        <v>80111600</v>
      </c>
      <c r="F681" s="61" t="s">
        <v>664</v>
      </c>
      <c r="G681" s="59">
        <v>45397</v>
      </c>
      <c r="H681" s="62">
        <v>45407</v>
      </c>
      <c r="I681" s="57">
        <v>4</v>
      </c>
      <c r="J681" s="51" t="s">
        <v>21</v>
      </c>
      <c r="K681" s="59" t="s">
        <v>22</v>
      </c>
      <c r="L681" s="63" t="s">
        <v>23</v>
      </c>
      <c r="M681" s="53">
        <v>3680000</v>
      </c>
      <c r="N681" s="57" t="s">
        <v>249</v>
      </c>
      <c r="O681" s="57" t="s">
        <v>25</v>
      </c>
      <c r="P681" s="53" t="s">
        <v>310</v>
      </c>
      <c r="Q681" s="47"/>
      <c r="R681" s="48"/>
    </row>
    <row r="682" spans="1:18" ht="84" x14ac:dyDescent="0.3">
      <c r="A682" s="49">
        <v>20240628</v>
      </c>
      <c r="B682" s="49">
        <v>7658</v>
      </c>
      <c r="C682" s="50" t="s">
        <v>82</v>
      </c>
      <c r="D682" s="57" t="s">
        <v>248</v>
      </c>
      <c r="E682" s="60">
        <v>80111600</v>
      </c>
      <c r="F682" s="61" t="s">
        <v>665</v>
      </c>
      <c r="G682" s="59">
        <v>45397</v>
      </c>
      <c r="H682" s="62">
        <v>45407</v>
      </c>
      <c r="I682" s="57">
        <v>4</v>
      </c>
      <c r="J682" s="51" t="s">
        <v>21</v>
      </c>
      <c r="K682" s="59" t="s">
        <v>22</v>
      </c>
      <c r="L682" s="63" t="s">
        <v>23</v>
      </c>
      <c r="M682" s="53">
        <v>3680000</v>
      </c>
      <c r="N682" s="57" t="s">
        <v>249</v>
      </c>
      <c r="O682" s="57" t="s">
        <v>25</v>
      </c>
      <c r="P682" s="53" t="s">
        <v>310</v>
      </c>
      <c r="Q682" s="47"/>
      <c r="R682" s="48"/>
    </row>
    <row r="683" spans="1:18" ht="84" x14ac:dyDescent="0.3">
      <c r="A683" s="49">
        <v>20240629</v>
      </c>
      <c r="B683" s="49">
        <v>7658</v>
      </c>
      <c r="C683" s="50" t="s">
        <v>82</v>
      </c>
      <c r="D683" s="57" t="s">
        <v>248</v>
      </c>
      <c r="E683" s="60">
        <v>80111600</v>
      </c>
      <c r="F683" s="61" t="s">
        <v>666</v>
      </c>
      <c r="G683" s="59">
        <v>45397</v>
      </c>
      <c r="H683" s="62">
        <v>45407</v>
      </c>
      <c r="I683" s="57">
        <v>4</v>
      </c>
      <c r="J683" s="51" t="s">
        <v>21</v>
      </c>
      <c r="K683" s="59" t="s">
        <v>22</v>
      </c>
      <c r="L683" s="63" t="s">
        <v>23</v>
      </c>
      <c r="M683" s="53">
        <v>4700000</v>
      </c>
      <c r="N683" s="57" t="s">
        <v>249</v>
      </c>
      <c r="O683" s="57" t="s">
        <v>25</v>
      </c>
      <c r="P683" s="53" t="s">
        <v>310</v>
      </c>
      <c r="Q683" s="47"/>
      <c r="R683" s="48"/>
    </row>
    <row r="684" spans="1:18" ht="112" x14ac:dyDescent="0.3">
      <c r="A684" s="49">
        <v>20240630</v>
      </c>
      <c r="B684" s="49">
        <v>7658</v>
      </c>
      <c r="C684" s="50" t="s">
        <v>82</v>
      </c>
      <c r="D684" s="57" t="s">
        <v>248</v>
      </c>
      <c r="E684" s="60">
        <v>80111600</v>
      </c>
      <c r="F684" s="61" t="s">
        <v>667</v>
      </c>
      <c r="G684" s="59">
        <v>45397</v>
      </c>
      <c r="H684" s="62">
        <v>45407</v>
      </c>
      <c r="I684" s="57">
        <v>4</v>
      </c>
      <c r="J684" s="51" t="s">
        <v>21</v>
      </c>
      <c r="K684" s="59" t="s">
        <v>22</v>
      </c>
      <c r="L684" s="63" t="s">
        <v>23</v>
      </c>
      <c r="M684" s="53">
        <v>9966667</v>
      </c>
      <c r="N684" s="57" t="s">
        <v>249</v>
      </c>
      <c r="O684" s="57" t="s">
        <v>25</v>
      </c>
      <c r="P684" s="53" t="s">
        <v>310</v>
      </c>
      <c r="Q684" s="47"/>
      <c r="R684" s="48"/>
    </row>
    <row r="685" spans="1:18" ht="84" x14ac:dyDescent="0.3">
      <c r="A685" s="49">
        <v>20240631</v>
      </c>
      <c r="B685" s="49">
        <v>7658</v>
      </c>
      <c r="C685" s="50" t="s">
        <v>82</v>
      </c>
      <c r="D685" s="57" t="s">
        <v>248</v>
      </c>
      <c r="E685" s="60">
        <v>80111600</v>
      </c>
      <c r="F685" s="61" t="s">
        <v>668</v>
      </c>
      <c r="G685" s="59">
        <v>45397</v>
      </c>
      <c r="H685" s="62">
        <v>45407</v>
      </c>
      <c r="I685" s="57">
        <v>4</v>
      </c>
      <c r="J685" s="51" t="s">
        <v>21</v>
      </c>
      <c r="K685" s="59" t="s">
        <v>22</v>
      </c>
      <c r="L685" s="63" t="s">
        <v>23</v>
      </c>
      <c r="M685" s="53">
        <v>3880016</v>
      </c>
      <c r="N685" s="57" t="s">
        <v>249</v>
      </c>
      <c r="O685" s="57" t="s">
        <v>25</v>
      </c>
      <c r="P685" s="53" t="s">
        <v>310</v>
      </c>
      <c r="Q685" s="47"/>
      <c r="R685" s="48"/>
    </row>
    <row r="686" spans="1:18" ht="84" x14ac:dyDescent="0.3">
      <c r="A686" s="49">
        <v>20240632</v>
      </c>
      <c r="B686" s="49">
        <v>7658</v>
      </c>
      <c r="C686" s="50" t="s">
        <v>82</v>
      </c>
      <c r="D686" s="57" t="s">
        <v>248</v>
      </c>
      <c r="E686" s="60">
        <v>80111600</v>
      </c>
      <c r="F686" s="61" t="s">
        <v>669</v>
      </c>
      <c r="G686" s="59">
        <v>45397</v>
      </c>
      <c r="H686" s="62">
        <v>45407</v>
      </c>
      <c r="I686" s="57">
        <v>4</v>
      </c>
      <c r="J686" s="51" t="s">
        <v>21</v>
      </c>
      <c r="K686" s="59" t="s">
        <v>22</v>
      </c>
      <c r="L686" s="63" t="s">
        <v>23</v>
      </c>
      <c r="M686" s="53">
        <v>3220000</v>
      </c>
      <c r="N686" s="57" t="s">
        <v>249</v>
      </c>
      <c r="O686" s="57" t="s">
        <v>25</v>
      </c>
      <c r="P686" s="53" t="s">
        <v>310</v>
      </c>
      <c r="Q686" s="47"/>
      <c r="R686" s="48"/>
    </row>
    <row r="687" spans="1:18" ht="98" x14ac:dyDescent="0.3">
      <c r="A687" s="49">
        <v>20240633</v>
      </c>
      <c r="B687" s="49">
        <v>7658</v>
      </c>
      <c r="C687" s="50" t="s">
        <v>82</v>
      </c>
      <c r="D687" s="57" t="s">
        <v>248</v>
      </c>
      <c r="E687" s="60">
        <v>80111600</v>
      </c>
      <c r="F687" s="61" t="s">
        <v>670</v>
      </c>
      <c r="G687" s="59">
        <v>45397</v>
      </c>
      <c r="H687" s="62">
        <v>45407</v>
      </c>
      <c r="I687" s="57">
        <v>4</v>
      </c>
      <c r="J687" s="51" t="s">
        <v>21</v>
      </c>
      <c r="K687" s="59" t="s">
        <v>22</v>
      </c>
      <c r="L687" s="63" t="s">
        <v>23</v>
      </c>
      <c r="M687" s="53">
        <v>6320000</v>
      </c>
      <c r="N687" s="57" t="s">
        <v>249</v>
      </c>
      <c r="O687" s="57" t="s">
        <v>25</v>
      </c>
      <c r="P687" s="53" t="s">
        <v>310</v>
      </c>
      <c r="Q687" s="47"/>
      <c r="R687" s="48"/>
    </row>
    <row r="688" spans="1:18" ht="84" x14ac:dyDescent="0.3">
      <c r="A688" s="49">
        <v>20240634</v>
      </c>
      <c r="B688" s="49">
        <v>7658</v>
      </c>
      <c r="C688" s="50" t="s">
        <v>82</v>
      </c>
      <c r="D688" s="57" t="s">
        <v>248</v>
      </c>
      <c r="E688" s="60">
        <v>80111600</v>
      </c>
      <c r="F688" s="61" t="s">
        <v>671</v>
      </c>
      <c r="G688" s="59">
        <v>45397</v>
      </c>
      <c r="H688" s="62">
        <v>45407</v>
      </c>
      <c r="I688" s="57">
        <v>4</v>
      </c>
      <c r="J688" s="51" t="s">
        <v>21</v>
      </c>
      <c r="K688" s="59" t="s">
        <v>22</v>
      </c>
      <c r="L688" s="63" t="s">
        <v>23</v>
      </c>
      <c r="M688" s="53">
        <v>3066667</v>
      </c>
      <c r="N688" s="57" t="s">
        <v>249</v>
      </c>
      <c r="O688" s="57" t="s">
        <v>25</v>
      </c>
      <c r="P688" s="53" t="s">
        <v>310</v>
      </c>
      <c r="Q688" s="47"/>
      <c r="R688" s="48"/>
    </row>
    <row r="689" spans="1:18" ht="84" x14ac:dyDescent="0.3">
      <c r="A689" s="49">
        <v>20240635</v>
      </c>
      <c r="B689" s="49">
        <v>7658</v>
      </c>
      <c r="C689" s="50" t="s">
        <v>82</v>
      </c>
      <c r="D689" s="57" t="s">
        <v>248</v>
      </c>
      <c r="E689" s="60">
        <v>80111600</v>
      </c>
      <c r="F689" s="61" t="s">
        <v>672</v>
      </c>
      <c r="G689" s="59">
        <v>45397</v>
      </c>
      <c r="H689" s="62">
        <v>45407</v>
      </c>
      <c r="I689" s="57">
        <v>4</v>
      </c>
      <c r="J689" s="51" t="s">
        <v>21</v>
      </c>
      <c r="K689" s="59" t="s">
        <v>22</v>
      </c>
      <c r="L689" s="63" t="s">
        <v>23</v>
      </c>
      <c r="M689" s="53">
        <v>3066667</v>
      </c>
      <c r="N689" s="57" t="s">
        <v>249</v>
      </c>
      <c r="O689" s="57" t="s">
        <v>25</v>
      </c>
      <c r="P689" s="53" t="s">
        <v>310</v>
      </c>
      <c r="Q689" s="47"/>
      <c r="R689" s="48"/>
    </row>
    <row r="690" spans="1:18" ht="84" x14ac:dyDescent="0.3">
      <c r="A690" s="49">
        <v>20240636</v>
      </c>
      <c r="B690" s="49">
        <v>7658</v>
      </c>
      <c r="C690" s="50" t="s">
        <v>82</v>
      </c>
      <c r="D690" s="57" t="s">
        <v>248</v>
      </c>
      <c r="E690" s="60">
        <v>80111600</v>
      </c>
      <c r="F690" s="61" t="s">
        <v>673</v>
      </c>
      <c r="G690" s="59">
        <v>45397</v>
      </c>
      <c r="H690" s="62">
        <v>45407</v>
      </c>
      <c r="I690" s="57">
        <v>4</v>
      </c>
      <c r="J690" s="51" t="s">
        <v>21</v>
      </c>
      <c r="K690" s="59" t="s">
        <v>22</v>
      </c>
      <c r="L690" s="63" t="s">
        <v>23</v>
      </c>
      <c r="M690" s="53">
        <v>6080000</v>
      </c>
      <c r="N690" s="57" t="s">
        <v>249</v>
      </c>
      <c r="O690" s="57" t="s">
        <v>25</v>
      </c>
      <c r="P690" s="53" t="s">
        <v>310</v>
      </c>
      <c r="Q690" s="47"/>
      <c r="R690" s="48"/>
    </row>
    <row r="691" spans="1:18" ht="98" x14ac:dyDescent="0.3">
      <c r="A691" s="49">
        <v>20240637</v>
      </c>
      <c r="B691" s="49">
        <v>7658</v>
      </c>
      <c r="C691" s="50" t="s">
        <v>82</v>
      </c>
      <c r="D691" s="57" t="s">
        <v>248</v>
      </c>
      <c r="E691" s="60">
        <v>80111600</v>
      </c>
      <c r="F691" s="61" t="s">
        <v>674</v>
      </c>
      <c r="G691" s="59">
        <v>45397</v>
      </c>
      <c r="H691" s="62">
        <v>45407</v>
      </c>
      <c r="I691" s="57">
        <v>4</v>
      </c>
      <c r="J691" s="51" t="s">
        <v>21</v>
      </c>
      <c r="K691" s="59" t="s">
        <v>22</v>
      </c>
      <c r="L691" s="63" t="s">
        <v>23</v>
      </c>
      <c r="M691" s="53">
        <v>5866667</v>
      </c>
      <c r="N691" s="57" t="s">
        <v>249</v>
      </c>
      <c r="O691" s="57" t="s">
        <v>25</v>
      </c>
      <c r="P691" s="53" t="s">
        <v>310</v>
      </c>
      <c r="Q691" s="47"/>
      <c r="R691" s="48"/>
    </row>
    <row r="692" spans="1:18" ht="70" x14ac:dyDescent="0.3">
      <c r="A692" s="49">
        <v>20240639</v>
      </c>
      <c r="B692" s="49">
        <v>7655</v>
      </c>
      <c r="C692" s="50" t="s">
        <v>18</v>
      </c>
      <c r="D692" s="57" t="s">
        <v>184</v>
      </c>
      <c r="E692" s="60">
        <v>80111600</v>
      </c>
      <c r="F692" s="61" t="s">
        <v>676</v>
      </c>
      <c r="G692" s="59">
        <v>45427</v>
      </c>
      <c r="H692" s="62">
        <v>45442</v>
      </c>
      <c r="I692" s="57">
        <v>1.5</v>
      </c>
      <c r="J692" s="51" t="s">
        <v>21</v>
      </c>
      <c r="K692" s="59" t="s">
        <v>22</v>
      </c>
      <c r="L692" s="63" t="s">
        <v>23</v>
      </c>
      <c r="M692" s="53">
        <v>5684280</v>
      </c>
      <c r="N692" s="57" t="s">
        <v>24</v>
      </c>
      <c r="O692" s="57" t="s">
        <v>80</v>
      </c>
      <c r="P692" s="53" t="s">
        <v>310</v>
      </c>
      <c r="Q692" s="47"/>
      <c r="R692" s="48"/>
    </row>
    <row r="693" spans="1:18" ht="70" x14ac:dyDescent="0.3">
      <c r="A693" s="49">
        <v>20240640</v>
      </c>
      <c r="B693" s="49">
        <v>7655</v>
      </c>
      <c r="C693" s="50" t="s">
        <v>18</v>
      </c>
      <c r="D693" s="57" t="s">
        <v>184</v>
      </c>
      <c r="E693" s="58">
        <v>80111600</v>
      </c>
      <c r="F693" s="57" t="s">
        <v>677</v>
      </c>
      <c r="G693" s="59">
        <v>45427</v>
      </c>
      <c r="H693" s="62">
        <v>45442</v>
      </c>
      <c r="I693" s="52">
        <v>2</v>
      </c>
      <c r="J693" s="57" t="s">
        <v>21</v>
      </c>
      <c r="K693" s="57" t="s">
        <v>22</v>
      </c>
      <c r="L693" s="57" t="s">
        <v>23</v>
      </c>
      <c r="M693" s="53">
        <v>17000000</v>
      </c>
      <c r="N693" s="58" t="s">
        <v>24</v>
      </c>
      <c r="O693" s="58" t="s">
        <v>80</v>
      </c>
      <c r="P693" s="53" t="s">
        <v>310</v>
      </c>
      <c r="R693" s="48"/>
    </row>
    <row r="694" spans="1:18" ht="56" x14ac:dyDescent="0.3">
      <c r="A694" s="49">
        <v>20240641</v>
      </c>
      <c r="B694" s="49">
        <v>7655</v>
      </c>
      <c r="C694" s="50" t="s">
        <v>18</v>
      </c>
      <c r="D694" s="57" t="s">
        <v>184</v>
      </c>
      <c r="E694" s="58">
        <v>80111600</v>
      </c>
      <c r="F694" s="57" t="s">
        <v>679</v>
      </c>
      <c r="G694" s="59">
        <v>45427</v>
      </c>
      <c r="H694" s="62">
        <v>45442</v>
      </c>
      <c r="I694" s="54">
        <v>1.5</v>
      </c>
      <c r="J694" s="57" t="s">
        <v>21</v>
      </c>
      <c r="K694" s="57" t="s">
        <v>22</v>
      </c>
      <c r="L694" s="57" t="s">
        <v>23</v>
      </c>
      <c r="M694" s="53">
        <v>9150000</v>
      </c>
      <c r="N694" s="58" t="s">
        <v>24</v>
      </c>
      <c r="O694" s="58" t="s">
        <v>80</v>
      </c>
      <c r="P694" s="53" t="s">
        <v>310</v>
      </c>
      <c r="R694" s="48"/>
    </row>
    <row r="695" spans="1:18" ht="98" x14ac:dyDescent="0.3">
      <c r="A695" s="49">
        <v>20240642</v>
      </c>
      <c r="B695" s="49">
        <v>7655</v>
      </c>
      <c r="C695" s="50" t="s">
        <v>18</v>
      </c>
      <c r="D695" s="57" t="s">
        <v>184</v>
      </c>
      <c r="E695" s="58">
        <v>80111600</v>
      </c>
      <c r="F695" s="57" t="s">
        <v>678</v>
      </c>
      <c r="G695" s="59">
        <v>45413</v>
      </c>
      <c r="H695" s="62">
        <v>45427</v>
      </c>
      <c r="I695" s="54">
        <v>1.5</v>
      </c>
      <c r="J695" s="57" t="s">
        <v>21</v>
      </c>
      <c r="K695" s="57" t="s">
        <v>22</v>
      </c>
      <c r="L695" s="57" t="s">
        <v>23</v>
      </c>
      <c r="M695" s="53">
        <v>9000000</v>
      </c>
      <c r="N695" s="58" t="s">
        <v>24</v>
      </c>
      <c r="O695" s="58" t="s">
        <v>80</v>
      </c>
      <c r="P695" s="53" t="s">
        <v>310</v>
      </c>
      <c r="R695" s="48"/>
    </row>
    <row r="696" spans="1:18" ht="70" x14ac:dyDescent="0.3">
      <c r="A696" s="49">
        <v>20240643</v>
      </c>
      <c r="B696" s="49">
        <v>7655</v>
      </c>
      <c r="C696" s="50" t="s">
        <v>18</v>
      </c>
      <c r="D696" s="57" t="s">
        <v>184</v>
      </c>
      <c r="E696" s="58">
        <v>80111600</v>
      </c>
      <c r="F696" s="57" t="s">
        <v>680</v>
      </c>
      <c r="G696" s="59">
        <v>45427</v>
      </c>
      <c r="H696" s="62">
        <v>45442</v>
      </c>
      <c r="I696" s="52">
        <v>2</v>
      </c>
      <c r="J696" s="57" t="s">
        <v>21</v>
      </c>
      <c r="K696" s="57" t="s">
        <v>22</v>
      </c>
      <c r="L696" s="57" t="s">
        <v>23</v>
      </c>
      <c r="M696" s="53">
        <v>12400000</v>
      </c>
      <c r="N696" s="58" t="s">
        <v>24</v>
      </c>
      <c r="O696" s="58" t="s">
        <v>80</v>
      </c>
      <c r="P696" s="53" t="s">
        <v>310</v>
      </c>
      <c r="R696" s="48"/>
    </row>
    <row r="697" spans="1:18" ht="140" x14ac:dyDescent="0.3">
      <c r="A697" s="49">
        <v>20240644</v>
      </c>
      <c r="B697" s="49">
        <v>7658</v>
      </c>
      <c r="C697" s="50" t="s">
        <v>82</v>
      </c>
      <c r="D697" s="57" t="s">
        <v>19</v>
      </c>
      <c r="E697" s="58" t="s">
        <v>66</v>
      </c>
      <c r="F697" s="57" t="s">
        <v>681</v>
      </c>
      <c r="G697" s="59">
        <v>45373</v>
      </c>
      <c r="H697" s="62">
        <v>45373</v>
      </c>
      <c r="I697" s="52">
        <v>0</v>
      </c>
      <c r="J697" s="57" t="s">
        <v>544</v>
      </c>
      <c r="K697" s="57" t="s">
        <v>308</v>
      </c>
      <c r="L697" s="57" t="s">
        <v>50</v>
      </c>
      <c r="M697" s="53">
        <v>10002336</v>
      </c>
      <c r="N697" s="58" t="s">
        <v>38</v>
      </c>
      <c r="O697" s="58" t="s">
        <v>25</v>
      </c>
      <c r="P697" s="53" t="s">
        <v>310</v>
      </c>
      <c r="R697" s="48"/>
    </row>
    <row r="698" spans="1:18" ht="112" x14ac:dyDescent="0.3">
      <c r="A698" s="49">
        <v>20240645</v>
      </c>
      <c r="B698" s="49">
        <v>7658</v>
      </c>
      <c r="C698" s="50" t="s">
        <v>82</v>
      </c>
      <c r="D698" s="57" t="s">
        <v>19</v>
      </c>
      <c r="E698" s="58" t="s">
        <v>66</v>
      </c>
      <c r="F698" s="57" t="s">
        <v>682</v>
      </c>
      <c r="G698" s="59">
        <v>45373</v>
      </c>
      <c r="H698" s="62">
        <v>45373</v>
      </c>
      <c r="I698" s="52">
        <v>0</v>
      </c>
      <c r="J698" s="57" t="s">
        <v>544</v>
      </c>
      <c r="K698" s="57" t="s">
        <v>308</v>
      </c>
      <c r="L698" s="57" t="s">
        <v>50</v>
      </c>
      <c r="M698" s="53">
        <v>19703670</v>
      </c>
      <c r="N698" s="58" t="s">
        <v>38</v>
      </c>
      <c r="O698" s="58" t="s">
        <v>25</v>
      </c>
      <c r="P698" s="53" t="s">
        <v>310</v>
      </c>
      <c r="R698" s="48"/>
    </row>
    <row r="699" spans="1:18" ht="98" x14ac:dyDescent="0.3">
      <c r="A699" s="49">
        <v>20240646</v>
      </c>
      <c r="B699" s="49">
        <v>7658</v>
      </c>
      <c r="C699" s="50" t="s">
        <v>82</v>
      </c>
      <c r="D699" s="57" t="s">
        <v>19</v>
      </c>
      <c r="E699" s="58" t="s">
        <v>66</v>
      </c>
      <c r="F699" s="57" t="s">
        <v>683</v>
      </c>
      <c r="G699" s="59">
        <v>45373</v>
      </c>
      <c r="H699" s="62">
        <v>45373</v>
      </c>
      <c r="I699" s="52">
        <v>0</v>
      </c>
      <c r="J699" s="57" t="s">
        <v>544</v>
      </c>
      <c r="K699" s="57" t="s">
        <v>308</v>
      </c>
      <c r="L699" s="57" t="s">
        <v>50</v>
      </c>
      <c r="M699" s="53">
        <v>475594671</v>
      </c>
      <c r="N699" s="58" t="s">
        <v>67</v>
      </c>
      <c r="O699" s="58" t="s">
        <v>68</v>
      </c>
      <c r="P699" s="53" t="s">
        <v>310</v>
      </c>
      <c r="R699" s="48"/>
    </row>
    <row r="700" spans="1:18" ht="112" x14ac:dyDescent="0.3">
      <c r="A700" s="49">
        <v>20240647</v>
      </c>
      <c r="B700" s="49">
        <v>7658</v>
      </c>
      <c r="C700" s="50" t="s">
        <v>82</v>
      </c>
      <c r="D700" s="57" t="s">
        <v>19</v>
      </c>
      <c r="E700" s="58" t="s">
        <v>66</v>
      </c>
      <c r="F700" s="57" t="s">
        <v>684</v>
      </c>
      <c r="G700" s="59">
        <v>45373</v>
      </c>
      <c r="H700" s="62">
        <v>45373</v>
      </c>
      <c r="I700" s="52">
        <v>0</v>
      </c>
      <c r="J700" s="57" t="s">
        <v>544</v>
      </c>
      <c r="K700" s="57" t="s">
        <v>308</v>
      </c>
      <c r="L700" s="57" t="s">
        <v>50</v>
      </c>
      <c r="M700" s="53">
        <v>1456313</v>
      </c>
      <c r="N700" s="58" t="s">
        <v>67</v>
      </c>
      <c r="O700" s="58" t="s">
        <v>68</v>
      </c>
      <c r="P700" s="53" t="s">
        <v>310</v>
      </c>
      <c r="R700" s="48"/>
    </row>
    <row r="701" spans="1:18" ht="98" x14ac:dyDescent="0.3">
      <c r="A701" s="49">
        <v>20240648</v>
      </c>
      <c r="B701" s="49">
        <v>7658</v>
      </c>
      <c r="C701" s="50" t="s">
        <v>82</v>
      </c>
      <c r="D701" s="57" t="s">
        <v>19</v>
      </c>
      <c r="E701" s="58" t="s">
        <v>66</v>
      </c>
      <c r="F701" s="57" t="s">
        <v>685</v>
      </c>
      <c r="G701" s="59">
        <v>45373</v>
      </c>
      <c r="H701" s="62">
        <v>45373</v>
      </c>
      <c r="I701" s="52">
        <v>0</v>
      </c>
      <c r="J701" s="57" t="s">
        <v>544</v>
      </c>
      <c r="K701" s="57" t="s">
        <v>308</v>
      </c>
      <c r="L701" s="57" t="s">
        <v>50</v>
      </c>
      <c r="M701" s="53">
        <v>22500000</v>
      </c>
      <c r="N701" s="58" t="s">
        <v>67</v>
      </c>
      <c r="O701" s="58" t="s">
        <v>68</v>
      </c>
      <c r="P701" s="53" t="s">
        <v>310</v>
      </c>
      <c r="R701" s="48"/>
    </row>
    <row r="702" spans="1:18" ht="140" x14ac:dyDescent="0.3">
      <c r="A702" s="49">
        <v>20240649</v>
      </c>
      <c r="B702" s="49">
        <v>7658</v>
      </c>
      <c r="C702" s="50" t="s">
        <v>82</v>
      </c>
      <c r="D702" s="57" t="s">
        <v>19</v>
      </c>
      <c r="E702" s="58" t="s">
        <v>66</v>
      </c>
      <c r="F702" s="57" t="s">
        <v>686</v>
      </c>
      <c r="G702" s="59">
        <v>45373</v>
      </c>
      <c r="H702" s="62">
        <v>45373</v>
      </c>
      <c r="I702" s="52">
        <v>0</v>
      </c>
      <c r="J702" s="57" t="s">
        <v>544</v>
      </c>
      <c r="K702" s="57" t="s">
        <v>308</v>
      </c>
      <c r="L702" s="57" t="s">
        <v>50</v>
      </c>
      <c r="M702" s="53">
        <v>108660281</v>
      </c>
      <c r="N702" s="58" t="s">
        <v>38</v>
      </c>
      <c r="O702" s="58" t="s">
        <v>25</v>
      </c>
      <c r="P702" s="53" t="s">
        <v>310</v>
      </c>
      <c r="R702" s="48"/>
    </row>
    <row r="703" spans="1:18" ht="140" x14ac:dyDescent="0.3">
      <c r="A703" s="49">
        <v>20240650</v>
      </c>
      <c r="B703" s="49">
        <v>7658</v>
      </c>
      <c r="C703" s="50" t="s">
        <v>82</v>
      </c>
      <c r="D703" s="57" t="s">
        <v>19</v>
      </c>
      <c r="E703" s="58" t="s">
        <v>66</v>
      </c>
      <c r="F703" s="57" t="s">
        <v>687</v>
      </c>
      <c r="G703" s="59">
        <v>45373</v>
      </c>
      <c r="H703" s="62">
        <v>45373</v>
      </c>
      <c r="I703" s="52">
        <v>0</v>
      </c>
      <c r="J703" s="57" t="s">
        <v>544</v>
      </c>
      <c r="K703" s="57" t="s">
        <v>308</v>
      </c>
      <c r="L703" s="57" t="s">
        <v>50</v>
      </c>
      <c r="M703" s="53">
        <v>7061114</v>
      </c>
      <c r="N703" s="58" t="s">
        <v>67</v>
      </c>
      <c r="O703" s="58" t="s">
        <v>68</v>
      </c>
      <c r="P703" s="53" t="s">
        <v>310</v>
      </c>
      <c r="R703" s="48"/>
    </row>
    <row r="704" spans="1:18" ht="98" x14ac:dyDescent="0.3">
      <c r="A704" s="49">
        <v>20240651</v>
      </c>
      <c r="B704" s="49">
        <v>7658</v>
      </c>
      <c r="C704" s="50" t="s">
        <v>82</v>
      </c>
      <c r="D704" s="57" t="s">
        <v>19</v>
      </c>
      <c r="E704" s="58" t="s">
        <v>66</v>
      </c>
      <c r="F704" s="57" t="s">
        <v>688</v>
      </c>
      <c r="G704" s="59">
        <v>45373</v>
      </c>
      <c r="H704" s="62">
        <v>45373</v>
      </c>
      <c r="I704" s="52">
        <v>0</v>
      </c>
      <c r="J704" s="57" t="s">
        <v>544</v>
      </c>
      <c r="K704" s="57" t="s">
        <v>308</v>
      </c>
      <c r="L704" s="57" t="s">
        <v>23</v>
      </c>
      <c r="M704" s="53">
        <v>973333</v>
      </c>
      <c r="N704" s="58" t="s">
        <v>38</v>
      </c>
      <c r="O704" s="58" t="s">
        <v>25</v>
      </c>
      <c r="P704" s="53" t="s">
        <v>310</v>
      </c>
      <c r="R704" s="48"/>
    </row>
    <row r="705" spans="1:18" ht="98" x14ac:dyDescent="0.3">
      <c r="A705" s="49">
        <v>20240652</v>
      </c>
      <c r="B705" s="49">
        <v>131</v>
      </c>
      <c r="C705" s="50" t="s">
        <v>403</v>
      </c>
      <c r="D705" s="57" t="s">
        <v>19</v>
      </c>
      <c r="E705" s="58" t="s">
        <v>66</v>
      </c>
      <c r="F705" s="57" t="s">
        <v>689</v>
      </c>
      <c r="G705" s="59">
        <v>45373</v>
      </c>
      <c r="H705" s="62">
        <v>45373</v>
      </c>
      <c r="I705" s="52">
        <v>0</v>
      </c>
      <c r="J705" s="57" t="s">
        <v>544</v>
      </c>
      <c r="K705" s="57" t="s">
        <v>308</v>
      </c>
      <c r="L705" s="57" t="s">
        <v>66</v>
      </c>
      <c r="M705" s="53">
        <v>669879</v>
      </c>
      <c r="N705" s="58" t="s">
        <v>598</v>
      </c>
      <c r="O705" s="58" t="s">
        <v>598</v>
      </c>
      <c r="P705" s="53" t="s">
        <v>310</v>
      </c>
      <c r="R705" s="48"/>
    </row>
    <row r="706" spans="1:18" ht="69.5" customHeight="1" x14ac:dyDescent="0.3">
      <c r="A706" s="49">
        <v>20240653</v>
      </c>
      <c r="B706" s="49">
        <v>7658</v>
      </c>
      <c r="C706" s="50" t="s">
        <v>82</v>
      </c>
      <c r="D706" s="57" t="s">
        <v>92</v>
      </c>
      <c r="E706" s="58">
        <v>80111600</v>
      </c>
      <c r="F706" s="57" t="s">
        <v>690</v>
      </c>
      <c r="G706" s="59">
        <v>45397</v>
      </c>
      <c r="H706" s="62">
        <v>45427</v>
      </c>
      <c r="I706" s="52">
        <v>3</v>
      </c>
      <c r="J706" s="57" t="s">
        <v>21</v>
      </c>
      <c r="K706" s="57" t="s">
        <v>22</v>
      </c>
      <c r="L706" s="57" t="s">
        <v>23</v>
      </c>
      <c r="M706" s="53">
        <v>21000000</v>
      </c>
      <c r="N706" s="58" t="s">
        <v>96</v>
      </c>
      <c r="O706" s="58" t="s">
        <v>25</v>
      </c>
      <c r="P706" s="53" t="s">
        <v>26</v>
      </c>
      <c r="R706" s="48"/>
    </row>
    <row r="709" spans="1:18" x14ac:dyDescent="0.3">
      <c r="M709" s="38"/>
    </row>
  </sheetData>
  <autoFilter ref="A6:R706" xr:uid="{00000000-0009-0000-0000-000000000000}">
    <sortState xmlns:xlrd2="http://schemas.microsoft.com/office/spreadsheetml/2017/richdata2" ref="A7:R706">
      <sortCondition sortBy="cellColor" ref="A6:A706" dxfId="1"/>
    </sortState>
  </autoFilter>
  <mergeCells count="3">
    <mergeCell ref="A3:P3"/>
    <mergeCell ref="A2:P2"/>
    <mergeCell ref="A1:P1"/>
  </mergeCells>
  <conditionalFormatting sqref="A1">
    <cfRule type="duplicateValues" dxfId="62" priority="75" stopIfTrue="1"/>
    <cfRule type="duplicateValues" dxfId="61" priority="76" stopIfTrue="1"/>
    <cfRule type="duplicateValues" dxfId="60" priority="77"/>
    <cfRule type="duplicateValues" dxfId="59" priority="78"/>
    <cfRule type="duplicateValues" dxfId="58" priority="79"/>
  </conditionalFormatting>
  <conditionalFormatting sqref="A1:A1048576">
    <cfRule type="duplicateValues" dxfId="57" priority="1"/>
    <cfRule type="duplicateValues" dxfId="56" priority="2"/>
    <cfRule type="duplicateValues" dxfId="55" priority="3"/>
    <cfRule type="duplicateValues" dxfId="54" priority="4"/>
  </conditionalFormatting>
  <conditionalFormatting sqref="A4:A1048576">
    <cfRule type="duplicateValues" dxfId="53" priority="5"/>
    <cfRule type="duplicateValues" dxfId="52" priority="6"/>
    <cfRule type="duplicateValues" dxfId="51" priority="7"/>
    <cfRule type="duplicateValues" dxfId="50" priority="8" stopIfTrue="1"/>
  </conditionalFormatting>
  <conditionalFormatting sqref="A6:A185 A187:A706">
    <cfRule type="expression" dxfId="49" priority="2462" stopIfTrue="1">
      <formula>AND(COUNTIF($A$478:$A$481, A6)+COUNTIF($A$1:$A$476, A6)+COUNTIF($A$488:$A$65497, A6)&gt;1,NOT(ISBLANK(A6)))</formula>
    </cfRule>
    <cfRule type="expression" dxfId="48" priority="2463" stopIfTrue="1">
      <formula>AND(COUNTIF($A$1:$A$485, A6)+COUNTIF($A$488:$A$65497, A6)&gt;1,NOT(ISBLANK(A6)))</formula>
    </cfRule>
    <cfRule type="duplicateValues" dxfId="47" priority="2464" stopIfTrue="1"/>
    <cfRule type="duplicateValues" dxfId="46" priority="2465" stopIfTrue="1"/>
    <cfRule type="duplicateValues" dxfId="45" priority="2466" stopIfTrue="1"/>
    <cfRule type="duplicateValues" dxfId="44" priority="2467" stopIfTrue="1"/>
    <cfRule type="duplicateValues" dxfId="43" priority="2468" stopIfTrue="1"/>
    <cfRule type="duplicateValues" dxfId="42" priority="2469"/>
    <cfRule type="duplicateValues" dxfId="41" priority="2470"/>
  </conditionalFormatting>
  <conditionalFormatting sqref="A7:A185 A187:A706">
    <cfRule type="expression" dxfId="40" priority="2489" stopIfTrue="1">
      <formula>AND(COUNTIF($A$488:$A$620, A7)+COUNTIF($A$7:$A$481, A7)&gt;1,NOT(ISBLANK(A7)))</formula>
    </cfRule>
    <cfRule type="duplicateValues" dxfId="39" priority="2490" stopIfTrue="1"/>
    <cfRule type="duplicateValues" dxfId="38" priority="2491" stopIfTrue="1"/>
    <cfRule type="duplicateValues" dxfId="37" priority="2492" stopIfTrue="1"/>
    <cfRule type="duplicateValues" dxfId="36" priority="2493" stopIfTrue="1"/>
    <cfRule type="duplicateValues" dxfId="35" priority="2494" stopIfTrue="1"/>
    <cfRule type="duplicateValues" dxfId="34" priority="2495" stopIfTrue="1"/>
    <cfRule type="duplicateValues" dxfId="33" priority="2496" stopIfTrue="1"/>
    <cfRule type="duplicateValues" dxfId="32" priority="2497" stopIfTrue="1"/>
    <cfRule type="duplicateValues" dxfId="31" priority="2498" stopIfTrue="1"/>
    <cfRule type="duplicateValues" dxfId="30" priority="2499" stopIfTrue="1"/>
    <cfRule type="duplicateValues" dxfId="29" priority="2500"/>
    <cfRule type="duplicateValues" dxfId="28" priority="2501"/>
    <cfRule type="duplicateValues" dxfId="27" priority="2502"/>
    <cfRule type="duplicateValues" dxfId="26" priority="2503"/>
  </conditionalFormatting>
  <conditionalFormatting sqref="A186">
    <cfRule type="duplicateValues" dxfId="25" priority="2534" stopIfTrue="1"/>
    <cfRule type="duplicateValues" dxfId="24" priority="2535" stopIfTrue="1"/>
    <cfRule type="duplicateValues" dxfId="23" priority="2536" stopIfTrue="1"/>
    <cfRule type="duplicateValues" dxfId="22" priority="2537" stopIfTrue="1"/>
    <cfRule type="duplicateValues" dxfId="21" priority="2538" stopIfTrue="1"/>
    <cfRule type="duplicateValues" dxfId="20" priority="2539"/>
    <cfRule type="duplicateValues" dxfId="19" priority="2540"/>
    <cfRule type="expression" dxfId="18" priority="2541" stopIfTrue="1">
      <formula>AND(COUNTIF($A$1:$A$46, A186)+COUNTIF($A$49:$A$65020, A186)&gt;1,NOT(ISBLANK(A186)))</formula>
    </cfRule>
    <cfRule type="expression" dxfId="17" priority="2542" stopIfTrue="1">
      <formula>AND(COUNTIF($A$42:$A$42, A186)+COUNTIF($A$1:$A$40, A186)+COUNTIF($A$49:$A$65020, A186)&gt;1,NOT(ISBLANK(A186)))</formula>
    </cfRule>
    <cfRule type="expression" dxfId="16" priority="2543" stopIfTrue="1">
      <formula>AND(COUNTIF($A$49:$A$175, A186)+COUNTIF($A$7:$A$42, A186)&gt;1,NOT(ISBLANK(A186)))</formula>
    </cfRule>
    <cfRule type="duplicateValues" dxfId="15" priority="2544" stopIfTrue="1"/>
    <cfRule type="duplicateValues" dxfId="14" priority="2545" stopIfTrue="1"/>
    <cfRule type="duplicateValues" dxfId="13" priority="2546" stopIfTrue="1"/>
    <cfRule type="duplicateValues" dxfId="12" priority="2547" stopIfTrue="1"/>
    <cfRule type="duplicateValues" dxfId="11" priority="2548" stopIfTrue="1"/>
    <cfRule type="duplicateValues" dxfId="10" priority="2549" stopIfTrue="1"/>
    <cfRule type="duplicateValues" dxfId="9" priority="2550" stopIfTrue="1"/>
    <cfRule type="duplicateValues" dxfId="8" priority="2551" stopIfTrue="1"/>
    <cfRule type="duplicateValues" dxfId="7" priority="2552" stopIfTrue="1"/>
    <cfRule type="duplicateValues" dxfId="6" priority="2553" stopIfTrue="1"/>
    <cfRule type="duplicateValues" dxfId="5" priority="2554"/>
    <cfRule type="duplicateValues" dxfId="4" priority="2555"/>
    <cfRule type="duplicateValues" dxfId="3" priority="2556"/>
    <cfRule type="duplicateValues" dxfId="2" priority="2557"/>
  </conditionalFormatting>
  <dataValidations count="25">
    <dataValidation type="list" allowBlank="1" showInputMessage="1" showErrorMessage="1" sqref="O467" xr:uid="{00000000-0002-0000-0000-000000000000}">
      <formula1>$AK$27:$AK$34</formula1>
    </dataValidation>
    <dataValidation type="list" allowBlank="1" showInputMessage="1" showErrorMessage="1" sqref="N467" xr:uid="{00000000-0002-0000-0000-000001000000}">
      <formula1>$AL$27:$AL$40</formula1>
    </dataValidation>
    <dataValidation type="list" allowBlank="1" showInputMessage="1" showErrorMessage="1" sqref="J467 J492:J493" xr:uid="{00000000-0002-0000-0000-000002000000}">
      <formula1>$AM$5:$AM$18</formula1>
    </dataValidation>
    <dataValidation type="list" allowBlank="1" showInputMessage="1" showErrorMessage="1" sqref="D467 D492:D495 D516:D521 D530 D536" xr:uid="{00000000-0002-0000-0000-000003000000}">
      <formula1>$AL$5:$AL$14</formula1>
    </dataValidation>
    <dataValidation type="list" allowBlank="1" showInputMessage="1" showErrorMessage="1" sqref="B467 B492:B495 B516:B521 B530 B536 B630:B636" xr:uid="{00000000-0002-0000-0000-000004000000}">
      <formula1>$AJ$5:$AJ$8</formula1>
    </dataValidation>
    <dataValidation type="list" allowBlank="1" showInputMessage="1" showErrorMessage="1" sqref="N492:N495" xr:uid="{00000000-0002-0000-0000-000005000000}">
      <formula1>$AL$27:$AL$37</formula1>
    </dataValidation>
    <dataValidation type="list" allowBlank="1" showInputMessage="1" showErrorMessage="1" sqref="O492:O495" xr:uid="{00000000-0002-0000-0000-000006000000}">
      <formula1>$AK$27:$AK$32</formula1>
    </dataValidation>
    <dataValidation type="list" allowBlank="1" showInputMessage="1" showErrorMessage="1" sqref="J502 J512 J526:J528 J531:J533" xr:uid="{00000000-0002-0000-0000-00000B000000}">
      <formula1>$AL$5:$AL$5</formula1>
    </dataValidation>
    <dataValidation type="list" allowBlank="1" showInputMessage="1" showErrorMessage="1" sqref="N496:O496 N501:O502 N527:O528 N557:O562 N531:O533 N538:O555 N628:O628 N670:O681" xr:uid="{00000000-0002-0000-0000-000007000000}">
      <formula1>#REF!</formula1>
    </dataValidation>
    <dataValidation type="list" allowBlank="1" showInputMessage="1" showErrorMessage="1" sqref="B496 B501:B502 B512 B526:B528 B531:B533 J538:J562 J628" xr:uid="{00000000-0002-0000-0000-000008000000}">
      <formula1>$AI$5:$AI$5</formula1>
    </dataValidation>
    <dataValidation type="list" allowBlank="1" showInputMessage="1" showErrorMessage="1" sqref="C496 C501:C502 C512 C526:C528 C531:C533" xr:uid="{00000000-0002-0000-0000-000009000000}">
      <formula1>$AJ$5:$AJ$5</formula1>
    </dataValidation>
    <dataValidation type="list" allowBlank="1" showInputMessage="1" showErrorMessage="1" sqref="D496 D501:D502 D512 D526:D528 D531:D533" xr:uid="{00000000-0002-0000-0000-00000A000000}">
      <formula1>$AK$5:$AK$5</formula1>
    </dataValidation>
    <dataValidation type="list" allowBlank="1" showInputMessage="1" showErrorMessage="1" sqref="N530" xr:uid="{33E8F59C-603F-498B-8284-0B86611DA2A2}">
      <formula1>$AL$33:$AL$38</formula1>
    </dataValidation>
    <dataValidation type="list" allowBlank="1" showInputMessage="1" showErrorMessage="1" sqref="O530" xr:uid="{AFC1F9C3-9C6E-44AB-98A3-410D51F20B45}">
      <formula1>$AK$33:$AK$36</formula1>
    </dataValidation>
    <dataValidation type="list" allowBlank="1" showInputMessage="1" showErrorMessage="1" sqref="N517:N521" xr:uid="{B4F051B7-F120-4593-8972-A4233BD0F84E}">
      <formula1>$AL$45:$AL$50</formula1>
    </dataValidation>
    <dataValidation type="list" allowBlank="1" showInputMessage="1" showErrorMessage="1" sqref="O517:O521" xr:uid="{A53390A2-0D12-4DBB-8B96-0BB87C442665}">
      <formula1>$AK$45:$AK$48</formula1>
    </dataValidation>
    <dataValidation type="list" allowBlank="1" showInputMessage="1" showErrorMessage="1" sqref="O536" xr:uid="{B5D1D592-83D5-42B7-B3FA-026485AF082D}">
      <formula1>$AK$28:$AK$40</formula1>
    </dataValidation>
    <dataValidation type="list" allowBlank="1" showInputMessage="1" showErrorMessage="1" sqref="N536" xr:uid="{F3940A3B-1BE4-4A1D-B029-6608D8F94C83}">
      <formula1>$AL$28:$AL$46</formula1>
    </dataValidation>
    <dataValidation type="list" allowBlank="1" showInputMessage="1" showErrorMessage="1" sqref="C536 C630:C636" xr:uid="{1C5F161E-478F-44EC-92A7-FB06266841CD}">
      <formula1>$AK$5:$AK$7</formula1>
    </dataValidation>
    <dataValidation type="list" allowBlank="1" showInputMessage="1" showErrorMessage="1" sqref="B538:B562 B628 D670:D681" xr:uid="{A33D8447-4762-4AAC-A6DB-7B836522BA8D}">
      <formula1>$AF$5:$AF$5</formula1>
    </dataValidation>
    <dataValidation type="list" allowBlank="1" showInputMessage="1" showErrorMessage="1" sqref="C538:C562 C628 J670:J681" xr:uid="{42C59141-7B12-4BDD-8B19-D0EE2CDB1E6C}">
      <formula1>$AG$5:$AG$5</formula1>
    </dataValidation>
    <dataValidation type="list" allowBlank="1" showInputMessage="1" showErrorMessage="1" sqref="D538:D562" xr:uid="{1548D8BE-F990-4718-8CBA-E2D78BD3168F}">
      <formula1>$AH$5:$AH$5</formula1>
    </dataValidation>
    <dataValidation type="list" allowBlank="1" showInputMessage="1" showErrorMessage="1" sqref="J630:J636" xr:uid="{D7D1B772-EC0C-4D2E-976D-937D0B2D7C49}">
      <formula1>$AM$5:$AM$28</formula1>
    </dataValidation>
    <dataValidation type="list" allowBlank="1" showInputMessage="1" showErrorMessage="1" sqref="B670:B681" xr:uid="{C5F3AF54-AD72-42B7-905C-FF9BD2D6A7A3}">
      <formula1>$AD$5:$AD$5</formula1>
    </dataValidation>
    <dataValidation type="list" allowBlank="1" showInputMessage="1" showErrorMessage="1" sqref="C670:C681" xr:uid="{8568D4BF-39F4-4F91-8EF9-41DE0522F532}">
      <formula1>$AE$5:$AE$5</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J86"/>
  <sheetViews>
    <sheetView showGridLines="0" topLeftCell="A4" zoomScale="75" zoomScaleNormal="75" workbookViewId="0">
      <selection activeCell="E74" sqref="E74:F74"/>
    </sheetView>
  </sheetViews>
  <sheetFormatPr baseColWidth="10" defaultRowHeight="14.5" x14ac:dyDescent="0.35"/>
  <cols>
    <col min="2" max="2" width="10.81640625" style="10" customWidth="1"/>
    <col min="3" max="3" width="17.26953125" style="5" bestFit="1" customWidth="1"/>
    <col min="4" max="4" width="20.81640625" customWidth="1"/>
    <col min="5" max="5" width="33.453125" bestFit="1" customWidth="1"/>
    <col min="6" max="6" width="34.26953125" customWidth="1"/>
    <col min="7" max="7" width="18.54296875" bestFit="1" customWidth="1"/>
    <col min="8" max="8" width="16.26953125" bestFit="1" customWidth="1"/>
    <col min="9" max="10" width="17.26953125" bestFit="1" customWidth="1"/>
  </cols>
  <sheetData>
    <row r="3" spans="2:10" x14ac:dyDescent="0.35">
      <c r="B3" s="14" t="s">
        <v>281</v>
      </c>
      <c r="C3" s="14"/>
      <c r="D3" s="14"/>
      <c r="E3" s="96" t="s">
        <v>282</v>
      </c>
      <c r="F3" s="96"/>
      <c r="G3" s="96"/>
      <c r="H3" s="96"/>
      <c r="I3" s="96"/>
      <c r="J3" s="96"/>
    </row>
    <row r="5" spans="2:10" x14ac:dyDescent="0.35">
      <c r="B5" s="9" t="s">
        <v>271</v>
      </c>
      <c r="C5" s="7" t="s">
        <v>272</v>
      </c>
      <c r="E5" s="9" t="s">
        <v>5</v>
      </c>
      <c r="F5" s="9" t="s">
        <v>274</v>
      </c>
      <c r="G5" s="11">
        <v>7637</v>
      </c>
      <c r="H5" s="11">
        <v>7655</v>
      </c>
      <c r="I5" s="11">
        <v>7658</v>
      </c>
      <c r="J5" s="9" t="s">
        <v>276</v>
      </c>
    </row>
    <row r="6" spans="2:10" x14ac:dyDescent="0.35">
      <c r="B6" s="1">
        <v>7658</v>
      </c>
      <c r="C6" s="4">
        <v>32529175840</v>
      </c>
      <c r="E6" s="89" t="s">
        <v>222</v>
      </c>
      <c r="F6" s="89"/>
      <c r="G6" s="4"/>
      <c r="H6" s="4">
        <v>596500000</v>
      </c>
      <c r="I6" s="4"/>
      <c r="J6" s="4">
        <v>596500000</v>
      </c>
    </row>
    <row r="7" spans="2:10" x14ac:dyDescent="0.35">
      <c r="B7" s="1">
        <v>7655</v>
      </c>
      <c r="C7" s="4">
        <v>6691034160</v>
      </c>
      <c r="E7" s="89" t="s">
        <v>220</v>
      </c>
      <c r="F7" s="89"/>
      <c r="G7" s="4"/>
      <c r="H7" s="4">
        <v>403500000</v>
      </c>
      <c r="I7" s="4"/>
      <c r="J7" s="4">
        <v>403500000</v>
      </c>
    </row>
    <row r="8" spans="2:10" x14ac:dyDescent="0.35">
      <c r="B8" s="1">
        <v>7637</v>
      </c>
      <c r="C8" s="4">
        <v>3299800000</v>
      </c>
      <c r="E8" s="89" t="s">
        <v>184</v>
      </c>
      <c r="F8" s="89"/>
      <c r="G8" s="4">
        <v>3299800000</v>
      </c>
      <c r="H8" s="4">
        <v>900200000</v>
      </c>
      <c r="I8" s="4"/>
      <c r="J8" s="4">
        <v>4200000000</v>
      </c>
    </row>
    <row r="9" spans="2:10" x14ac:dyDescent="0.35">
      <c r="B9" s="9" t="s">
        <v>273</v>
      </c>
      <c r="C9" s="8">
        <v>42520010000</v>
      </c>
      <c r="E9" s="89" t="s">
        <v>237</v>
      </c>
      <c r="F9" s="89"/>
      <c r="G9" s="4"/>
      <c r="H9" s="4">
        <v>432858000</v>
      </c>
      <c r="I9" s="4"/>
      <c r="J9" s="4">
        <v>432858000</v>
      </c>
    </row>
    <row r="10" spans="2:10" x14ac:dyDescent="0.35">
      <c r="E10" s="89" t="s">
        <v>146</v>
      </c>
      <c r="F10" s="89"/>
      <c r="G10" s="4"/>
      <c r="H10" s="4">
        <v>323006000</v>
      </c>
      <c r="I10" s="4"/>
      <c r="J10" s="4">
        <v>323006000</v>
      </c>
    </row>
    <row r="11" spans="2:10" x14ac:dyDescent="0.35">
      <c r="E11" s="89" t="s">
        <v>106</v>
      </c>
      <c r="F11" s="89"/>
      <c r="G11" s="4"/>
      <c r="H11" s="4">
        <v>1200000000</v>
      </c>
      <c r="I11" s="4"/>
      <c r="J11" s="4">
        <v>1200000000</v>
      </c>
    </row>
    <row r="12" spans="2:10" x14ac:dyDescent="0.35">
      <c r="E12" s="89" t="s">
        <v>19</v>
      </c>
      <c r="F12" s="89"/>
      <c r="G12" s="4"/>
      <c r="H12" s="4">
        <v>2214252160</v>
      </c>
      <c r="I12" s="4">
        <v>7786929840</v>
      </c>
      <c r="J12" s="4">
        <v>10001182000</v>
      </c>
    </row>
    <row r="13" spans="2:10" x14ac:dyDescent="0.35">
      <c r="E13" s="89" t="s">
        <v>116</v>
      </c>
      <c r="F13" s="89"/>
      <c r="G13" s="4"/>
      <c r="H13" s="4">
        <v>170000000</v>
      </c>
      <c r="I13" s="4">
        <v>3730000000</v>
      </c>
      <c r="J13" s="4">
        <v>3900000000</v>
      </c>
    </row>
    <row r="14" spans="2:10" x14ac:dyDescent="0.35">
      <c r="E14" s="89" t="s">
        <v>152</v>
      </c>
      <c r="F14" s="89"/>
      <c r="G14" s="4"/>
      <c r="H14" s="4">
        <v>450718000</v>
      </c>
      <c r="I14" s="4">
        <v>1449282000</v>
      </c>
      <c r="J14" s="4">
        <v>1900000000</v>
      </c>
    </row>
    <row r="15" spans="2:10" x14ac:dyDescent="0.35">
      <c r="E15" s="89" t="s">
        <v>92</v>
      </c>
      <c r="F15" s="89"/>
      <c r="G15" s="4"/>
      <c r="H15" s="4"/>
      <c r="I15" s="4">
        <v>10011982000</v>
      </c>
      <c r="J15" s="4">
        <v>10011982000</v>
      </c>
    </row>
    <row r="16" spans="2:10" x14ac:dyDescent="0.35">
      <c r="E16" s="89" t="s">
        <v>248</v>
      </c>
      <c r="F16" s="89"/>
      <c r="G16" s="4"/>
      <c r="H16" s="4"/>
      <c r="I16" s="4">
        <v>9550982000</v>
      </c>
      <c r="J16" s="4">
        <v>9550982000</v>
      </c>
    </row>
    <row r="17" spans="3:10" x14ac:dyDescent="0.35">
      <c r="E17" s="91" t="s">
        <v>275</v>
      </c>
      <c r="F17" s="92"/>
      <c r="G17" s="8">
        <v>3299800000</v>
      </c>
      <c r="H17" s="8">
        <v>6691034160</v>
      </c>
      <c r="I17" s="8">
        <v>32529175840</v>
      </c>
      <c r="J17" s="8">
        <v>42520010000</v>
      </c>
    </row>
    <row r="20" spans="3:10" x14ac:dyDescent="0.35">
      <c r="C20" s="93" t="s">
        <v>284</v>
      </c>
      <c r="D20" s="93"/>
      <c r="E20" s="93"/>
      <c r="F20" s="93"/>
      <c r="G20" s="93"/>
    </row>
    <row r="22" spans="3:10" x14ac:dyDescent="0.35">
      <c r="C22" s="12" t="s">
        <v>285</v>
      </c>
    </row>
    <row r="23" spans="3:10" x14ac:dyDescent="0.35">
      <c r="C23" s="9" t="s">
        <v>277</v>
      </c>
      <c r="D23" s="13" t="s">
        <v>278</v>
      </c>
      <c r="E23" s="90" t="s">
        <v>5</v>
      </c>
      <c r="F23" s="90"/>
      <c r="G23" s="9" t="s">
        <v>279</v>
      </c>
    </row>
    <row r="24" spans="3:10" x14ac:dyDescent="0.35">
      <c r="C24" s="3" t="s">
        <v>155</v>
      </c>
      <c r="D24" s="6" t="s">
        <v>154</v>
      </c>
      <c r="E24" s="89" t="s">
        <v>152</v>
      </c>
      <c r="F24" s="89"/>
      <c r="G24" s="4">
        <v>1449282000</v>
      </c>
    </row>
    <row r="25" spans="3:10" x14ac:dyDescent="0.35">
      <c r="C25" s="3" t="s">
        <v>119</v>
      </c>
      <c r="D25" s="6" t="s">
        <v>118</v>
      </c>
      <c r="E25" s="89" t="s">
        <v>116</v>
      </c>
      <c r="F25" s="89"/>
      <c r="G25" s="4">
        <v>3730000000</v>
      </c>
    </row>
    <row r="26" spans="3:10" x14ac:dyDescent="0.35">
      <c r="C26" s="3" t="s">
        <v>25</v>
      </c>
      <c r="D26" s="6" t="s">
        <v>38</v>
      </c>
      <c r="E26" s="89" t="s">
        <v>19</v>
      </c>
      <c r="F26" s="89"/>
      <c r="G26" s="4">
        <v>2822768000</v>
      </c>
    </row>
    <row r="27" spans="3:10" x14ac:dyDescent="0.35">
      <c r="C27" s="3" t="s">
        <v>25</v>
      </c>
      <c r="D27" s="6" t="s">
        <v>249</v>
      </c>
      <c r="E27" s="89" t="s">
        <v>248</v>
      </c>
      <c r="F27" s="89"/>
      <c r="G27" s="4">
        <v>9550982000</v>
      </c>
    </row>
    <row r="28" spans="3:10" x14ac:dyDescent="0.35">
      <c r="C28" s="3" t="s">
        <v>25</v>
      </c>
      <c r="D28" s="6" t="s">
        <v>96</v>
      </c>
      <c r="E28" s="89" t="s">
        <v>92</v>
      </c>
      <c r="F28" s="89"/>
      <c r="G28" s="4">
        <v>2028491000</v>
      </c>
    </row>
    <row r="29" spans="3:10" x14ac:dyDescent="0.35">
      <c r="C29" s="3" t="s">
        <v>25</v>
      </c>
      <c r="D29" s="6" t="s">
        <v>94</v>
      </c>
      <c r="E29" s="89" t="s">
        <v>92</v>
      </c>
      <c r="F29" s="89"/>
      <c r="G29" s="4">
        <v>7983491000</v>
      </c>
    </row>
    <row r="30" spans="3:10" x14ac:dyDescent="0.35">
      <c r="C30" s="3" t="s">
        <v>90</v>
      </c>
      <c r="D30" s="6" t="s">
        <v>89</v>
      </c>
      <c r="E30" s="89" t="s">
        <v>19</v>
      </c>
      <c r="F30" s="89"/>
      <c r="G30" s="4">
        <v>100000000</v>
      </c>
    </row>
    <row r="31" spans="3:10" x14ac:dyDescent="0.35">
      <c r="C31" s="3" t="s">
        <v>68</v>
      </c>
      <c r="D31" s="6" t="s">
        <v>67</v>
      </c>
      <c r="E31" s="89" t="s">
        <v>19</v>
      </c>
      <c r="F31" s="89"/>
      <c r="G31" s="4">
        <v>4864161840</v>
      </c>
    </row>
    <row r="32" spans="3:10" x14ac:dyDescent="0.35">
      <c r="C32" s="91" t="s">
        <v>105</v>
      </c>
      <c r="D32" s="95"/>
      <c r="E32" s="95"/>
      <c r="F32" s="92"/>
      <c r="G32" s="8">
        <f>SUM(G24:G31)</f>
        <v>32529175840</v>
      </c>
    </row>
    <row r="34" spans="3:7" x14ac:dyDescent="0.35">
      <c r="C34" s="12" t="s">
        <v>286</v>
      </c>
    </row>
    <row r="35" spans="3:7" x14ac:dyDescent="0.35">
      <c r="C35" s="9" t="s">
        <v>277</v>
      </c>
      <c r="D35" s="13" t="s">
        <v>278</v>
      </c>
      <c r="E35" s="90" t="s">
        <v>5</v>
      </c>
      <c r="F35" s="90"/>
      <c r="G35" s="9" t="s">
        <v>279</v>
      </c>
    </row>
    <row r="36" spans="3:7" x14ac:dyDescent="0.35">
      <c r="C36" s="6" t="s">
        <v>80</v>
      </c>
      <c r="D36" s="2" t="s">
        <v>24</v>
      </c>
      <c r="E36" s="89" t="s">
        <v>222</v>
      </c>
      <c r="F36" s="89"/>
      <c r="G36" s="2">
        <v>596500000</v>
      </c>
    </row>
    <row r="37" spans="3:7" x14ac:dyDescent="0.35">
      <c r="C37" s="6" t="s">
        <v>80</v>
      </c>
      <c r="D37" s="2" t="s">
        <v>24</v>
      </c>
      <c r="E37" s="89" t="s">
        <v>220</v>
      </c>
      <c r="F37" s="89"/>
      <c r="G37" s="2">
        <v>403500000</v>
      </c>
    </row>
    <row r="38" spans="3:7" x14ac:dyDescent="0.35">
      <c r="C38" s="6" t="s">
        <v>80</v>
      </c>
      <c r="D38" s="2" t="s">
        <v>24</v>
      </c>
      <c r="E38" s="89" t="s">
        <v>184</v>
      </c>
      <c r="F38" s="89"/>
      <c r="G38" s="2">
        <v>900200000</v>
      </c>
    </row>
    <row r="39" spans="3:7" x14ac:dyDescent="0.35">
      <c r="C39" s="6" t="s">
        <v>80</v>
      </c>
      <c r="D39" s="2" t="s">
        <v>24</v>
      </c>
      <c r="E39" s="89" t="s">
        <v>237</v>
      </c>
      <c r="F39" s="89"/>
      <c r="G39" s="2">
        <v>432858000</v>
      </c>
    </row>
    <row r="40" spans="3:7" x14ac:dyDescent="0.35">
      <c r="C40" s="6" t="s">
        <v>80</v>
      </c>
      <c r="D40" s="2" t="s">
        <v>24</v>
      </c>
      <c r="E40" s="89" t="s">
        <v>146</v>
      </c>
      <c r="F40" s="89"/>
      <c r="G40" s="2">
        <v>323006000</v>
      </c>
    </row>
    <row r="41" spans="3:7" x14ac:dyDescent="0.35">
      <c r="C41" s="6" t="s">
        <v>80</v>
      </c>
      <c r="D41" s="2" t="s">
        <v>24</v>
      </c>
      <c r="E41" s="89" t="s">
        <v>106</v>
      </c>
      <c r="F41" s="89"/>
      <c r="G41" s="2">
        <v>1200000000</v>
      </c>
    </row>
    <row r="42" spans="3:7" x14ac:dyDescent="0.35">
      <c r="C42" s="6" t="s">
        <v>80</v>
      </c>
      <c r="D42" s="2" t="s">
        <v>24</v>
      </c>
      <c r="E42" s="89" t="s">
        <v>19</v>
      </c>
      <c r="F42" s="89"/>
      <c r="G42" s="2">
        <v>2214252160</v>
      </c>
    </row>
    <row r="43" spans="3:7" x14ac:dyDescent="0.35">
      <c r="C43" s="6" t="s">
        <v>80</v>
      </c>
      <c r="D43" s="2" t="s">
        <v>24</v>
      </c>
      <c r="E43" s="89" t="s">
        <v>116</v>
      </c>
      <c r="F43" s="89"/>
      <c r="G43" s="2">
        <v>170000000</v>
      </c>
    </row>
    <row r="44" spans="3:7" x14ac:dyDescent="0.35">
      <c r="C44" s="6" t="s">
        <v>80</v>
      </c>
      <c r="D44" s="2" t="s">
        <v>24</v>
      </c>
      <c r="E44" s="89" t="s">
        <v>152</v>
      </c>
      <c r="F44" s="89"/>
      <c r="G44" s="2">
        <v>450718000</v>
      </c>
    </row>
    <row r="45" spans="3:7" x14ac:dyDescent="0.35">
      <c r="C45" s="91" t="s">
        <v>105</v>
      </c>
      <c r="D45" s="95"/>
      <c r="E45" s="95"/>
      <c r="F45" s="92"/>
      <c r="G45" s="8">
        <f>SUM(G36:G44)</f>
        <v>6691034160</v>
      </c>
    </row>
    <row r="47" spans="3:7" x14ac:dyDescent="0.35">
      <c r="C47" s="12" t="s">
        <v>287</v>
      </c>
    </row>
    <row r="48" spans="3:7" x14ac:dyDescent="0.35">
      <c r="C48" s="9" t="s">
        <v>277</v>
      </c>
      <c r="D48" s="13" t="s">
        <v>278</v>
      </c>
      <c r="E48" s="90" t="s">
        <v>5</v>
      </c>
      <c r="F48" s="90"/>
      <c r="G48" s="9" t="s">
        <v>279</v>
      </c>
    </row>
    <row r="49" spans="3:7" x14ac:dyDescent="0.35">
      <c r="C49" s="6" t="s">
        <v>188</v>
      </c>
      <c r="D49" s="2" t="s">
        <v>192</v>
      </c>
      <c r="E49" s="89" t="s">
        <v>184</v>
      </c>
      <c r="F49" s="89"/>
      <c r="G49" s="6">
        <v>575315000</v>
      </c>
    </row>
    <row r="50" spans="3:7" x14ac:dyDescent="0.35">
      <c r="C50" s="6" t="s">
        <v>188</v>
      </c>
      <c r="D50" s="2" t="s">
        <v>187</v>
      </c>
      <c r="E50" s="89" t="s">
        <v>184</v>
      </c>
      <c r="F50" s="89"/>
      <c r="G50" s="6">
        <v>2724485000</v>
      </c>
    </row>
    <row r="51" spans="3:7" x14ac:dyDescent="0.35">
      <c r="C51" s="91" t="s">
        <v>105</v>
      </c>
      <c r="D51" s="95"/>
      <c r="E51" s="95"/>
      <c r="F51" s="92"/>
      <c r="G51" s="7">
        <f>SUM(G49:G50)</f>
        <v>3299800000</v>
      </c>
    </row>
    <row r="54" spans="3:7" x14ac:dyDescent="0.35">
      <c r="C54" s="14"/>
      <c r="D54" s="14"/>
      <c r="E54" s="96" t="s">
        <v>280</v>
      </c>
      <c r="F54" s="96"/>
      <c r="G54" s="96"/>
    </row>
    <row r="56" spans="3:7" x14ac:dyDescent="0.35">
      <c r="E56" s="12" t="s">
        <v>285</v>
      </c>
    </row>
    <row r="57" spans="3:7" x14ac:dyDescent="0.35">
      <c r="E57" s="90" t="s">
        <v>283</v>
      </c>
      <c r="F57" s="90"/>
      <c r="G57" s="9" t="s">
        <v>279</v>
      </c>
    </row>
    <row r="58" spans="3:7" x14ac:dyDescent="0.35">
      <c r="E58" s="94" t="s">
        <v>47</v>
      </c>
      <c r="F58" s="94"/>
      <c r="G58" s="6">
        <v>2490000000</v>
      </c>
    </row>
    <row r="59" spans="3:7" x14ac:dyDescent="0.35">
      <c r="E59" s="94" t="s">
        <v>95</v>
      </c>
      <c r="F59" s="94"/>
      <c r="G59" s="6">
        <v>1400000000</v>
      </c>
    </row>
    <row r="60" spans="3:7" x14ac:dyDescent="0.35">
      <c r="E60" s="94" t="s">
        <v>101</v>
      </c>
      <c r="F60" s="94"/>
      <c r="G60" s="6">
        <v>60000000</v>
      </c>
    </row>
    <row r="61" spans="3:7" x14ac:dyDescent="0.35">
      <c r="E61" s="94" t="s">
        <v>50</v>
      </c>
      <c r="F61" s="94"/>
      <c r="G61" s="6">
        <v>12229155840</v>
      </c>
    </row>
    <row r="62" spans="3:7" x14ac:dyDescent="0.35">
      <c r="E62" s="94" t="s">
        <v>98</v>
      </c>
      <c r="F62" s="94"/>
      <c r="G62" s="6">
        <v>375000000</v>
      </c>
    </row>
    <row r="63" spans="3:7" x14ac:dyDescent="0.35">
      <c r="E63" s="94" t="s">
        <v>29</v>
      </c>
      <c r="F63" s="94"/>
      <c r="G63" s="6">
        <v>92758400</v>
      </c>
    </row>
    <row r="64" spans="3:7" x14ac:dyDescent="0.35">
      <c r="E64" s="94" t="s">
        <v>99</v>
      </c>
      <c r="F64" s="94"/>
      <c r="G64" s="6">
        <v>120000000</v>
      </c>
    </row>
    <row r="65" spans="5:7" x14ac:dyDescent="0.35">
      <c r="E65" s="94" t="s">
        <v>23</v>
      </c>
      <c r="F65" s="94"/>
      <c r="G65" s="6">
        <v>10259061600</v>
      </c>
    </row>
    <row r="66" spans="5:7" x14ac:dyDescent="0.35">
      <c r="E66" s="94" t="s">
        <v>56</v>
      </c>
      <c r="F66" s="94"/>
      <c r="G66" s="6">
        <v>500000000</v>
      </c>
    </row>
    <row r="67" spans="5:7" x14ac:dyDescent="0.35">
      <c r="E67" s="94" t="s">
        <v>53</v>
      </c>
      <c r="F67" s="94"/>
      <c r="G67" s="6">
        <v>100000000</v>
      </c>
    </row>
    <row r="68" spans="5:7" x14ac:dyDescent="0.35">
      <c r="E68" s="94" t="s">
        <v>93</v>
      </c>
      <c r="F68" s="94"/>
      <c r="G68" s="6">
        <v>4350000000</v>
      </c>
    </row>
    <row r="69" spans="5:7" x14ac:dyDescent="0.35">
      <c r="E69" s="94" t="s">
        <v>37</v>
      </c>
      <c r="F69" s="94"/>
      <c r="G69" s="6">
        <v>553200000</v>
      </c>
    </row>
    <row r="70" spans="5:7" x14ac:dyDescent="0.35">
      <c r="E70" s="97" t="s">
        <v>105</v>
      </c>
      <c r="F70" s="97"/>
      <c r="G70" s="7">
        <f>SUM(G58:G69)</f>
        <v>32529175840</v>
      </c>
    </row>
    <row r="72" spans="5:7" x14ac:dyDescent="0.35">
      <c r="E72" s="12" t="s">
        <v>286</v>
      </c>
    </row>
    <row r="73" spans="5:7" x14ac:dyDescent="0.35">
      <c r="E73" s="90" t="s">
        <v>283</v>
      </c>
      <c r="F73" s="90"/>
      <c r="G73" s="9" t="s">
        <v>279</v>
      </c>
    </row>
    <row r="74" spans="5:7" x14ac:dyDescent="0.35">
      <c r="E74" s="94" t="s">
        <v>29</v>
      </c>
      <c r="F74" s="94"/>
      <c r="G74" s="6">
        <v>1177022750</v>
      </c>
    </row>
    <row r="75" spans="5:7" x14ac:dyDescent="0.35">
      <c r="E75" s="94" t="s">
        <v>23</v>
      </c>
      <c r="F75" s="94"/>
      <c r="G75" s="6">
        <v>5514011410</v>
      </c>
    </row>
    <row r="76" spans="5:7" x14ac:dyDescent="0.35">
      <c r="E76" s="97" t="s">
        <v>105</v>
      </c>
      <c r="F76" s="97"/>
      <c r="G76" s="7">
        <f>SUM(G74:G75)</f>
        <v>6691034160</v>
      </c>
    </row>
    <row r="79" spans="5:7" x14ac:dyDescent="0.35">
      <c r="E79" s="12" t="s">
        <v>287</v>
      </c>
    </row>
    <row r="80" spans="5:7" x14ac:dyDescent="0.35">
      <c r="E80" s="90" t="s">
        <v>283</v>
      </c>
      <c r="F80" s="90"/>
      <c r="G80" s="9" t="s">
        <v>279</v>
      </c>
    </row>
    <row r="81" spans="5:7" x14ac:dyDescent="0.35">
      <c r="E81" s="2" t="s">
        <v>211</v>
      </c>
      <c r="F81" s="2"/>
      <c r="G81" s="6">
        <v>60000000</v>
      </c>
    </row>
    <row r="82" spans="5:7" x14ac:dyDescent="0.35">
      <c r="E82" s="2" t="s">
        <v>198</v>
      </c>
      <c r="F82" s="2"/>
      <c r="G82" s="6">
        <v>100000000</v>
      </c>
    </row>
    <row r="83" spans="5:7" x14ac:dyDescent="0.35">
      <c r="E83" s="2" t="s">
        <v>191</v>
      </c>
      <c r="F83" s="2"/>
      <c r="G83" s="6">
        <v>1103500000</v>
      </c>
    </row>
    <row r="84" spans="5:7" x14ac:dyDescent="0.35">
      <c r="E84" s="2" t="s">
        <v>186</v>
      </c>
      <c r="F84" s="2"/>
      <c r="G84" s="6">
        <v>1015756100</v>
      </c>
    </row>
    <row r="85" spans="5:7" x14ac:dyDescent="0.35">
      <c r="E85" s="2" t="s">
        <v>23</v>
      </c>
      <c r="F85" s="2"/>
      <c r="G85" s="6">
        <v>1020543900</v>
      </c>
    </row>
    <row r="86" spans="5:7" x14ac:dyDescent="0.35">
      <c r="E86" s="97" t="s">
        <v>105</v>
      </c>
      <c r="F86" s="97"/>
      <c r="G86" s="7">
        <f>SUM(G81:G85)</f>
        <v>3299800000</v>
      </c>
    </row>
  </sheetData>
  <mergeCells count="60">
    <mergeCell ref="E80:F80"/>
    <mergeCell ref="E64:F64"/>
    <mergeCell ref="E86:F86"/>
    <mergeCell ref="E66:F66"/>
    <mergeCell ref="E67:F67"/>
    <mergeCell ref="E68:F68"/>
    <mergeCell ref="E69:F69"/>
    <mergeCell ref="E70:F70"/>
    <mergeCell ref="E73:F73"/>
    <mergeCell ref="E74:F74"/>
    <mergeCell ref="E75:F75"/>
    <mergeCell ref="E76:F76"/>
    <mergeCell ref="E3:J3"/>
    <mergeCell ref="E57:F57"/>
    <mergeCell ref="E58:F58"/>
    <mergeCell ref="E59:F59"/>
    <mergeCell ref="E50:F50"/>
    <mergeCell ref="C51:F51"/>
    <mergeCell ref="E27:F27"/>
    <mergeCell ref="C45:F45"/>
    <mergeCell ref="E43:F43"/>
    <mergeCell ref="E44:F44"/>
    <mergeCell ref="E48:F48"/>
    <mergeCell ref="E41:F41"/>
    <mergeCell ref="E42:F42"/>
    <mergeCell ref="E39:F39"/>
    <mergeCell ref="E40:F40"/>
    <mergeCell ref="E38:F38"/>
    <mergeCell ref="E36:F36"/>
    <mergeCell ref="E35:F35"/>
    <mergeCell ref="E28:F28"/>
    <mergeCell ref="E65:F65"/>
    <mergeCell ref="E29:F29"/>
    <mergeCell ref="E30:F30"/>
    <mergeCell ref="E31:F31"/>
    <mergeCell ref="C32:F32"/>
    <mergeCell ref="E37:F37"/>
    <mergeCell ref="E60:F60"/>
    <mergeCell ref="E49:F49"/>
    <mergeCell ref="E61:F61"/>
    <mergeCell ref="E62:F62"/>
    <mergeCell ref="E63:F63"/>
    <mergeCell ref="E54:G54"/>
    <mergeCell ref="E16:F16"/>
    <mergeCell ref="E26:F26"/>
    <mergeCell ref="E23:F23"/>
    <mergeCell ref="E24:F24"/>
    <mergeCell ref="E25:F25"/>
    <mergeCell ref="E17:F17"/>
    <mergeCell ref="C20:G20"/>
    <mergeCell ref="E11:F11"/>
    <mergeCell ref="E12:F12"/>
    <mergeCell ref="E13:F13"/>
    <mergeCell ref="E14:F14"/>
    <mergeCell ref="E15:F15"/>
    <mergeCell ref="E6:F6"/>
    <mergeCell ref="E7:F7"/>
    <mergeCell ref="E8:F8"/>
    <mergeCell ref="E9:F9"/>
    <mergeCell ref="E10: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VR 11 - 2024</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alberto Abril Bernal</dc:creator>
  <cp:lastModifiedBy>Jose alberto Abril Bernal</cp:lastModifiedBy>
  <dcterms:created xsi:type="dcterms:W3CDTF">2023-10-09T19:40:49Z</dcterms:created>
  <dcterms:modified xsi:type="dcterms:W3CDTF">2024-04-26T12:28:42Z</dcterms:modified>
</cp:coreProperties>
</file>