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1. PAA 2026 BOGOTA CAMINA SEGURA/MODIF PAA VR 5 A VR 6 - 2026 UAECOB/"/>
    </mc:Choice>
  </mc:AlternateContent>
  <xr:revisionPtr revIDLastSave="316" documentId="8_{49A1457E-0247-43FF-AF96-F74823615EBC}" xr6:coauthVersionLast="47" xr6:coauthVersionMax="47" xr10:uidLastSave="{E536B7B8-5A9B-4BF1-A56C-E9787AC6A237}"/>
  <bookViews>
    <workbookView xWindow="-110" yWindow="-110" windowWidth="19420" windowHeight="11500" tabRatio="702" firstSheet="1" activeTab="1" xr2:uid="{00000000-000D-0000-FFFF-FFFF00000000}"/>
  </bookViews>
  <sheets>
    <sheet name="Hoja1" sheetId="14" state="hidden" r:id="rId1"/>
    <sheet name="PAA VR6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Hoja1!$C$2:$C$10</definedName>
    <definedName name="_xlnm._FilterDatabase" localSheetId="1" hidden="1">'PAA VR6 2026 UAECOB BCS'!#REF!</definedName>
    <definedName name="_xlnm._FilterDatabase" localSheetId="4" hidden="1">TD!$J$66:$K$66</definedName>
    <definedName name="_Hlk177992892" localSheetId="1">'PAA VR6 2026 UAECOB BCS'!#REF!</definedName>
    <definedName name="Sec_Prog_MGA">#REF!</definedName>
  </definedNames>
  <calcPr calcId="191029"/>
  <pivotCaches>
    <pivotCache cacheId="13"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2" i="1" l="1"/>
  <c r="AC42" i="1" s="1"/>
  <c r="Y42" i="1"/>
  <c r="Z42" i="1" s="1"/>
  <c r="AB41" i="1"/>
  <c r="AC41" i="1" s="1"/>
  <c r="Y41" i="1"/>
  <c r="Z41" i="1" s="1"/>
  <c r="AB40" i="1"/>
  <c r="AC40" i="1" s="1"/>
  <c r="Y40" i="1"/>
  <c r="Z40" i="1" s="1"/>
  <c r="U5" i="1"/>
  <c r="S42" i="1"/>
  <c r="T42" i="1"/>
  <c r="U42" i="1"/>
  <c r="V42" i="1"/>
  <c r="W42" i="1"/>
  <c r="S41" i="1"/>
  <c r="T41" i="1"/>
  <c r="U41" i="1"/>
  <c r="V41" i="1"/>
  <c r="W41" i="1"/>
  <c r="T40" i="1"/>
  <c r="U40" i="1"/>
  <c r="V40" i="1"/>
  <c r="W40" i="1"/>
  <c r="AB39" i="1"/>
  <c r="Y39" i="1"/>
  <c r="AI41" i="1" l="1"/>
  <c r="AI42" i="1"/>
  <c r="AE42" i="1"/>
  <c r="AE41" i="1"/>
  <c r="AD42" i="1"/>
  <c r="AF42" i="1" s="1"/>
  <c r="AD41" i="1"/>
  <c r="AF41" i="1" s="1"/>
  <c r="AD40" i="1"/>
  <c r="AF40" i="1" s="1"/>
  <c r="AE40" i="1"/>
  <c r="AI40" i="1"/>
  <c r="S39" i="1"/>
  <c r="T39" i="1"/>
  <c r="U39" i="1"/>
  <c r="V39" i="1"/>
  <c r="W39" i="1"/>
  <c r="Z39" i="1"/>
  <c r="AC39" i="1"/>
  <c r="AI39" i="1" l="1"/>
  <c r="AD39" i="1"/>
  <c r="AF39" i="1" s="1"/>
  <c r="AE39" i="1"/>
  <c r="J36" i="1" l="1"/>
  <c r="J18" i="1"/>
  <c r="J231" i="1"/>
  <c r="AB662" i="1"/>
  <c r="AC662" i="1" s="1"/>
  <c r="Y662" i="1"/>
  <c r="Z662" i="1" s="1"/>
  <c r="S662" i="1"/>
  <c r="T662" i="1"/>
  <c r="U662" i="1"/>
  <c r="V662" i="1"/>
  <c r="W662" i="1"/>
  <c r="AB661" i="1"/>
  <c r="AC661" i="1" s="1"/>
  <c r="Y661" i="1"/>
  <c r="Z661" i="1" s="1"/>
  <c r="AB660" i="1"/>
  <c r="AC660" i="1" s="1"/>
  <c r="Y660" i="1"/>
  <c r="Z660" i="1" s="1"/>
  <c r="S661" i="1"/>
  <c r="T661" i="1"/>
  <c r="U661" i="1"/>
  <c r="V661" i="1"/>
  <c r="W661" i="1"/>
  <c r="S660" i="1"/>
  <c r="T660" i="1"/>
  <c r="U660" i="1"/>
  <c r="V660" i="1"/>
  <c r="W660" i="1"/>
  <c r="J646" i="1"/>
  <c r="J584" i="1"/>
  <c r="J583" i="1"/>
  <c r="J582" i="1"/>
  <c r="J571" i="1"/>
  <c r="AB659" i="1"/>
  <c r="AC659" i="1" s="1"/>
  <c r="Y659" i="1"/>
  <c r="Z659" i="1" s="1"/>
  <c r="S659" i="1"/>
  <c r="T659" i="1"/>
  <c r="U659" i="1"/>
  <c r="V659" i="1"/>
  <c r="W659" i="1"/>
  <c r="AB658" i="1"/>
  <c r="AC658" i="1" s="1"/>
  <c r="Y658" i="1"/>
  <c r="Z658" i="1" s="1"/>
  <c r="AB657" i="1"/>
  <c r="AC657" i="1" s="1"/>
  <c r="Y657" i="1"/>
  <c r="Z657" i="1" s="1"/>
  <c r="AB656" i="1"/>
  <c r="AC656" i="1" s="1"/>
  <c r="AB655" i="1"/>
  <c r="AC655" i="1" s="1"/>
  <c r="AB654" i="1"/>
  <c r="AC654" i="1" s="1"/>
  <c r="AB653" i="1"/>
  <c r="AC653" i="1" s="1"/>
  <c r="AB652" i="1"/>
  <c r="AC652" i="1" s="1"/>
  <c r="Y656" i="1"/>
  <c r="Z656" i="1" s="1"/>
  <c r="Y655" i="1"/>
  <c r="Z655" i="1" s="1"/>
  <c r="Y654" i="1"/>
  <c r="Z654" i="1" s="1"/>
  <c r="Y653" i="1"/>
  <c r="Z653" i="1" s="1"/>
  <c r="Y652" i="1"/>
  <c r="Z652" i="1" s="1"/>
  <c r="AB651" i="1"/>
  <c r="AC651" i="1" s="1"/>
  <c r="Y651" i="1"/>
  <c r="Z651" i="1" s="1"/>
  <c r="AB650" i="1"/>
  <c r="AC650" i="1" s="1"/>
  <c r="Y650" i="1"/>
  <c r="Z650" i="1" s="1"/>
  <c r="S658" i="1"/>
  <c r="T658" i="1"/>
  <c r="U658" i="1"/>
  <c r="V658" i="1"/>
  <c r="W658" i="1"/>
  <c r="S657" i="1"/>
  <c r="T657" i="1"/>
  <c r="U657" i="1"/>
  <c r="V657" i="1"/>
  <c r="W657" i="1"/>
  <c r="S656" i="1"/>
  <c r="T656" i="1"/>
  <c r="U656" i="1"/>
  <c r="V656" i="1"/>
  <c r="W656" i="1"/>
  <c r="S655" i="1"/>
  <c r="T655" i="1"/>
  <c r="U655" i="1"/>
  <c r="V655" i="1"/>
  <c r="W655" i="1"/>
  <c r="S654" i="1"/>
  <c r="T654" i="1"/>
  <c r="U654" i="1"/>
  <c r="V654" i="1"/>
  <c r="W654" i="1"/>
  <c r="S653" i="1"/>
  <c r="T653" i="1"/>
  <c r="U653" i="1"/>
  <c r="V653" i="1"/>
  <c r="W653" i="1"/>
  <c r="S652" i="1"/>
  <c r="T652" i="1"/>
  <c r="U652" i="1"/>
  <c r="V652" i="1"/>
  <c r="W652" i="1"/>
  <c r="S651" i="1"/>
  <c r="T651" i="1"/>
  <c r="U651" i="1"/>
  <c r="V651" i="1"/>
  <c r="W651" i="1"/>
  <c r="S650" i="1"/>
  <c r="T650" i="1"/>
  <c r="U650" i="1"/>
  <c r="V650" i="1"/>
  <c r="W650" i="1"/>
  <c r="AB649" i="1"/>
  <c r="AC649" i="1" s="1"/>
  <c r="Y649" i="1"/>
  <c r="Z649" i="1" s="1"/>
  <c r="S649" i="1"/>
  <c r="T649" i="1"/>
  <c r="U649" i="1"/>
  <c r="V649" i="1"/>
  <c r="W649" i="1"/>
  <c r="AB648" i="1"/>
  <c r="AC648" i="1" s="1"/>
  <c r="Y648" i="1"/>
  <c r="Z648" i="1" s="1"/>
  <c r="S648" i="1"/>
  <c r="T648" i="1"/>
  <c r="U648" i="1"/>
  <c r="V648" i="1"/>
  <c r="W648" i="1"/>
  <c r="J578" i="1"/>
  <c r="J576" i="1"/>
  <c r="J572" i="1"/>
  <c r="AB647" i="1"/>
  <c r="AC647" i="1" s="1"/>
  <c r="Y647" i="1"/>
  <c r="Z647" i="1" s="1"/>
  <c r="S647" i="1"/>
  <c r="T647" i="1"/>
  <c r="U647" i="1"/>
  <c r="V647" i="1"/>
  <c r="W647" i="1"/>
  <c r="J535" i="1"/>
  <c r="AB646" i="1"/>
  <c r="AC646" i="1" s="1"/>
  <c r="Y646" i="1"/>
  <c r="Z646" i="1" s="1"/>
  <c r="S646" i="1"/>
  <c r="T646" i="1"/>
  <c r="U646" i="1"/>
  <c r="V646" i="1"/>
  <c r="W646" i="1"/>
  <c r="AB645" i="1"/>
  <c r="AC645" i="1" s="1"/>
  <c r="Y645" i="1"/>
  <c r="Z645" i="1" s="1"/>
  <c r="J12" i="1"/>
  <c r="S645" i="1"/>
  <c r="T645" i="1"/>
  <c r="U645" i="1"/>
  <c r="V645" i="1"/>
  <c r="W645" i="1"/>
  <c r="AB644" i="1"/>
  <c r="AC644" i="1" s="1"/>
  <c r="Y644" i="1"/>
  <c r="Z644" i="1" s="1"/>
  <c r="J112" i="1"/>
  <c r="J111" i="1"/>
  <c r="J100" i="1"/>
  <c r="J99" i="1"/>
  <c r="J118" i="1"/>
  <c r="AB38" i="1"/>
  <c r="AC38" i="1" s="1"/>
  <c r="Y38" i="1"/>
  <c r="Z38" i="1" s="1"/>
  <c r="J114" i="1"/>
  <c r="AB643" i="1"/>
  <c r="AC643" i="1" s="1"/>
  <c r="Y643" i="1"/>
  <c r="Z643" i="1" s="1"/>
  <c r="S644" i="1"/>
  <c r="T644" i="1"/>
  <c r="U644" i="1"/>
  <c r="V644" i="1"/>
  <c r="W644" i="1"/>
  <c r="S38" i="1"/>
  <c r="T38" i="1"/>
  <c r="U38" i="1"/>
  <c r="V38" i="1"/>
  <c r="W38" i="1"/>
  <c r="S643" i="1"/>
  <c r="T643" i="1"/>
  <c r="U643" i="1"/>
  <c r="V643" i="1"/>
  <c r="W643" i="1"/>
  <c r="J91" i="1"/>
  <c r="J74" i="1"/>
  <c r="AB642" i="1"/>
  <c r="AC642" i="1" s="1"/>
  <c r="Y642" i="1"/>
  <c r="Z642" i="1" s="1"/>
  <c r="AB641" i="1"/>
  <c r="AC641" i="1" s="1"/>
  <c r="Y641" i="1"/>
  <c r="Z641" i="1" s="1"/>
  <c r="S642" i="1"/>
  <c r="T642" i="1"/>
  <c r="U642" i="1"/>
  <c r="V642" i="1"/>
  <c r="W642" i="1"/>
  <c r="S641" i="1"/>
  <c r="T641" i="1"/>
  <c r="U641" i="1"/>
  <c r="V641" i="1"/>
  <c r="W641" i="1"/>
  <c r="AB640" i="1"/>
  <c r="AC640" i="1" s="1"/>
  <c r="Y640" i="1"/>
  <c r="Z640" i="1" s="1"/>
  <c r="AB639" i="1"/>
  <c r="AC639" i="1" s="1"/>
  <c r="Y639" i="1"/>
  <c r="Z639" i="1" s="1"/>
  <c r="S640" i="1"/>
  <c r="T640" i="1"/>
  <c r="U640" i="1"/>
  <c r="V640" i="1"/>
  <c r="W640" i="1"/>
  <c r="S639" i="1"/>
  <c r="T639" i="1"/>
  <c r="U639" i="1"/>
  <c r="V639" i="1"/>
  <c r="W639" i="1"/>
  <c r="AB638" i="1"/>
  <c r="AC638" i="1" s="1"/>
  <c r="Y638" i="1"/>
  <c r="Z638" i="1" s="1"/>
  <c r="S638" i="1"/>
  <c r="T638" i="1"/>
  <c r="U638" i="1"/>
  <c r="V638" i="1"/>
  <c r="W638" i="1"/>
  <c r="AB637" i="1"/>
  <c r="AC637" i="1" s="1"/>
  <c r="Y637" i="1"/>
  <c r="Z637" i="1" s="1"/>
  <c r="AB636" i="1"/>
  <c r="AC636" i="1" s="1"/>
  <c r="Y636" i="1"/>
  <c r="Z636" i="1" s="1"/>
  <c r="S637" i="1"/>
  <c r="T637" i="1"/>
  <c r="U637" i="1"/>
  <c r="V637" i="1"/>
  <c r="W637" i="1"/>
  <c r="S636" i="1"/>
  <c r="T636" i="1"/>
  <c r="U636" i="1"/>
  <c r="V636" i="1"/>
  <c r="W636" i="1"/>
  <c r="AB635" i="1"/>
  <c r="AC635" i="1" s="1"/>
  <c r="Y635" i="1"/>
  <c r="Z635" i="1" s="1"/>
  <c r="AB634" i="1"/>
  <c r="AC634" i="1" s="1"/>
  <c r="Y634" i="1"/>
  <c r="Z634" i="1" s="1"/>
  <c r="S635" i="1"/>
  <c r="T635" i="1"/>
  <c r="U635" i="1"/>
  <c r="V635" i="1"/>
  <c r="W635" i="1"/>
  <c r="S634" i="1"/>
  <c r="T634" i="1"/>
  <c r="U634" i="1"/>
  <c r="V634" i="1"/>
  <c r="W634" i="1"/>
  <c r="AB633" i="1"/>
  <c r="AC633" i="1" s="1"/>
  <c r="Y633" i="1"/>
  <c r="Z633" i="1" s="1"/>
  <c r="AB632" i="1"/>
  <c r="AC632" i="1" s="1"/>
  <c r="Y632" i="1"/>
  <c r="Z632" i="1" s="1"/>
  <c r="S632" i="1"/>
  <c r="S633" i="1"/>
  <c r="T632" i="1"/>
  <c r="T633" i="1"/>
  <c r="U632" i="1"/>
  <c r="U633" i="1"/>
  <c r="V632" i="1"/>
  <c r="V633" i="1"/>
  <c r="W632" i="1"/>
  <c r="W633" i="1"/>
  <c r="AB37" i="1"/>
  <c r="AC37" i="1" s="1"/>
  <c r="Y37" i="1"/>
  <c r="Z37" i="1" s="1"/>
  <c r="S37" i="1"/>
  <c r="T37" i="1"/>
  <c r="U37" i="1"/>
  <c r="V37" i="1"/>
  <c r="W37" i="1"/>
  <c r="AB631" i="1"/>
  <c r="AC631" i="1" s="1"/>
  <c r="Y631" i="1"/>
  <c r="Z631" i="1" s="1"/>
  <c r="S631" i="1"/>
  <c r="T631" i="1"/>
  <c r="U631" i="1"/>
  <c r="V631" i="1"/>
  <c r="W631" i="1"/>
  <c r="AB630" i="1"/>
  <c r="AC630" i="1" s="1"/>
  <c r="Y630" i="1"/>
  <c r="Z630" i="1" s="1"/>
  <c r="S630" i="1"/>
  <c r="T630" i="1"/>
  <c r="U630" i="1"/>
  <c r="V630" i="1"/>
  <c r="W630" i="1"/>
  <c r="AB629" i="1"/>
  <c r="AC629" i="1" s="1"/>
  <c r="Y629" i="1"/>
  <c r="Z629" i="1" s="1"/>
  <c r="S629" i="1"/>
  <c r="T629" i="1"/>
  <c r="U629" i="1"/>
  <c r="V629" i="1"/>
  <c r="W629" i="1"/>
  <c r="AB36" i="1"/>
  <c r="AC36" i="1" s="1"/>
  <c r="Y36" i="1"/>
  <c r="Z36" i="1" s="1"/>
  <c r="AB628" i="1"/>
  <c r="AC628" i="1" s="1"/>
  <c r="Y628" i="1"/>
  <c r="Z628" i="1" s="1"/>
  <c r="AB627" i="1"/>
  <c r="AC627" i="1" s="1"/>
  <c r="Y627" i="1"/>
  <c r="Z627" i="1" s="1"/>
  <c r="S36" i="1"/>
  <c r="T36" i="1"/>
  <c r="U36" i="1"/>
  <c r="V36" i="1"/>
  <c r="W36" i="1"/>
  <c r="S628" i="1"/>
  <c r="T628" i="1"/>
  <c r="U628" i="1"/>
  <c r="V628" i="1"/>
  <c r="W628" i="1"/>
  <c r="S627" i="1"/>
  <c r="T627" i="1"/>
  <c r="U627" i="1"/>
  <c r="V627" i="1"/>
  <c r="W627" i="1"/>
  <c r="AB626" i="1"/>
  <c r="AC626" i="1" s="1"/>
  <c r="Y626" i="1"/>
  <c r="Z626" i="1" s="1"/>
  <c r="AB625" i="1"/>
  <c r="AC625" i="1" s="1"/>
  <c r="Y625" i="1"/>
  <c r="Z625" i="1" s="1"/>
  <c r="S626" i="1"/>
  <c r="T626" i="1"/>
  <c r="U626" i="1"/>
  <c r="V626" i="1"/>
  <c r="W626" i="1"/>
  <c r="S625" i="1"/>
  <c r="T625" i="1"/>
  <c r="U625" i="1"/>
  <c r="V625" i="1"/>
  <c r="W625" i="1"/>
  <c r="AB624" i="1"/>
  <c r="AC624" i="1" s="1"/>
  <c r="Y624" i="1"/>
  <c r="Z624" i="1" s="1"/>
  <c r="S624" i="1"/>
  <c r="T624" i="1"/>
  <c r="U624" i="1"/>
  <c r="V624" i="1"/>
  <c r="W624" i="1"/>
  <c r="J623" i="1"/>
  <c r="AB623" i="1"/>
  <c r="AC623" i="1" s="1"/>
  <c r="Y623" i="1"/>
  <c r="Z623" i="1" s="1"/>
  <c r="S623" i="1"/>
  <c r="T623" i="1"/>
  <c r="U623" i="1"/>
  <c r="V623" i="1"/>
  <c r="W623" i="1"/>
  <c r="AB622" i="1"/>
  <c r="AC622" i="1" s="1"/>
  <c r="Y622" i="1"/>
  <c r="Z622" i="1" s="1"/>
  <c r="AB621" i="1"/>
  <c r="AC621" i="1" s="1"/>
  <c r="Y621" i="1"/>
  <c r="Z621" i="1" s="1"/>
  <c r="AB620" i="1"/>
  <c r="AC620" i="1" s="1"/>
  <c r="Y620" i="1"/>
  <c r="Z620" i="1" s="1"/>
  <c r="AB619" i="1"/>
  <c r="AC619" i="1" s="1"/>
  <c r="Y619" i="1"/>
  <c r="Z619" i="1" s="1"/>
  <c r="AB618" i="1"/>
  <c r="AC618" i="1" s="1"/>
  <c r="Y618" i="1"/>
  <c r="Z618" i="1" s="1"/>
  <c r="AB617" i="1"/>
  <c r="AC617" i="1" s="1"/>
  <c r="Y617" i="1"/>
  <c r="Z617" i="1" s="1"/>
  <c r="AB616" i="1"/>
  <c r="AC616" i="1" s="1"/>
  <c r="Y616" i="1"/>
  <c r="Z616" i="1" s="1"/>
  <c r="S617" i="1"/>
  <c r="S618" i="1"/>
  <c r="S619" i="1"/>
  <c r="S620" i="1"/>
  <c r="S621" i="1"/>
  <c r="S622" i="1"/>
  <c r="T617" i="1"/>
  <c r="T618" i="1"/>
  <c r="T619" i="1"/>
  <c r="T620" i="1"/>
  <c r="T621" i="1"/>
  <c r="T622" i="1"/>
  <c r="U617" i="1"/>
  <c r="U618" i="1"/>
  <c r="U619" i="1"/>
  <c r="U620" i="1"/>
  <c r="U621" i="1"/>
  <c r="U622" i="1"/>
  <c r="V617" i="1"/>
  <c r="V618" i="1"/>
  <c r="V619" i="1"/>
  <c r="V620" i="1"/>
  <c r="V621" i="1"/>
  <c r="V622" i="1"/>
  <c r="W617" i="1"/>
  <c r="W618" i="1"/>
  <c r="W619" i="1"/>
  <c r="W620" i="1"/>
  <c r="W621" i="1"/>
  <c r="W622" i="1"/>
  <c r="J614" i="1"/>
  <c r="J34" i="1"/>
  <c r="S616" i="1"/>
  <c r="T616" i="1"/>
  <c r="U616" i="1"/>
  <c r="V616" i="1"/>
  <c r="W616" i="1"/>
  <c r="Y615" i="1"/>
  <c r="Z615" i="1" s="1"/>
  <c r="AB615" i="1"/>
  <c r="AC615" i="1" s="1"/>
  <c r="S615" i="1"/>
  <c r="T615" i="1"/>
  <c r="U615" i="1"/>
  <c r="V615" i="1"/>
  <c r="W615" i="1"/>
  <c r="AB35" i="1"/>
  <c r="AC35" i="1" s="1"/>
  <c r="Y35" i="1"/>
  <c r="Z35" i="1" s="1"/>
  <c r="S35" i="1"/>
  <c r="T35" i="1"/>
  <c r="U35" i="1"/>
  <c r="V35" i="1"/>
  <c r="W35" i="1"/>
  <c r="AB614" i="1"/>
  <c r="AC614" i="1" s="1"/>
  <c r="Y614" i="1"/>
  <c r="Z614" i="1" s="1"/>
  <c r="AB34" i="1"/>
  <c r="AC34" i="1" s="1"/>
  <c r="Y34" i="1"/>
  <c r="Z34" i="1" s="1"/>
  <c r="S614" i="1"/>
  <c r="T614" i="1"/>
  <c r="U614" i="1"/>
  <c r="V614" i="1"/>
  <c r="W614" i="1"/>
  <c r="S34" i="1"/>
  <c r="T34" i="1"/>
  <c r="U34" i="1"/>
  <c r="V34" i="1"/>
  <c r="W34" i="1"/>
  <c r="AB613" i="1"/>
  <c r="AC613" i="1" s="1"/>
  <c r="AB612" i="1"/>
  <c r="AC612" i="1" s="1"/>
  <c r="AB611" i="1"/>
  <c r="AC611" i="1" s="1"/>
  <c r="AB610" i="1"/>
  <c r="AC610" i="1" s="1"/>
  <c r="AB609" i="1"/>
  <c r="AC609" i="1" s="1"/>
  <c r="AB608" i="1"/>
  <c r="AC608" i="1" s="1"/>
  <c r="AB607" i="1"/>
  <c r="AC607" i="1" s="1"/>
  <c r="AB606" i="1"/>
  <c r="AC606" i="1" s="1"/>
  <c r="AB605" i="1"/>
  <c r="AC605" i="1" s="1"/>
  <c r="AB604" i="1"/>
  <c r="AC604" i="1" s="1"/>
  <c r="AB603" i="1"/>
  <c r="AC603" i="1" s="1"/>
  <c r="Y613" i="1"/>
  <c r="Z613" i="1" s="1"/>
  <c r="Y612" i="1"/>
  <c r="Z612" i="1" s="1"/>
  <c r="Y611" i="1"/>
  <c r="Z611" i="1" s="1"/>
  <c r="Y610" i="1"/>
  <c r="Z610" i="1" s="1"/>
  <c r="Y609" i="1"/>
  <c r="Z609" i="1" s="1"/>
  <c r="Y608" i="1"/>
  <c r="Z608" i="1" s="1"/>
  <c r="Y607" i="1"/>
  <c r="Z607" i="1" s="1"/>
  <c r="Y606" i="1"/>
  <c r="Z606" i="1" s="1"/>
  <c r="Y605" i="1"/>
  <c r="Z605" i="1" s="1"/>
  <c r="Y604" i="1"/>
  <c r="Z604" i="1" s="1"/>
  <c r="Y603" i="1"/>
  <c r="Z603" i="1" s="1"/>
  <c r="S613" i="1"/>
  <c r="T613" i="1"/>
  <c r="U613" i="1"/>
  <c r="V613" i="1"/>
  <c r="W613" i="1"/>
  <c r="S612" i="1"/>
  <c r="T612" i="1"/>
  <c r="U612" i="1"/>
  <c r="V612" i="1"/>
  <c r="W612" i="1"/>
  <c r="S611" i="1"/>
  <c r="T611" i="1"/>
  <c r="U611" i="1"/>
  <c r="V611" i="1"/>
  <c r="W611" i="1"/>
  <c r="S610" i="1"/>
  <c r="T610" i="1"/>
  <c r="U610" i="1"/>
  <c r="V610" i="1"/>
  <c r="W610" i="1"/>
  <c r="S609" i="1"/>
  <c r="T609" i="1"/>
  <c r="U609" i="1"/>
  <c r="V609" i="1"/>
  <c r="W609" i="1"/>
  <c r="S608" i="1"/>
  <c r="T608" i="1"/>
  <c r="U608" i="1"/>
  <c r="V608" i="1"/>
  <c r="W608" i="1"/>
  <c r="S607" i="1"/>
  <c r="T607" i="1"/>
  <c r="U607" i="1"/>
  <c r="V607" i="1"/>
  <c r="W607" i="1"/>
  <c r="S606" i="1"/>
  <c r="T606" i="1"/>
  <c r="U606" i="1"/>
  <c r="V606" i="1"/>
  <c r="W606" i="1"/>
  <c r="S605" i="1"/>
  <c r="T605" i="1"/>
  <c r="U605" i="1"/>
  <c r="V605" i="1"/>
  <c r="W605" i="1"/>
  <c r="S604" i="1"/>
  <c r="T604" i="1"/>
  <c r="U604" i="1"/>
  <c r="V604" i="1"/>
  <c r="W604" i="1"/>
  <c r="S603" i="1"/>
  <c r="T603" i="1"/>
  <c r="U603" i="1"/>
  <c r="V603" i="1"/>
  <c r="W603" i="1"/>
  <c r="AB602" i="1"/>
  <c r="AC602" i="1" s="1"/>
  <c r="AB601" i="1"/>
  <c r="AC601" i="1" s="1"/>
  <c r="Y602" i="1"/>
  <c r="Z602" i="1" s="1"/>
  <c r="Y601" i="1"/>
  <c r="Z601" i="1" s="1"/>
  <c r="S602" i="1"/>
  <c r="T602" i="1"/>
  <c r="U602" i="1"/>
  <c r="V602" i="1"/>
  <c r="W602" i="1"/>
  <c r="S601" i="1"/>
  <c r="T601" i="1"/>
  <c r="U601" i="1"/>
  <c r="V601" i="1"/>
  <c r="W601" i="1"/>
  <c r="Y400" i="1"/>
  <c r="Z400" i="1" s="1"/>
  <c r="AB600" i="1"/>
  <c r="AC600" i="1" s="1"/>
  <c r="AB599" i="1"/>
  <c r="AC599" i="1" s="1"/>
  <c r="Y600" i="1"/>
  <c r="Z600" i="1" s="1"/>
  <c r="Y599" i="1"/>
  <c r="Z599" i="1" s="1"/>
  <c r="S600" i="1"/>
  <c r="T600" i="1"/>
  <c r="U600" i="1"/>
  <c r="V600" i="1"/>
  <c r="W600" i="1"/>
  <c r="S599" i="1"/>
  <c r="T599" i="1"/>
  <c r="U599" i="1"/>
  <c r="V599" i="1"/>
  <c r="W599" i="1"/>
  <c r="Y598" i="1"/>
  <c r="Z598" i="1" s="1"/>
  <c r="AB598" i="1"/>
  <c r="AC598" i="1" s="1"/>
  <c r="Y597" i="1"/>
  <c r="Z597" i="1" s="1"/>
  <c r="AB597" i="1"/>
  <c r="AC597" i="1" s="1"/>
  <c r="S598" i="1"/>
  <c r="T598" i="1"/>
  <c r="U598" i="1"/>
  <c r="V598" i="1"/>
  <c r="W598" i="1"/>
  <c r="S597" i="1"/>
  <c r="T597" i="1"/>
  <c r="U597" i="1"/>
  <c r="V597" i="1"/>
  <c r="W597" i="1"/>
  <c r="Y596" i="1"/>
  <c r="Z596" i="1" s="1"/>
  <c r="AB596" i="1"/>
  <c r="AC596" i="1" s="1"/>
  <c r="Y595" i="1"/>
  <c r="Z595" i="1" s="1"/>
  <c r="AB595" i="1"/>
  <c r="AC595" i="1" s="1"/>
  <c r="Y594" i="1"/>
  <c r="Z594" i="1" s="1"/>
  <c r="AB594" i="1"/>
  <c r="AC594" i="1" s="1"/>
  <c r="Y593" i="1"/>
  <c r="Z593" i="1" s="1"/>
  <c r="AB593" i="1"/>
  <c r="AC593" i="1" s="1"/>
  <c r="Y592" i="1"/>
  <c r="Z592" i="1" s="1"/>
  <c r="AB592" i="1"/>
  <c r="AC592" i="1" s="1"/>
  <c r="S596" i="1"/>
  <c r="T596" i="1"/>
  <c r="U596" i="1"/>
  <c r="V596" i="1"/>
  <c r="W596" i="1"/>
  <c r="S595" i="1"/>
  <c r="T595" i="1"/>
  <c r="U595" i="1"/>
  <c r="V595" i="1"/>
  <c r="W595" i="1"/>
  <c r="S594" i="1"/>
  <c r="T594" i="1"/>
  <c r="U594" i="1"/>
  <c r="V594" i="1"/>
  <c r="W594" i="1"/>
  <c r="S593" i="1"/>
  <c r="T593" i="1"/>
  <c r="U593" i="1"/>
  <c r="V593" i="1"/>
  <c r="W593" i="1"/>
  <c r="S592" i="1"/>
  <c r="T592" i="1"/>
  <c r="U592" i="1"/>
  <c r="V592" i="1"/>
  <c r="W592" i="1"/>
  <c r="AB591" i="1"/>
  <c r="AC591" i="1" s="1"/>
  <c r="Y591" i="1"/>
  <c r="Z591" i="1" s="1"/>
  <c r="S591" i="1"/>
  <c r="T591" i="1"/>
  <c r="U591" i="1"/>
  <c r="V591" i="1"/>
  <c r="W591" i="1"/>
  <c r="AB590" i="1"/>
  <c r="AC590" i="1" s="1"/>
  <c r="Y590" i="1"/>
  <c r="Z590" i="1" s="1"/>
  <c r="S590" i="1"/>
  <c r="T590" i="1"/>
  <c r="U590" i="1"/>
  <c r="V590" i="1"/>
  <c r="W590" i="1"/>
  <c r="AB589" i="1"/>
  <c r="AC589" i="1" s="1"/>
  <c r="Y589" i="1"/>
  <c r="Z589" i="1" s="1"/>
  <c r="S589" i="1"/>
  <c r="T589" i="1"/>
  <c r="U589" i="1"/>
  <c r="V589" i="1"/>
  <c r="W589" i="1"/>
  <c r="AB588" i="1"/>
  <c r="AC588" i="1" s="1"/>
  <c r="AB587" i="1"/>
  <c r="AC587" i="1" s="1"/>
  <c r="Y588" i="1"/>
  <c r="Z588" i="1" s="1"/>
  <c r="Y587" i="1"/>
  <c r="Z587" i="1" s="1"/>
  <c r="S588" i="1"/>
  <c r="T588" i="1"/>
  <c r="U588" i="1"/>
  <c r="V588" i="1"/>
  <c r="W588" i="1"/>
  <c r="S587" i="1"/>
  <c r="T587" i="1"/>
  <c r="U587" i="1"/>
  <c r="V587" i="1"/>
  <c r="W587" i="1"/>
  <c r="AB586" i="1"/>
  <c r="AC586" i="1" s="1"/>
  <c r="AB585" i="1"/>
  <c r="AC585" i="1" s="1"/>
  <c r="AB584" i="1"/>
  <c r="AC584" i="1" s="1"/>
  <c r="AB583" i="1"/>
  <c r="AC583" i="1" s="1"/>
  <c r="AB582" i="1"/>
  <c r="AC582" i="1" s="1"/>
  <c r="AB581" i="1"/>
  <c r="AC581" i="1" s="1"/>
  <c r="AB580" i="1"/>
  <c r="AC580" i="1" s="1"/>
  <c r="AB579" i="1"/>
  <c r="AC579" i="1" s="1"/>
  <c r="AB578" i="1"/>
  <c r="AC578" i="1" s="1"/>
  <c r="AB577" i="1"/>
  <c r="AC577" i="1" s="1"/>
  <c r="AB576" i="1"/>
  <c r="AC576" i="1" s="1"/>
  <c r="AB575" i="1"/>
  <c r="AC575" i="1" s="1"/>
  <c r="AB574" i="1"/>
  <c r="AC574" i="1" s="1"/>
  <c r="AB573" i="1"/>
  <c r="AC573" i="1" s="1"/>
  <c r="AB572" i="1"/>
  <c r="AC572" i="1" s="1"/>
  <c r="AB571" i="1"/>
  <c r="AC571" i="1" s="1"/>
  <c r="AB570" i="1"/>
  <c r="AC570" i="1" s="1"/>
  <c r="AB569" i="1"/>
  <c r="AC569" i="1" s="1"/>
  <c r="AB568" i="1"/>
  <c r="AC568" i="1" s="1"/>
  <c r="AB567" i="1"/>
  <c r="AC567" i="1" s="1"/>
  <c r="AB566" i="1"/>
  <c r="AC566" i="1" s="1"/>
  <c r="AB565" i="1"/>
  <c r="AC565" i="1" s="1"/>
  <c r="AB564" i="1"/>
  <c r="AC564" i="1" s="1"/>
  <c r="AB563" i="1"/>
  <c r="AC563" i="1" s="1"/>
  <c r="AB562" i="1"/>
  <c r="AC562" i="1" s="1"/>
  <c r="AB561" i="1"/>
  <c r="AC561" i="1" s="1"/>
  <c r="AB560" i="1"/>
  <c r="AC560" i="1" s="1"/>
  <c r="AB559" i="1"/>
  <c r="AC559" i="1" s="1"/>
  <c r="AB558" i="1"/>
  <c r="AC558" i="1" s="1"/>
  <c r="AB557" i="1"/>
  <c r="AC557" i="1" s="1"/>
  <c r="AB556" i="1"/>
  <c r="AC556" i="1" s="1"/>
  <c r="AB555" i="1"/>
  <c r="AC555" i="1" s="1"/>
  <c r="Y586" i="1"/>
  <c r="Z586" i="1" s="1"/>
  <c r="Y585" i="1"/>
  <c r="Z585" i="1" s="1"/>
  <c r="Y584" i="1"/>
  <c r="Z584" i="1" s="1"/>
  <c r="AD584" i="1" s="1"/>
  <c r="AF584" i="1" s="1"/>
  <c r="Y583" i="1"/>
  <c r="Z583" i="1" s="1"/>
  <c r="Y582" i="1"/>
  <c r="Z582" i="1" s="1"/>
  <c r="AD582" i="1" s="1"/>
  <c r="AF582" i="1" s="1"/>
  <c r="Y581" i="1"/>
  <c r="Z581" i="1" s="1"/>
  <c r="Y580" i="1"/>
  <c r="Z580" i="1" s="1"/>
  <c r="Y579" i="1"/>
  <c r="Z579" i="1" s="1"/>
  <c r="Y578" i="1"/>
  <c r="Z578" i="1" s="1"/>
  <c r="Y577" i="1"/>
  <c r="Z577" i="1" s="1"/>
  <c r="Y576" i="1"/>
  <c r="Z576" i="1" s="1"/>
  <c r="AD576" i="1" s="1"/>
  <c r="AF576" i="1" s="1"/>
  <c r="Y575" i="1"/>
  <c r="Z575" i="1" s="1"/>
  <c r="Y574" i="1"/>
  <c r="Z574" i="1" s="1"/>
  <c r="AD574" i="1" s="1"/>
  <c r="AF574" i="1" s="1"/>
  <c r="Y573" i="1"/>
  <c r="Z573" i="1" s="1"/>
  <c r="AD573" i="1" s="1"/>
  <c r="AF573" i="1" s="1"/>
  <c r="Y572" i="1"/>
  <c r="Z572" i="1" s="1"/>
  <c r="Y571" i="1"/>
  <c r="Z571" i="1" s="1"/>
  <c r="Y570" i="1"/>
  <c r="Z570" i="1" s="1"/>
  <c r="Y569" i="1"/>
  <c r="Z569" i="1" s="1"/>
  <c r="Y568" i="1"/>
  <c r="Z568" i="1" s="1"/>
  <c r="Y567" i="1"/>
  <c r="Z567" i="1" s="1"/>
  <c r="Y566" i="1"/>
  <c r="Z566" i="1" s="1"/>
  <c r="AD566" i="1" s="1"/>
  <c r="AF566" i="1" s="1"/>
  <c r="Y565" i="1"/>
  <c r="Z565" i="1" s="1"/>
  <c r="Y564" i="1"/>
  <c r="Z564" i="1" s="1"/>
  <c r="Y563" i="1"/>
  <c r="Z563" i="1" s="1"/>
  <c r="Y562" i="1"/>
  <c r="Z562" i="1" s="1"/>
  <c r="Y561" i="1"/>
  <c r="Z561" i="1" s="1"/>
  <c r="Y560" i="1"/>
  <c r="Z560" i="1" s="1"/>
  <c r="AD560" i="1" s="1"/>
  <c r="AF560" i="1" s="1"/>
  <c r="Y559" i="1"/>
  <c r="Z559" i="1" s="1"/>
  <c r="Y558" i="1"/>
  <c r="Z558" i="1" s="1"/>
  <c r="Y557" i="1"/>
  <c r="Z557" i="1" s="1"/>
  <c r="Y556" i="1"/>
  <c r="Z556" i="1" s="1"/>
  <c r="AD556" i="1" s="1"/>
  <c r="AF556" i="1" s="1"/>
  <c r="Y555" i="1"/>
  <c r="Z555" i="1" s="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V582" i="1"/>
  <c r="V583" i="1"/>
  <c r="V584" i="1"/>
  <c r="V585" i="1"/>
  <c r="V586"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AB554" i="1"/>
  <c r="AC554" i="1" s="1"/>
  <c r="AB553" i="1"/>
  <c r="AC553" i="1" s="1"/>
  <c r="AB33" i="1"/>
  <c r="AC33" i="1" s="1"/>
  <c r="AB552" i="1"/>
  <c r="AC552" i="1" s="1"/>
  <c r="AB551" i="1"/>
  <c r="AC551" i="1" s="1"/>
  <c r="AB550" i="1"/>
  <c r="AC550" i="1" s="1"/>
  <c r="AB32" i="1"/>
  <c r="AC32" i="1" s="1"/>
  <c r="AB31" i="1"/>
  <c r="AC31" i="1" s="1"/>
  <c r="Y31" i="1"/>
  <c r="Z31" i="1" s="1"/>
  <c r="AB549" i="1"/>
  <c r="AC549" i="1" s="1"/>
  <c r="AB548" i="1"/>
  <c r="AC548" i="1" s="1"/>
  <c r="AB547" i="1"/>
  <c r="AC547" i="1" s="1"/>
  <c r="AB30" i="1"/>
  <c r="AC30" i="1" s="1"/>
  <c r="AB546" i="1"/>
  <c r="AC546" i="1" s="1"/>
  <c r="AB545" i="1"/>
  <c r="AC545" i="1" s="1"/>
  <c r="AB544" i="1"/>
  <c r="AC544" i="1" s="1"/>
  <c r="AB29" i="1"/>
  <c r="AC29" i="1" s="1"/>
  <c r="Y29" i="1"/>
  <c r="Z29" i="1" s="1"/>
  <c r="AB28" i="1"/>
  <c r="AC28" i="1" s="1"/>
  <c r="AB27" i="1"/>
  <c r="AC27" i="1" s="1"/>
  <c r="AB26" i="1"/>
  <c r="AC26" i="1" s="1"/>
  <c r="AB543" i="1"/>
  <c r="AC543" i="1" s="1"/>
  <c r="AB25" i="1"/>
  <c r="AC25" i="1" s="1"/>
  <c r="AB542" i="1"/>
  <c r="AC542" i="1" s="1"/>
  <c r="AB541" i="1"/>
  <c r="AC541" i="1" s="1"/>
  <c r="AB540" i="1"/>
  <c r="AC540" i="1" s="1"/>
  <c r="AB539" i="1"/>
  <c r="AC539" i="1" s="1"/>
  <c r="AB538" i="1"/>
  <c r="AC538" i="1" s="1"/>
  <c r="AB537" i="1"/>
  <c r="AC537" i="1" s="1"/>
  <c r="AB536" i="1"/>
  <c r="AC536" i="1" s="1"/>
  <c r="AB535" i="1"/>
  <c r="AC535" i="1" s="1"/>
  <c r="AB534" i="1"/>
  <c r="AC534" i="1" s="1"/>
  <c r="AB533" i="1"/>
  <c r="AC533" i="1" s="1"/>
  <c r="AB532" i="1"/>
  <c r="AC532" i="1" s="1"/>
  <c r="AB24" i="1"/>
  <c r="AC24" i="1" s="1"/>
  <c r="Y554" i="1"/>
  <c r="Z554" i="1" s="1"/>
  <c r="Y553" i="1"/>
  <c r="Z553" i="1" s="1"/>
  <c r="Y33" i="1"/>
  <c r="Z33" i="1" s="1"/>
  <c r="Y552" i="1"/>
  <c r="Z552" i="1" s="1"/>
  <c r="Y551" i="1"/>
  <c r="Z551" i="1" s="1"/>
  <c r="Y550" i="1"/>
  <c r="Z550" i="1" s="1"/>
  <c r="Y32" i="1"/>
  <c r="Z32" i="1" s="1"/>
  <c r="Y549" i="1"/>
  <c r="Z549" i="1" s="1"/>
  <c r="Y548" i="1"/>
  <c r="Z548" i="1" s="1"/>
  <c r="Y547" i="1"/>
  <c r="Z547" i="1" s="1"/>
  <c r="Y30" i="1"/>
  <c r="Z30" i="1" s="1"/>
  <c r="Y546" i="1"/>
  <c r="Z546" i="1" s="1"/>
  <c r="Y545" i="1"/>
  <c r="Z545" i="1" s="1"/>
  <c r="Y544" i="1"/>
  <c r="Z544" i="1" s="1"/>
  <c r="Y28" i="1"/>
  <c r="Z28" i="1" s="1"/>
  <c r="Y27" i="1"/>
  <c r="Z27" i="1" s="1"/>
  <c r="Y26" i="1"/>
  <c r="Z26" i="1" s="1"/>
  <c r="Y543" i="1"/>
  <c r="Z543" i="1" s="1"/>
  <c r="Y25" i="1"/>
  <c r="Z25" i="1" s="1"/>
  <c r="Y542" i="1"/>
  <c r="Z542" i="1" s="1"/>
  <c r="Y541" i="1"/>
  <c r="Z541" i="1" s="1"/>
  <c r="Y540" i="1"/>
  <c r="Z540" i="1" s="1"/>
  <c r="Y539" i="1"/>
  <c r="Z539" i="1" s="1"/>
  <c r="Y538" i="1"/>
  <c r="Z538" i="1" s="1"/>
  <c r="Y537" i="1"/>
  <c r="Z537" i="1" s="1"/>
  <c r="Y536" i="1"/>
  <c r="Z536" i="1" s="1"/>
  <c r="Y535" i="1"/>
  <c r="Z535" i="1" s="1"/>
  <c r="Y534" i="1"/>
  <c r="Z534" i="1" s="1"/>
  <c r="Y533" i="1"/>
  <c r="Z533" i="1" s="1"/>
  <c r="Y532" i="1"/>
  <c r="Z532" i="1" s="1"/>
  <c r="Y24" i="1"/>
  <c r="Z24" i="1" s="1"/>
  <c r="S542" i="1"/>
  <c r="S25" i="1"/>
  <c r="S543" i="1"/>
  <c r="S26" i="1"/>
  <c r="S27" i="1"/>
  <c r="S28" i="1"/>
  <c r="S29" i="1"/>
  <c r="S544" i="1"/>
  <c r="S545" i="1"/>
  <c r="S546" i="1"/>
  <c r="S30" i="1"/>
  <c r="T30" i="1"/>
  <c r="S547" i="1"/>
  <c r="S548" i="1"/>
  <c r="S549" i="1"/>
  <c r="S31" i="1"/>
  <c r="S32" i="1"/>
  <c r="S550" i="1"/>
  <c r="S551" i="1"/>
  <c r="S552" i="1"/>
  <c r="T552" i="1"/>
  <c r="S33" i="1"/>
  <c r="S553" i="1"/>
  <c r="S554" i="1"/>
  <c r="T542" i="1"/>
  <c r="T25" i="1"/>
  <c r="T543" i="1"/>
  <c r="T26" i="1"/>
  <c r="T27" i="1"/>
  <c r="T28" i="1"/>
  <c r="T29" i="1"/>
  <c r="T544" i="1"/>
  <c r="T545" i="1"/>
  <c r="T546" i="1"/>
  <c r="T547" i="1"/>
  <c r="T548" i="1"/>
  <c r="T549" i="1"/>
  <c r="T31" i="1"/>
  <c r="T32" i="1"/>
  <c r="T550" i="1"/>
  <c r="T551" i="1"/>
  <c r="T33" i="1"/>
  <c r="T553" i="1"/>
  <c r="T554" i="1"/>
  <c r="U542" i="1"/>
  <c r="U25" i="1"/>
  <c r="U543" i="1"/>
  <c r="U26" i="1"/>
  <c r="U27" i="1"/>
  <c r="U28" i="1"/>
  <c r="U29" i="1"/>
  <c r="U544" i="1"/>
  <c r="U545" i="1"/>
  <c r="U546" i="1"/>
  <c r="U30" i="1"/>
  <c r="U547" i="1"/>
  <c r="U548" i="1"/>
  <c r="U549" i="1"/>
  <c r="U31" i="1"/>
  <c r="U32" i="1"/>
  <c r="U550" i="1"/>
  <c r="U551" i="1"/>
  <c r="U552" i="1"/>
  <c r="U33" i="1"/>
  <c r="U553" i="1"/>
  <c r="U554" i="1"/>
  <c r="V542" i="1"/>
  <c r="V25" i="1"/>
  <c r="V543" i="1"/>
  <c r="V26" i="1"/>
  <c r="V27" i="1"/>
  <c r="V28" i="1"/>
  <c r="V29" i="1"/>
  <c r="V544" i="1"/>
  <c r="V545" i="1"/>
  <c r="V546" i="1"/>
  <c r="V30" i="1"/>
  <c r="V547" i="1"/>
  <c r="V548" i="1"/>
  <c r="V549" i="1"/>
  <c r="V31" i="1"/>
  <c r="V32" i="1"/>
  <c r="V550" i="1"/>
  <c r="V551" i="1"/>
  <c r="V552" i="1"/>
  <c r="V33" i="1"/>
  <c r="V553" i="1"/>
  <c r="V554" i="1"/>
  <c r="W542" i="1"/>
  <c r="W25" i="1"/>
  <c r="W543" i="1"/>
  <c r="W26" i="1"/>
  <c r="W27" i="1"/>
  <c r="W28" i="1"/>
  <c r="W29" i="1"/>
  <c r="W544" i="1"/>
  <c r="W545" i="1"/>
  <c r="W546" i="1"/>
  <c r="W30" i="1"/>
  <c r="W547" i="1"/>
  <c r="W548" i="1"/>
  <c r="W549" i="1"/>
  <c r="W31" i="1"/>
  <c r="W32" i="1"/>
  <c r="W550" i="1"/>
  <c r="W551" i="1"/>
  <c r="W552" i="1"/>
  <c r="W33" i="1"/>
  <c r="W553" i="1"/>
  <c r="W554" i="1"/>
  <c r="S534" i="1"/>
  <c r="S535" i="1"/>
  <c r="S536" i="1"/>
  <c r="S537" i="1"/>
  <c r="S538" i="1"/>
  <c r="S539" i="1"/>
  <c r="S540" i="1"/>
  <c r="S541" i="1"/>
  <c r="T534" i="1"/>
  <c r="T535" i="1"/>
  <c r="T536" i="1"/>
  <c r="T537" i="1"/>
  <c r="T538" i="1"/>
  <c r="T539" i="1"/>
  <c r="T540" i="1"/>
  <c r="T541" i="1"/>
  <c r="U534" i="1"/>
  <c r="U535" i="1"/>
  <c r="U536" i="1"/>
  <c r="U537" i="1"/>
  <c r="U538" i="1"/>
  <c r="U539" i="1"/>
  <c r="U540" i="1"/>
  <c r="U541" i="1"/>
  <c r="V534" i="1"/>
  <c r="V535" i="1"/>
  <c r="V536" i="1"/>
  <c r="V537" i="1"/>
  <c r="V538" i="1"/>
  <c r="V539" i="1"/>
  <c r="V540" i="1"/>
  <c r="V541" i="1"/>
  <c r="W534" i="1"/>
  <c r="W535" i="1"/>
  <c r="W536" i="1"/>
  <c r="W537" i="1"/>
  <c r="W538" i="1"/>
  <c r="W539" i="1"/>
  <c r="W540" i="1"/>
  <c r="W541" i="1"/>
  <c r="S533" i="1"/>
  <c r="T533" i="1"/>
  <c r="U533" i="1"/>
  <c r="V533" i="1"/>
  <c r="W533" i="1"/>
  <c r="S532" i="1"/>
  <c r="T532" i="1"/>
  <c r="U532" i="1"/>
  <c r="V532" i="1"/>
  <c r="W532" i="1"/>
  <c r="S24" i="1"/>
  <c r="T24" i="1"/>
  <c r="U24" i="1"/>
  <c r="V24" i="1"/>
  <c r="W24" i="1"/>
  <c r="AB298" i="1"/>
  <c r="AC298" i="1" s="1"/>
  <c r="AB297" i="1"/>
  <c r="AC297" i="1" s="1"/>
  <c r="AB296" i="1"/>
  <c r="AC296" i="1" s="1"/>
  <c r="AB295" i="1"/>
  <c r="AC295" i="1" s="1"/>
  <c r="AB294" i="1"/>
  <c r="AC294" i="1" s="1"/>
  <c r="AB293" i="1"/>
  <c r="AC293" i="1" s="1"/>
  <c r="AB292" i="1"/>
  <c r="AC292" i="1" s="1"/>
  <c r="AB17" i="1"/>
  <c r="AC17" i="1" s="1"/>
  <c r="AB291" i="1"/>
  <c r="AC291" i="1" s="1"/>
  <c r="AB16" i="1"/>
  <c r="AC16" i="1" s="1"/>
  <c r="AB290" i="1"/>
  <c r="AC290" i="1" s="1"/>
  <c r="AB289" i="1"/>
  <c r="AC289" i="1" s="1"/>
  <c r="AB288" i="1"/>
  <c r="AC288" i="1" s="1"/>
  <c r="AB287" i="1"/>
  <c r="AC287" i="1" s="1"/>
  <c r="AB286" i="1"/>
  <c r="AC286" i="1" s="1"/>
  <c r="AB285" i="1"/>
  <c r="AC285" i="1" s="1"/>
  <c r="AB284" i="1"/>
  <c r="AC284" i="1" s="1"/>
  <c r="AB283" i="1"/>
  <c r="AC283" i="1" s="1"/>
  <c r="AB15" i="1"/>
  <c r="AC15" i="1" s="1"/>
  <c r="AB282" i="1"/>
  <c r="AC282" i="1" s="1"/>
  <c r="AB281" i="1"/>
  <c r="AC281" i="1" s="1"/>
  <c r="AB280" i="1"/>
  <c r="AC280" i="1" s="1"/>
  <c r="AB279" i="1"/>
  <c r="AC279" i="1" s="1"/>
  <c r="AB278" i="1"/>
  <c r="AC278" i="1" s="1"/>
  <c r="AB277" i="1"/>
  <c r="AC277" i="1" s="1"/>
  <c r="AB276" i="1"/>
  <c r="AC276" i="1" s="1"/>
  <c r="AB275" i="1"/>
  <c r="AC275" i="1" s="1"/>
  <c r="AB274" i="1"/>
  <c r="AC274" i="1" s="1"/>
  <c r="AB273" i="1"/>
  <c r="AC273"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61" i="1"/>
  <c r="AC261" i="1" s="1"/>
  <c r="AB260" i="1"/>
  <c r="AC260" i="1" s="1"/>
  <c r="AB259" i="1"/>
  <c r="AC259" i="1" s="1"/>
  <c r="AB258" i="1"/>
  <c r="AC258" i="1" s="1"/>
  <c r="AB257" i="1"/>
  <c r="AC257" i="1" s="1"/>
  <c r="AB256" i="1"/>
  <c r="AC256" i="1" s="1"/>
  <c r="AB255" i="1"/>
  <c r="AC255" i="1" s="1"/>
  <c r="AB254" i="1"/>
  <c r="AC254" i="1" s="1"/>
  <c r="AB253" i="1"/>
  <c r="AC253" i="1" s="1"/>
  <c r="AB252" i="1"/>
  <c r="AC252" i="1" s="1"/>
  <c r="AB251" i="1"/>
  <c r="AC251" i="1" s="1"/>
  <c r="AB250" i="1"/>
  <c r="AC250" i="1" s="1"/>
  <c r="AB249" i="1"/>
  <c r="AC249" i="1" s="1"/>
  <c r="AB248" i="1"/>
  <c r="AC248" i="1" s="1"/>
  <c r="AB512" i="1"/>
  <c r="AC512" i="1" s="1"/>
  <c r="AB511" i="1"/>
  <c r="AC511" i="1" s="1"/>
  <c r="AB510" i="1"/>
  <c r="AC510" i="1" s="1"/>
  <c r="AB509" i="1"/>
  <c r="AC509" i="1" s="1"/>
  <c r="AB490" i="1"/>
  <c r="AC490" i="1" s="1"/>
  <c r="AB191" i="1"/>
  <c r="AC191" i="1" s="1"/>
  <c r="AB190" i="1"/>
  <c r="AC190"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179" i="1"/>
  <c r="AC179" i="1" s="1"/>
  <c r="AB178" i="1"/>
  <c r="AC178" i="1" s="1"/>
  <c r="AB177" i="1"/>
  <c r="AC177" i="1" s="1"/>
  <c r="AB176" i="1"/>
  <c r="AC176"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96" i="1"/>
  <c r="AC96" i="1" s="1"/>
  <c r="AB95" i="1"/>
  <c r="AC95" i="1" s="1"/>
  <c r="AB94" i="1"/>
  <c r="AC94" i="1" s="1"/>
  <c r="AB93" i="1"/>
  <c r="AC93" i="1" s="1"/>
  <c r="AB92" i="1"/>
  <c r="AC92" i="1" s="1"/>
  <c r="AB23" i="1"/>
  <c r="AC23" i="1" s="1"/>
  <c r="AB91" i="1"/>
  <c r="AC91" i="1" s="1"/>
  <c r="AB90" i="1"/>
  <c r="AC90" i="1" s="1"/>
  <c r="AB531" i="1"/>
  <c r="AC531" i="1" s="1"/>
  <c r="AB22" i="1"/>
  <c r="AC22" i="1" s="1"/>
  <c r="AB530" i="1"/>
  <c r="AC530" i="1" s="1"/>
  <c r="AB21" i="1"/>
  <c r="AC21" i="1" s="1"/>
  <c r="AB529" i="1"/>
  <c r="AC529" i="1" s="1"/>
  <c r="AB503" i="1"/>
  <c r="AC503" i="1" s="1"/>
  <c r="AB502" i="1"/>
  <c r="AC502" i="1" s="1"/>
  <c r="AB501" i="1"/>
  <c r="AC501" i="1" s="1"/>
  <c r="AB500" i="1"/>
  <c r="AC500" i="1" s="1"/>
  <c r="AB499" i="1"/>
  <c r="AC499" i="1" s="1"/>
  <c r="AB528" i="1"/>
  <c r="AC528" i="1" s="1"/>
  <c r="AB498" i="1"/>
  <c r="AC498" i="1" s="1"/>
  <c r="AB517" i="1"/>
  <c r="AC517" i="1" s="1"/>
  <c r="AB497" i="1"/>
  <c r="AC497" i="1" s="1"/>
  <c r="AB521" i="1"/>
  <c r="AC521" i="1" s="1"/>
  <c r="AB496" i="1"/>
  <c r="AC496" i="1" s="1"/>
  <c r="AB486" i="1"/>
  <c r="AC486" i="1" s="1"/>
  <c r="AB485" i="1"/>
  <c r="AC485" i="1" s="1"/>
  <c r="AB495" i="1"/>
  <c r="AC495" i="1" s="1"/>
  <c r="AB484" i="1"/>
  <c r="AC484" i="1" s="1"/>
  <c r="AB89" i="1"/>
  <c r="AC89" i="1" s="1"/>
  <c r="AB483" i="1"/>
  <c r="AC483" i="1" s="1"/>
  <c r="AB346" i="1"/>
  <c r="AC346" i="1" s="1"/>
  <c r="AB345" i="1"/>
  <c r="AC345" i="1" s="1"/>
  <c r="AB344" i="1"/>
  <c r="AC344" i="1" s="1"/>
  <c r="AB343" i="1"/>
  <c r="AC343" i="1" s="1"/>
  <c r="AB342" i="1"/>
  <c r="AC342" i="1" s="1"/>
  <c r="AB341" i="1"/>
  <c r="AC341" i="1" s="1"/>
  <c r="AB340" i="1"/>
  <c r="AC340" i="1" s="1"/>
  <c r="AB339" i="1"/>
  <c r="AC339" i="1" s="1"/>
  <c r="AB338" i="1"/>
  <c r="AC338" i="1" s="1"/>
  <c r="AB337" i="1"/>
  <c r="AC337" i="1" s="1"/>
  <c r="AB336" i="1"/>
  <c r="AC336" i="1" s="1"/>
  <c r="AB335" i="1"/>
  <c r="AC335" i="1" s="1"/>
  <c r="AB334" i="1"/>
  <c r="AC334" i="1" s="1"/>
  <c r="AB333" i="1"/>
  <c r="AC333" i="1" s="1"/>
  <c r="AB332" i="1"/>
  <c r="AC332" i="1" s="1"/>
  <c r="AB331" i="1"/>
  <c r="AC331" i="1" s="1"/>
  <c r="AB330" i="1"/>
  <c r="AC330" i="1" s="1"/>
  <c r="AB329" i="1"/>
  <c r="AC329" i="1" s="1"/>
  <c r="AB328" i="1"/>
  <c r="AC328" i="1" s="1"/>
  <c r="AB327" i="1"/>
  <c r="AC327" i="1" s="1"/>
  <c r="AB326" i="1"/>
  <c r="AC326" i="1" s="1"/>
  <c r="AB325" i="1"/>
  <c r="AC325" i="1" s="1"/>
  <c r="AB324" i="1"/>
  <c r="AC324" i="1" s="1"/>
  <c r="AB323" i="1"/>
  <c r="AC323" i="1" s="1"/>
  <c r="AB322" i="1"/>
  <c r="AC322" i="1" s="1"/>
  <c r="AB321" i="1"/>
  <c r="AC321" i="1" s="1"/>
  <c r="AB320" i="1"/>
  <c r="AC320" i="1" s="1"/>
  <c r="AB319" i="1"/>
  <c r="AC319" i="1" s="1"/>
  <c r="AB318" i="1"/>
  <c r="AC318" i="1" s="1"/>
  <c r="AB317" i="1"/>
  <c r="AC317"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305" i="1"/>
  <c r="AC305" i="1" s="1"/>
  <c r="AB304" i="1"/>
  <c r="AC304" i="1" s="1"/>
  <c r="AB303" i="1"/>
  <c r="AC303" i="1" s="1"/>
  <c r="AB302" i="1"/>
  <c r="AC302" i="1" s="1"/>
  <c r="AB301" i="1"/>
  <c r="AC301" i="1" s="1"/>
  <c r="AB526" i="1"/>
  <c r="AC526" i="1" s="1"/>
  <c r="AB525" i="1"/>
  <c r="AC525" i="1" s="1"/>
  <c r="AB524" i="1"/>
  <c r="AC524" i="1" s="1"/>
  <c r="AB518" i="1"/>
  <c r="AC518" i="1" s="1"/>
  <c r="AB523" i="1"/>
  <c r="AC523" i="1" s="1"/>
  <c r="AB522" i="1"/>
  <c r="AC522" i="1" s="1"/>
  <c r="AB300" i="1"/>
  <c r="AC300" i="1" s="1"/>
  <c r="AB514" i="1"/>
  <c r="AC514" i="1" s="1"/>
  <c r="AB513" i="1"/>
  <c r="AC513" i="1" s="1"/>
  <c r="AB299" i="1"/>
  <c r="AC299"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AB393" i="1"/>
  <c r="AC393" i="1" s="1"/>
  <c r="AB392" i="1"/>
  <c r="AC392" i="1" s="1"/>
  <c r="AB391" i="1"/>
  <c r="AC391" i="1" s="1"/>
  <c r="AB390" i="1"/>
  <c r="AC390" i="1" s="1"/>
  <c r="AB389" i="1"/>
  <c r="AC389" i="1" s="1"/>
  <c r="AB388" i="1"/>
  <c r="AC388" i="1" s="1"/>
  <c r="AB387" i="1"/>
  <c r="AC387" i="1" s="1"/>
  <c r="AB386" i="1"/>
  <c r="AC386" i="1" s="1"/>
  <c r="AB385" i="1"/>
  <c r="AC385" i="1" s="1"/>
  <c r="AB384" i="1"/>
  <c r="AC384" i="1" s="1"/>
  <c r="AB383" i="1"/>
  <c r="AC383" i="1" s="1"/>
  <c r="AB382" i="1"/>
  <c r="AC382" i="1" s="1"/>
  <c r="AB381" i="1"/>
  <c r="AC381" i="1" s="1"/>
  <c r="AB380" i="1"/>
  <c r="AC380" i="1" s="1"/>
  <c r="AB379" i="1"/>
  <c r="AC379" i="1" s="1"/>
  <c r="AB378" i="1"/>
  <c r="AC378" i="1" s="1"/>
  <c r="AB377" i="1"/>
  <c r="AC377" i="1" s="1"/>
  <c r="AB376" i="1"/>
  <c r="AC376" i="1" s="1"/>
  <c r="AB375" i="1"/>
  <c r="AC375" i="1" s="1"/>
  <c r="AB374" i="1"/>
  <c r="AC374" i="1" s="1"/>
  <c r="AB373" i="1"/>
  <c r="AC373" i="1" s="1"/>
  <c r="AB372" i="1"/>
  <c r="AC372" i="1" s="1"/>
  <c r="AB371" i="1"/>
  <c r="AC371" i="1" s="1"/>
  <c r="AB370" i="1"/>
  <c r="AC370" i="1" s="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18" i="1"/>
  <c r="AC18" i="1" s="1"/>
  <c r="AB353" i="1"/>
  <c r="AC353" i="1" s="1"/>
  <c r="AB352" i="1"/>
  <c r="AC352" i="1" s="1"/>
  <c r="AB351" i="1"/>
  <c r="AC351" i="1" s="1"/>
  <c r="AB350" i="1"/>
  <c r="AC350" i="1" s="1"/>
  <c r="AB349" i="1"/>
  <c r="AC349" i="1" s="1"/>
  <c r="AB348" i="1"/>
  <c r="AC348" i="1" s="1"/>
  <c r="AB347" i="1"/>
  <c r="AC347" i="1" s="1"/>
  <c r="AB83" i="1"/>
  <c r="AC83" i="1" s="1"/>
  <c r="AB82" i="1"/>
  <c r="AC82" i="1" s="1"/>
  <c r="AB81" i="1"/>
  <c r="AC81" i="1" s="1"/>
  <c r="AB80" i="1"/>
  <c r="AC80" i="1" s="1"/>
  <c r="AB79" i="1"/>
  <c r="AC79" i="1" s="1"/>
  <c r="AB78" i="1"/>
  <c r="AC78" i="1" s="1"/>
  <c r="AB77" i="1"/>
  <c r="AC77" i="1" s="1"/>
  <c r="AB13" i="1"/>
  <c r="AC13" i="1" s="1"/>
  <c r="AB76" i="1"/>
  <c r="AC76" i="1" s="1"/>
  <c r="AB75" i="1"/>
  <c r="AC75" i="1" s="1"/>
  <c r="AB74" i="1"/>
  <c r="AC74" i="1" s="1"/>
  <c r="AB12" i="1"/>
  <c r="AC12" i="1" s="1"/>
  <c r="AB73" i="1"/>
  <c r="AC73" i="1" s="1"/>
  <c r="AB72" i="1"/>
  <c r="AC72" i="1" s="1"/>
  <c r="AB71" i="1"/>
  <c r="AC71" i="1" s="1"/>
  <c r="AB70" i="1"/>
  <c r="AC70" i="1" s="1"/>
  <c r="AB69" i="1"/>
  <c r="AC69" i="1" s="1"/>
  <c r="AB68" i="1"/>
  <c r="AC68" i="1" s="1"/>
  <c r="AB67" i="1"/>
  <c r="AC67" i="1" s="1"/>
  <c r="AB66" i="1"/>
  <c r="AC66" i="1" s="1"/>
  <c r="AB65" i="1"/>
  <c r="AC65" i="1" s="1"/>
  <c r="AB64" i="1"/>
  <c r="AC64" i="1" s="1"/>
  <c r="AB508" i="1"/>
  <c r="AC508" i="1" s="1"/>
  <c r="AB507" i="1"/>
  <c r="AC507" i="1" s="1"/>
  <c r="AB506" i="1"/>
  <c r="AC506" i="1" s="1"/>
  <c r="AB489" i="1"/>
  <c r="AC489" i="1" s="1"/>
  <c r="AB488" i="1"/>
  <c r="AC488" i="1" s="1"/>
  <c r="AB487" i="1"/>
  <c r="AC487" i="1" s="1"/>
  <c r="AB505" i="1"/>
  <c r="AC505" i="1" s="1"/>
  <c r="AB504" i="1"/>
  <c r="AC504" i="1" s="1"/>
  <c r="AB247" i="1"/>
  <c r="AC247" i="1" s="1"/>
  <c r="AB246" i="1"/>
  <c r="AC246" i="1" s="1"/>
  <c r="AB245" i="1"/>
  <c r="AC245" i="1" s="1"/>
  <c r="AB244" i="1"/>
  <c r="AC244" i="1" s="1"/>
  <c r="AB243" i="1"/>
  <c r="AC243" i="1" s="1"/>
  <c r="AB242" i="1"/>
  <c r="AC242" i="1" s="1"/>
  <c r="AB241" i="1"/>
  <c r="AC241" i="1" s="1"/>
  <c r="AB240" i="1"/>
  <c r="AC240" i="1" s="1"/>
  <c r="AB239" i="1"/>
  <c r="AC239" i="1" s="1"/>
  <c r="AB238" i="1"/>
  <c r="AC238" i="1" s="1"/>
  <c r="AB237" i="1"/>
  <c r="AC237" i="1" s="1"/>
  <c r="AB14" i="1"/>
  <c r="AC14" i="1" s="1"/>
  <c r="AB236" i="1"/>
  <c r="AC236" i="1" s="1"/>
  <c r="AB235" i="1"/>
  <c r="AC235" i="1" s="1"/>
  <c r="AB234" i="1"/>
  <c r="AC234" i="1" s="1"/>
  <c r="AB233" i="1"/>
  <c r="AC233" i="1" s="1"/>
  <c r="AB232" i="1"/>
  <c r="AC232" i="1" s="1"/>
  <c r="AB231" i="1"/>
  <c r="AC231"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220" i="1"/>
  <c r="AC220" i="1" s="1"/>
  <c r="AB219" i="1"/>
  <c r="AC219" i="1" s="1"/>
  <c r="AB218" i="1"/>
  <c r="AC218"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204" i="1"/>
  <c r="AC204" i="1" s="1"/>
  <c r="AB203" i="1"/>
  <c r="AC203" i="1" s="1"/>
  <c r="AB202" i="1"/>
  <c r="AC202" i="1" s="1"/>
  <c r="AB201" i="1"/>
  <c r="AC201" i="1" s="1"/>
  <c r="AB200" i="1"/>
  <c r="AC200" i="1" s="1"/>
  <c r="AB199" i="1"/>
  <c r="AC199" i="1" s="1"/>
  <c r="AB198" i="1"/>
  <c r="AC198" i="1" s="1"/>
  <c r="AB197" i="1"/>
  <c r="AC197" i="1" s="1"/>
  <c r="AB196" i="1"/>
  <c r="AC196" i="1" s="1"/>
  <c r="AB195" i="1"/>
  <c r="AC195" i="1" s="1"/>
  <c r="AB194" i="1"/>
  <c r="AC194" i="1" s="1"/>
  <c r="AB193" i="1"/>
  <c r="AC193" i="1" s="1"/>
  <c r="AB192" i="1"/>
  <c r="AC192" i="1" s="1"/>
  <c r="AB520" i="1"/>
  <c r="AC520" i="1" s="1"/>
  <c r="AB494" i="1"/>
  <c r="AC494" i="1" s="1"/>
  <c r="AB493" i="1"/>
  <c r="AC493" i="1" s="1"/>
  <c r="AB527" i="1"/>
  <c r="AC527" i="1" s="1"/>
  <c r="AB448" i="1"/>
  <c r="AC448" i="1" s="1"/>
  <c r="AB20" i="1"/>
  <c r="AC20" i="1" s="1"/>
  <c r="AB63" i="1"/>
  <c r="AC63" i="1" s="1"/>
  <c r="AB516" i="1"/>
  <c r="AC516" i="1" s="1"/>
  <c r="AB492" i="1"/>
  <c r="AC492" i="1" s="1"/>
  <c r="AB491" i="1"/>
  <c r="AC491" i="1" s="1"/>
  <c r="AB519" i="1"/>
  <c r="AC519" i="1" s="1"/>
  <c r="AB447" i="1"/>
  <c r="AC447" i="1" s="1"/>
  <c r="AB19" i="1"/>
  <c r="AC19" i="1" s="1"/>
  <c r="AB62" i="1"/>
  <c r="AC62" i="1" s="1"/>
  <c r="AB61" i="1"/>
  <c r="AC61" i="1" s="1"/>
  <c r="AB60" i="1"/>
  <c r="AC60" i="1" s="1"/>
  <c r="AB59" i="1"/>
  <c r="AC59" i="1" s="1"/>
  <c r="AB58" i="1"/>
  <c r="AC58" i="1" s="1"/>
  <c r="AB57" i="1"/>
  <c r="AC57" i="1" s="1"/>
  <c r="AB56" i="1"/>
  <c r="AC56" i="1" s="1"/>
  <c r="AB55" i="1"/>
  <c r="AC55" i="1" s="1"/>
  <c r="AB446" i="1"/>
  <c r="AC446" i="1" s="1"/>
  <c r="AB54" i="1"/>
  <c r="AC54" i="1" s="1"/>
  <c r="AB445" i="1"/>
  <c r="AC445" i="1" s="1"/>
  <c r="AB444" i="1"/>
  <c r="AC444" i="1" s="1"/>
  <c r="AB443" i="1"/>
  <c r="AC443" i="1" s="1"/>
  <c r="AB442" i="1"/>
  <c r="AC442" i="1" s="1"/>
  <c r="AB53" i="1"/>
  <c r="AC53" i="1" s="1"/>
  <c r="AB52" i="1"/>
  <c r="AC52" i="1" s="1"/>
  <c r="AB51" i="1"/>
  <c r="AC51" i="1" s="1"/>
  <c r="AB50" i="1"/>
  <c r="AC50" i="1" s="1"/>
  <c r="AB49" i="1"/>
  <c r="AC49" i="1" s="1"/>
  <c r="AB441" i="1"/>
  <c r="AC441" i="1" s="1"/>
  <c r="AB48" i="1"/>
  <c r="AC48" i="1" s="1"/>
  <c r="AB440" i="1"/>
  <c r="AC440" i="1" s="1"/>
  <c r="AB47" i="1"/>
  <c r="AC47" i="1" s="1"/>
  <c r="AB46" i="1"/>
  <c r="AC46" i="1" s="1"/>
  <c r="AB439" i="1"/>
  <c r="AC439" i="1" s="1"/>
  <c r="AB438" i="1"/>
  <c r="AC438" i="1" s="1"/>
  <c r="AB45" i="1"/>
  <c r="AC45" i="1" s="1"/>
  <c r="AB44" i="1"/>
  <c r="AC44" i="1" s="1"/>
  <c r="AB43" i="1"/>
  <c r="AC43" i="1" s="1"/>
  <c r="AB88" i="1"/>
  <c r="AC88" i="1" s="1"/>
  <c r="AB87" i="1"/>
  <c r="AC87" i="1" s="1"/>
  <c r="AB86" i="1"/>
  <c r="AC86" i="1" s="1"/>
  <c r="AB85" i="1"/>
  <c r="AC85" i="1" s="1"/>
  <c r="AB84" i="1"/>
  <c r="AC84" i="1" s="1"/>
  <c r="AB459" i="1"/>
  <c r="AC459" i="1" s="1"/>
  <c r="AB458" i="1"/>
  <c r="AC458" i="1" s="1"/>
  <c r="AB457" i="1"/>
  <c r="AC457" i="1" s="1"/>
  <c r="AB456" i="1"/>
  <c r="AC456" i="1" s="1"/>
  <c r="AB455" i="1"/>
  <c r="AC455" i="1" s="1"/>
  <c r="AB454" i="1"/>
  <c r="AC454" i="1" s="1"/>
  <c r="AB453" i="1"/>
  <c r="AC453" i="1" s="1"/>
  <c r="AB452" i="1"/>
  <c r="AC452" i="1" s="1"/>
  <c r="AB451" i="1"/>
  <c r="AC451" i="1" s="1"/>
  <c r="AB450" i="1"/>
  <c r="AC450" i="1" s="1"/>
  <c r="AB449" i="1"/>
  <c r="AC449" i="1" s="1"/>
  <c r="AB482" i="1"/>
  <c r="AC482" i="1" s="1"/>
  <c r="AB481" i="1"/>
  <c r="AC481" i="1" s="1"/>
  <c r="AB480" i="1"/>
  <c r="AC480" i="1" s="1"/>
  <c r="AB479" i="1"/>
  <c r="AC479" i="1" s="1"/>
  <c r="AB478" i="1"/>
  <c r="AC478" i="1" s="1"/>
  <c r="AB477" i="1"/>
  <c r="AC477" i="1" s="1"/>
  <c r="AB476" i="1"/>
  <c r="AC476" i="1" s="1"/>
  <c r="AB475" i="1"/>
  <c r="AC475" i="1" s="1"/>
  <c r="AB474" i="1"/>
  <c r="AC474" i="1" s="1"/>
  <c r="AB473" i="1"/>
  <c r="AC473" i="1" s="1"/>
  <c r="AB472" i="1"/>
  <c r="AC472" i="1" s="1"/>
  <c r="AB471" i="1"/>
  <c r="AC471" i="1" s="1"/>
  <c r="AB470" i="1"/>
  <c r="AC470" i="1" s="1"/>
  <c r="AB469" i="1"/>
  <c r="AC469" i="1" s="1"/>
  <c r="AB468" i="1"/>
  <c r="AC468" i="1" s="1"/>
  <c r="AB467" i="1"/>
  <c r="AC467" i="1" s="1"/>
  <c r="AB466" i="1"/>
  <c r="AC466" i="1" s="1"/>
  <c r="AB465" i="1"/>
  <c r="AC465" i="1" s="1"/>
  <c r="AB464" i="1"/>
  <c r="AC464" i="1" s="1"/>
  <c r="AB463" i="1"/>
  <c r="AC463" i="1" s="1"/>
  <c r="AB462" i="1"/>
  <c r="AC462" i="1" s="1"/>
  <c r="AB461" i="1"/>
  <c r="AC461" i="1" s="1"/>
  <c r="AB460" i="1"/>
  <c r="AC460" i="1" s="1"/>
  <c r="AB437" i="1"/>
  <c r="AC437" i="1" s="1"/>
  <c r="AB436" i="1"/>
  <c r="AC436" i="1" s="1"/>
  <c r="AB435" i="1"/>
  <c r="AC435" i="1" s="1"/>
  <c r="AB434" i="1"/>
  <c r="AC434" i="1" s="1"/>
  <c r="AB433" i="1"/>
  <c r="AC433" i="1" s="1"/>
  <c r="AB432" i="1"/>
  <c r="AC432" i="1" s="1"/>
  <c r="AB431" i="1"/>
  <c r="AC431" i="1" s="1"/>
  <c r="AB430" i="1"/>
  <c r="AC430" i="1" s="1"/>
  <c r="AB429" i="1"/>
  <c r="AC429" i="1" s="1"/>
  <c r="AB428" i="1"/>
  <c r="AC428" i="1" s="1"/>
  <c r="AB427" i="1"/>
  <c r="AC427" i="1" s="1"/>
  <c r="AB426" i="1"/>
  <c r="AC426" i="1" s="1"/>
  <c r="AB425" i="1"/>
  <c r="AC425" i="1" s="1"/>
  <c r="AB424" i="1"/>
  <c r="AC424" i="1" s="1"/>
  <c r="AB423" i="1"/>
  <c r="AC423" i="1" s="1"/>
  <c r="AB422" i="1"/>
  <c r="AC422" i="1" s="1"/>
  <c r="AB421" i="1"/>
  <c r="AC421" i="1" s="1"/>
  <c r="AB420" i="1"/>
  <c r="AC420" i="1" s="1"/>
  <c r="AB419" i="1"/>
  <c r="AC419" i="1" s="1"/>
  <c r="AB418" i="1"/>
  <c r="AC418" i="1" s="1"/>
  <c r="AB417" i="1"/>
  <c r="AC417" i="1" s="1"/>
  <c r="AB416" i="1"/>
  <c r="AC416" i="1" s="1"/>
  <c r="AB415" i="1"/>
  <c r="AC415" i="1" s="1"/>
  <c r="AB414" i="1"/>
  <c r="AC414" i="1" s="1"/>
  <c r="AB413" i="1"/>
  <c r="AC413" i="1" s="1"/>
  <c r="AB412" i="1"/>
  <c r="AC412" i="1" s="1"/>
  <c r="AB411" i="1"/>
  <c r="AC411" i="1" s="1"/>
  <c r="AB410" i="1"/>
  <c r="AC410" i="1" s="1"/>
  <c r="AB409" i="1"/>
  <c r="AC409" i="1" s="1"/>
  <c r="AB408" i="1"/>
  <c r="AC408" i="1" s="1"/>
  <c r="AB407" i="1"/>
  <c r="AC407" i="1" s="1"/>
  <c r="Y298" i="1"/>
  <c r="Z298" i="1" s="1"/>
  <c r="Y297" i="1"/>
  <c r="Z297" i="1" s="1"/>
  <c r="Y296" i="1"/>
  <c r="Z296" i="1" s="1"/>
  <c r="Y295" i="1"/>
  <c r="Z295" i="1" s="1"/>
  <c r="Y294" i="1"/>
  <c r="Z294" i="1" s="1"/>
  <c r="Y293" i="1"/>
  <c r="Z293" i="1" s="1"/>
  <c r="Y292" i="1"/>
  <c r="Z292" i="1" s="1"/>
  <c r="Y17" i="1"/>
  <c r="Z17" i="1" s="1"/>
  <c r="Y291" i="1"/>
  <c r="Z291" i="1" s="1"/>
  <c r="Y16" i="1"/>
  <c r="Z16" i="1" s="1"/>
  <c r="Y290" i="1"/>
  <c r="Z290" i="1" s="1"/>
  <c r="Y289" i="1"/>
  <c r="Z289" i="1" s="1"/>
  <c r="Y288" i="1"/>
  <c r="Z288" i="1" s="1"/>
  <c r="Y287" i="1"/>
  <c r="Z287" i="1" s="1"/>
  <c r="Y286" i="1"/>
  <c r="Z286" i="1" s="1"/>
  <c r="Y285" i="1"/>
  <c r="Z285" i="1" s="1"/>
  <c r="Y284" i="1"/>
  <c r="Z284" i="1" s="1"/>
  <c r="Y283" i="1"/>
  <c r="Z283" i="1" s="1"/>
  <c r="Y15" i="1"/>
  <c r="Z15" i="1" s="1"/>
  <c r="Y282" i="1"/>
  <c r="Z282" i="1" s="1"/>
  <c r="Y281" i="1"/>
  <c r="Z281" i="1" s="1"/>
  <c r="Y280" i="1"/>
  <c r="Z280" i="1" s="1"/>
  <c r="Y279" i="1"/>
  <c r="Z279" i="1" s="1"/>
  <c r="Y278" i="1"/>
  <c r="Z278" i="1" s="1"/>
  <c r="Y277" i="1"/>
  <c r="Z277" i="1" s="1"/>
  <c r="Y276" i="1"/>
  <c r="Z276" i="1" s="1"/>
  <c r="Y275" i="1"/>
  <c r="Z275" i="1" s="1"/>
  <c r="Y274" i="1"/>
  <c r="Z274" i="1" s="1"/>
  <c r="Y273" i="1"/>
  <c r="Z273" i="1" s="1"/>
  <c r="Y272" i="1"/>
  <c r="Z272" i="1" s="1"/>
  <c r="Y271" i="1"/>
  <c r="Z271" i="1" s="1"/>
  <c r="Y270" i="1"/>
  <c r="Z270" i="1" s="1"/>
  <c r="Y269" i="1"/>
  <c r="Z269" i="1" s="1"/>
  <c r="Y268" i="1"/>
  <c r="Z268" i="1" s="1"/>
  <c r="Y267" i="1"/>
  <c r="Z267" i="1" s="1"/>
  <c r="Y266" i="1"/>
  <c r="Z266" i="1" s="1"/>
  <c r="Y265" i="1"/>
  <c r="Z265" i="1" s="1"/>
  <c r="Y264" i="1"/>
  <c r="Z264" i="1" s="1"/>
  <c r="Y263" i="1"/>
  <c r="Z263" i="1" s="1"/>
  <c r="Y262" i="1"/>
  <c r="Z262" i="1" s="1"/>
  <c r="Y261" i="1"/>
  <c r="Z261" i="1" s="1"/>
  <c r="Y260" i="1"/>
  <c r="Z260" i="1" s="1"/>
  <c r="Y259" i="1"/>
  <c r="Z259" i="1" s="1"/>
  <c r="Y258" i="1"/>
  <c r="Z258" i="1" s="1"/>
  <c r="Y257" i="1"/>
  <c r="Z257" i="1" s="1"/>
  <c r="Y256" i="1"/>
  <c r="Z256" i="1" s="1"/>
  <c r="Y255" i="1"/>
  <c r="Z255" i="1" s="1"/>
  <c r="Y254" i="1"/>
  <c r="Z254" i="1" s="1"/>
  <c r="Y253" i="1"/>
  <c r="Z253" i="1" s="1"/>
  <c r="Y252" i="1"/>
  <c r="Z252" i="1" s="1"/>
  <c r="Y251" i="1"/>
  <c r="Z251" i="1" s="1"/>
  <c r="Y250" i="1"/>
  <c r="Z250" i="1" s="1"/>
  <c r="Y249" i="1"/>
  <c r="Z249" i="1" s="1"/>
  <c r="Y248" i="1"/>
  <c r="Z248" i="1" s="1"/>
  <c r="Y512" i="1"/>
  <c r="Z512" i="1" s="1"/>
  <c r="Y511" i="1"/>
  <c r="Z511" i="1" s="1"/>
  <c r="Y510" i="1"/>
  <c r="Z510" i="1" s="1"/>
  <c r="Y509" i="1"/>
  <c r="Z509" i="1" s="1"/>
  <c r="Y490" i="1"/>
  <c r="Z490" i="1" s="1"/>
  <c r="Y191" i="1"/>
  <c r="Z191" i="1" s="1"/>
  <c r="Y190" i="1"/>
  <c r="Z190"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178" i="1"/>
  <c r="Z178" i="1" s="1"/>
  <c r="Y177" i="1"/>
  <c r="Z177" i="1" s="1"/>
  <c r="Y176" i="1"/>
  <c r="Z176" i="1" s="1"/>
  <c r="Y175" i="1"/>
  <c r="Z175" i="1" s="1"/>
  <c r="Y174" i="1"/>
  <c r="Z174" i="1" s="1"/>
  <c r="Y173" i="1"/>
  <c r="Z173" i="1" s="1"/>
  <c r="Y172" i="1"/>
  <c r="Z172" i="1" s="1"/>
  <c r="Y171" i="1"/>
  <c r="Z171" i="1" s="1"/>
  <c r="Y170" i="1"/>
  <c r="Z170" i="1" s="1"/>
  <c r="Y169" i="1"/>
  <c r="Z169" i="1" s="1"/>
  <c r="Y168" i="1"/>
  <c r="Z168" i="1" s="1"/>
  <c r="Y167" i="1"/>
  <c r="Z167" i="1" s="1"/>
  <c r="Y166" i="1"/>
  <c r="Z166" i="1" s="1"/>
  <c r="Y165" i="1"/>
  <c r="Z165" i="1" s="1"/>
  <c r="Y164" i="1"/>
  <c r="Z164" i="1" s="1"/>
  <c r="Y163" i="1"/>
  <c r="Z163" i="1" s="1"/>
  <c r="Y162" i="1"/>
  <c r="Z162" i="1" s="1"/>
  <c r="Y161" i="1"/>
  <c r="Z161" i="1" s="1"/>
  <c r="Y160" i="1"/>
  <c r="Z160" i="1" s="1"/>
  <c r="Y159" i="1"/>
  <c r="Z159" i="1" s="1"/>
  <c r="Y158" i="1"/>
  <c r="Z158" i="1" s="1"/>
  <c r="Y157" i="1"/>
  <c r="Z157" i="1" s="1"/>
  <c r="Y156" i="1"/>
  <c r="Z156" i="1" s="1"/>
  <c r="Y155" i="1"/>
  <c r="Z155" i="1" s="1"/>
  <c r="Y154" i="1"/>
  <c r="Z154" i="1" s="1"/>
  <c r="Y153" i="1"/>
  <c r="Z153" i="1" s="1"/>
  <c r="Y152" i="1"/>
  <c r="Z152" i="1" s="1"/>
  <c r="Y151" i="1"/>
  <c r="Z151" i="1" s="1"/>
  <c r="Y150" i="1"/>
  <c r="Z150" i="1" s="1"/>
  <c r="Y149" i="1"/>
  <c r="Z149" i="1" s="1"/>
  <c r="Y148" i="1"/>
  <c r="Z148" i="1" s="1"/>
  <c r="Y147" i="1"/>
  <c r="Z147" i="1" s="1"/>
  <c r="Y146" i="1"/>
  <c r="Z146" i="1" s="1"/>
  <c r="Y145" i="1"/>
  <c r="Z145" i="1" s="1"/>
  <c r="Y144" i="1"/>
  <c r="Z144" i="1" s="1"/>
  <c r="Y143" i="1"/>
  <c r="Z143" i="1" s="1"/>
  <c r="Y142" i="1"/>
  <c r="Z142" i="1" s="1"/>
  <c r="Y141" i="1"/>
  <c r="Z141" i="1" s="1"/>
  <c r="Y140" i="1"/>
  <c r="Z140" i="1" s="1"/>
  <c r="Y139" i="1"/>
  <c r="Z139" i="1" s="1"/>
  <c r="Y138" i="1"/>
  <c r="Z138" i="1" s="1"/>
  <c r="Y137" i="1"/>
  <c r="Z137" i="1" s="1"/>
  <c r="Y136" i="1"/>
  <c r="Z136" i="1" s="1"/>
  <c r="Y135" i="1"/>
  <c r="Z135" i="1" s="1"/>
  <c r="Y134" i="1"/>
  <c r="Z134" i="1" s="1"/>
  <c r="Y133" i="1"/>
  <c r="Z133" i="1" s="1"/>
  <c r="Y132" i="1"/>
  <c r="Z132" i="1" s="1"/>
  <c r="Y131" i="1"/>
  <c r="Z131" i="1" s="1"/>
  <c r="Y130" i="1"/>
  <c r="Z130" i="1" s="1"/>
  <c r="Y129" i="1"/>
  <c r="Z129" i="1" s="1"/>
  <c r="Y128" i="1"/>
  <c r="Z128" i="1" s="1"/>
  <c r="Y127" i="1"/>
  <c r="Z127" i="1" s="1"/>
  <c r="Y126" i="1"/>
  <c r="Z126" i="1" s="1"/>
  <c r="Y125" i="1"/>
  <c r="Z125" i="1" s="1"/>
  <c r="Y124" i="1"/>
  <c r="Z124" i="1" s="1"/>
  <c r="Y123" i="1"/>
  <c r="Z123" i="1" s="1"/>
  <c r="Y122" i="1"/>
  <c r="Z122" i="1" s="1"/>
  <c r="Y121" i="1"/>
  <c r="Z121" i="1" s="1"/>
  <c r="Y120" i="1"/>
  <c r="Z120" i="1" s="1"/>
  <c r="Y119" i="1"/>
  <c r="Z119" i="1" s="1"/>
  <c r="Y118" i="1"/>
  <c r="Z118" i="1" s="1"/>
  <c r="Y117" i="1"/>
  <c r="Z117" i="1" s="1"/>
  <c r="Y116" i="1"/>
  <c r="Z116" i="1" s="1"/>
  <c r="Y115" i="1"/>
  <c r="Z115" i="1" s="1"/>
  <c r="Y114" i="1"/>
  <c r="Z114" i="1" s="1"/>
  <c r="Y113" i="1"/>
  <c r="Z113" i="1" s="1"/>
  <c r="Y112" i="1"/>
  <c r="Z112" i="1" s="1"/>
  <c r="Y111" i="1"/>
  <c r="Z111" i="1" s="1"/>
  <c r="Y110" i="1"/>
  <c r="Z110" i="1" s="1"/>
  <c r="Y109" i="1"/>
  <c r="Z109" i="1" s="1"/>
  <c r="Y108" i="1"/>
  <c r="Z108" i="1" s="1"/>
  <c r="Y107" i="1"/>
  <c r="Z107" i="1" s="1"/>
  <c r="Y106" i="1"/>
  <c r="Z106" i="1" s="1"/>
  <c r="Y105" i="1"/>
  <c r="Z105" i="1" s="1"/>
  <c r="Y104" i="1"/>
  <c r="Z104" i="1" s="1"/>
  <c r="Y103" i="1"/>
  <c r="Z103" i="1" s="1"/>
  <c r="Y102" i="1"/>
  <c r="Z102" i="1" s="1"/>
  <c r="Y101" i="1"/>
  <c r="Z101" i="1" s="1"/>
  <c r="Y100" i="1"/>
  <c r="Z100" i="1" s="1"/>
  <c r="Y99" i="1"/>
  <c r="Z99" i="1" s="1"/>
  <c r="Y98" i="1"/>
  <c r="Z98" i="1" s="1"/>
  <c r="Y97" i="1"/>
  <c r="Z97" i="1" s="1"/>
  <c r="Y96" i="1"/>
  <c r="Z96" i="1" s="1"/>
  <c r="Y95" i="1"/>
  <c r="Z95" i="1" s="1"/>
  <c r="Y94" i="1"/>
  <c r="Z94" i="1" s="1"/>
  <c r="Y93" i="1"/>
  <c r="Z93" i="1" s="1"/>
  <c r="Y92" i="1"/>
  <c r="Z92" i="1" s="1"/>
  <c r="Y23" i="1"/>
  <c r="Z23" i="1" s="1"/>
  <c r="Y91" i="1"/>
  <c r="Z91" i="1" s="1"/>
  <c r="Y90" i="1"/>
  <c r="Z90" i="1" s="1"/>
  <c r="Y531" i="1"/>
  <c r="Z531" i="1" s="1"/>
  <c r="Y22" i="1"/>
  <c r="Z22" i="1" s="1"/>
  <c r="Y530" i="1"/>
  <c r="Z530" i="1" s="1"/>
  <c r="Y21" i="1"/>
  <c r="Z21" i="1" s="1"/>
  <c r="Y529" i="1"/>
  <c r="Z529" i="1" s="1"/>
  <c r="Y503" i="1"/>
  <c r="Z503" i="1" s="1"/>
  <c r="Y502" i="1"/>
  <c r="Z502" i="1" s="1"/>
  <c r="Y501" i="1"/>
  <c r="Z501" i="1" s="1"/>
  <c r="Y500" i="1"/>
  <c r="Z500" i="1" s="1"/>
  <c r="Y499" i="1"/>
  <c r="Z499" i="1" s="1"/>
  <c r="Y528" i="1"/>
  <c r="Z528" i="1" s="1"/>
  <c r="Y498" i="1"/>
  <c r="Z498" i="1" s="1"/>
  <c r="Y517" i="1"/>
  <c r="Z517" i="1" s="1"/>
  <c r="Y497" i="1"/>
  <c r="Z497" i="1" s="1"/>
  <c r="Y521" i="1"/>
  <c r="Z521" i="1" s="1"/>
  <c r="Y496" i="1"/>
  <c r="Z496" i="1" s="1"/>
  <c r="Y486" i="1"/>
  <c r="Z486" i="1" s="1"/>
  <c r="Y485" i="1"/>
  <c r="Z485" i="1" s="1"/>
  <c r="Y495" i="1"/>
  <c r="Z495" i="1" s="1"/>
  <c r="Y484" i="1"/>
  <c r="Z484" i="1" s="1"/>
  <c r="Y89" i="1"/>
  <c r="Z89" i="1" s="1"/>
  <c r="Y483" i="1"/>
  <c r="Z483" i="1" s="1"/>
  <c r="Y346" i="1"/>
  <c r="Z346" i="1" s="1"/>
  <c r="Y345" i="1"/>
  <c r="Z345" i="1" s="1"/>
  <c r="Y344" i="1"/>
  <c r="Z344" i="1" s="1"/>
  <c r="Y343" i="1"/>
  <c r="Z343" i="1" s="1"/>
  <c r="Y342" i="1"/>
  <c r="Z342" i="1" s="1"/>
  <c r="Y341" i="1"/>
  <c r="Z341" i="1" s="1"/>
  <c r="Y340" i="1"/>
  <c r="Z340" i="1" s="1"/>
  <c r="Y339" i="1"/>
  <c r="Z339" i="1" s="1"/>
  <c r="Y338" i="1"/>
  <c r="Z338" i="1" s="1"/>
  <c r="Y337" i="1"/>
  <c r="Z337" i="1" s="1"/>
  <c r="Y336" i="1"/>
  <c r="Z336" i="1" s="1"/>
  <c r="Y335" i="1"/>
  <c r="Z335" i="1" s="1"/>
  <c r="Y334" i="1"/>
  <c r="Z334" i="1" s="1"/>
  <c r="Y333" i="1"/>
  <c r="Z333" i="1" s="1"/>
  <c r="Y332" i="1"/>
  <c r="Z332" i="1" s="1"/>
  <c r="Y331" i="1"/>
  <c r="Z331" i="1" s="1"/>
  <c r="Y330" i="1"/>
  <c r="Z330" i="1" s="1"/>
  <c r="Y329" i="1"/>
  <c r="Z329" i="1" s="1"/>
  <c r="Y328" i="1"/>
  <c r="Z328" i="1" s="1"/>
  <c r="Y327" i="1"/>
  <c r="Z327" i="1" s="1"/>
  <c r="Y326" i="1"/>
  <c r="Z326" i="1" s="1"/>
  <c r="Y325" i="1"/>
  <c r="Z325" i="1" s="1"/>
  <c r="Y324" i="1"/>
  <c r="Z324" i="1" s="1"/>
  <c r="Y323" i="1"/>
  <c r="Z323" i="1" s="1"/>
  <c r="Y322" i="1"/>
  <c r="Z322" i="1" s="1"/>
  <c r="Y321" i="1"/>
  <c r="Z321" i="1" s="1"/>
  <c r="Y320" i="1"/>
  <c r="Z320" i="1" s="1"/>
  <c r="Y319" i="1"/>
  <c r="Z319" i="1" s="1"/>
  <c r="Y318" i="1"/>
  <c r="Z318" i="1" s="1"/>
  <c r="Y317" i="1"/>
  <c r="Z317"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305" i="1"/>
  <c r="Z305" i="1" s="1"/>
  <c r="Y304" i="1"/>
  <c r="Z304" i="1" s="1"/>
  <c r="Y303" i="1"/>
  <c r="Z303" i="1" s="1"/>
  <c r="Y302" i="1"/>
  <c r="Z302" i="1" s="1"/>
  <c r="Y301" i="1"/>
  <c r="Z301" i="1" s="1"/>
  <c r="Y526" i="1"/>
  <c r="Z526" i="1" s="1"/>
  <c r="Y525" i="1"/>
  <c r="Z525" i="1" s="1"/>
  <c r="Y524" i="1"/>
  <c r="Z524" i="1" s="1"/>
  <c r="Y518" i="1"/>
  <c r="Z518" i="1" s="1"/>
  <c r="Y523" i="1"/>
  <c r="Z523" i="1" s="1"/>
  <c r="Y522" i="1"/>
  <c r="Z522" i="1" s="1"/>
  <c r="Y300" i="1"/>
  <c r="Z300" i="1" s="1"/>
  <c r="Y514" i="1"/>
  <c r="Z514" i="1" s="1"/>
  <c r="Y513" i="1"/>
  <c r="Z513" i="1" s="1"/>
  <c r="Y299" i="1"/>
  <c r="Z299" i="1" s="1"/>
  <c r="Y406" i="1"/>
  <c r="Z406" i="1" s="1"/>
  <c r="Y405" i="1"/>
  <c r="Z405" i="1" s="1"/>
  <c r="Y404" i="1"/>
  <c r="Z404" i="1" s="1"/>
  <c r="Y403" i="1"/>
  <c r="Z403" i="1" s="1"/>
  <c r="Y402" i="1"/>
  <c r="Z402" i="1" s="1"/>
  <c r="Y401" i="1"/>
  <c r="Z401" i="1" s="1"/>
  <c r="Y399" i="1"/>
  <c r="Z399" i="1" s="1"/>
  <c r="Y398" i="1"/>
  <c r="Z398" i="1" s="1"/>
  <c r="Y397" i="1"/>
  <c r="Z397" i="1" s="1"/>
  <c r="Y396" i="1"/>
  <c r="Z396" i="1" s="1"/>
  <c r="Y395" i="1"/>
  <c r="Z395" i="1" s="1"/>
  <c r="Y394" i="1"/>
  <c r="Z394" i="1" s="1"/>
  <c r="Y393" i="1"/>
  <c r="Z393" i="1" s="1"/>
  <c r="Y392" i="1"/>
  <c r="Z392" i="1" s="1"/>
  <c r="Y391" i="1"/>
  <c r="Z391" i="1" s="1"/>
  <c r="Y390" i="1"/>
  <c r="Z390" i="1" s="1"/>
  <c r="Y389" i="1"/>
  <c r="Z389" i="1" s="1"/>
  <c r="Y388" i="1"/>
  <c r="Z388" i="1" s="1"/>
  <c r="Y387" i="1"/>
  <c r="Z387" i="1" s="1"/>
  <c r="Y386" i="1"/>
  <c r="Z386" i="1" s="1"/>
  <c r="Y385" i="1"/>
  <c r="Z385" i="1" s="1"/>
  <c r="Y384" i="1"/>
  <c r="Z384" i="1" s="1"/>
  <c r="Y383" i="1"/>
  <c r="Z383" i="1" s="1"/>
  <c r="Y382" i="1"/>
  <c r="Z382" i="1" s="1"/>
  <c r="Y381" i="1"/>
  <c r="Z381" i="1" s="1"/>
  <c r="Y380" i="1"/>
  <c r="Z380" i="1" s="1"/>
  <c r="Y379" i="1"/>
  <c r="Z379" i="1" s="1"/>
  <c r="Y378" i="1"/>
  <c r="Z378" i="1" s="1"/>
  <c r="Y377" i="1"/>
  <c r="Z377" i="1" s="1"/>
  <c r="Y376" i="1"/>
  <c r="Z376" i="1" s="1"/>
  <c r="Y375" i="1"/>
  <c r="Z375" i="1" s="1"/>
  <c r="Y374" i="1"/>
  <c r="Z374" i="1" s="1"/>
  <c r="Y373" i="1"/>
  <c r="Z373" i="1" s="1"/>
  <c r="Y372" i="1"/>
  <c r="Z372" i="1" s="1"/>
  <c r="Y371" i="1"/>
  <c r="Z371" i="1" s="1"/>
  <c r="Y370" i="1"/>
  <c r="Z370" i="1" s="1"/>
  <c r="Y369" i="1"/>
  <c r="Z369" i="1" s="1"/>
  <c r="Y368" i="1"/>
  <c r="Z368" i="1" s="1"/>
  <c r="Y367" i="1"/>
  <c r="Z367" i="1" s="1"/>
  <c r="Y366" i="1"/>
  <c r="Z366" i="1" s="1"/>
  <c r="Y365" i="1"/>
  <c r="Z365"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18" i="1"/>
  <c r="Z18" i="1" s="1"/>
  <c r="Y353" i="1"/>
  <c r="Z353" i="1" s="1"/>
  <c r="Y352" i="1"/>
  <c r="Z352" i="1" s="1"/>
  <c r="Y351" i="1"/>
  <c r="Z351" i="1" s="1"/>
  <c r="Y350" i="1"/>
  <c r="Z350" i="1" s="1"/>
  <c r="Y349" i="1"/>
  <c r="Z349" i="1" s="1"/>
  <c r="Y348" i="1"/>
  <c r="Z348" i="1" s="1"/>
  <c r="Y347" i="1"/>
  <c r="Z347" i="1" s="1"/>
  <c r="Y83" i="1"/>
  <c r="Z83" i="1" s="1"/>
  <c r="Y82" i="1"/>
  <c r="Z82" i="1" s="1"/>
  <c r="Y81" i="1"/>
  <c r="Z81" i="1" s="1"/>
  <c r="Y80" i="1"/>
  <c r="Z80" i="1" s="1"/>
  <c r="Y79" i="1"/>
  <c r="Z79" i="1" s="1"/>
  <c r="Y78" i="1"/>
  <c r="Z78" i="1" s="1"/>
  <c r="Y77" i="1"/>
  <c r="Z77" i="1" s="1"/>
  <c r="Y13" i="1"/>
  <c r="Z13" i="1" s="1"/>
  <c r="Y76" i="1"/>
  <c r="Z76" i="1" s="1"/>
  <c r="Y75" i="1"/>
  <c r="Z75" i="1" s="1"/>
  <c r="Y74" i="1"/>
  <c r="Z74" i="1" s="1"/>
  <c r="Y12" i="1"/>
  <c r="Z12" i="1" s="1"/>
  <c r="Y73" i="1"/>
  <c r="Z73" i="1" s="1"/>
  <c r="Y72" i="1"/>
  <c r="Z72" i="1" s="1"/>
  <c r="Y71" i="1"/>
  <c r="Z71" i="1" s="1"/>
  <c r="Y70" i="1"/>
  <c r="Z70" i="1" s="1"/>
  <c r="Y69" i="1"/>
  <c r="Z69" i="1" s="1"/>
  <c r="Y68" i="1"/>
  <c r="Z68" i="1" s="1"/>
  <c r="Y67" i="1"/>
  <c r="Z67" i="1" s="1"/>
  <c r="Y66" i="1"/>
  <c r="Z66" i="1" s="1"/>
  <c r="Y65" i="1"/>
  <c r="Z65" i="1" s="1"/>
  <c r="Y64" i="1"/>
  <c r="Z64" i="1" s="1"/>
  <c r="Y508" i="1"/>
  <c r="Z508" i="1" s="1"/>
  <c r="Y507" i="1"/>
  <c r="Z507" i="1" s="1"/>
  <c r="Y506" i="1"/>
  <c r="Z506" i="1" s="1"/>
  <c r="Y489" i="1"/>
  <c r="Z489" i="1" s="1"/>
  <c r="Y488" i="1"/>
  <c r="Z488" i="1" s="1"/>
  <c r="Y487" i="1"/>
  <c r="Z487" i="1" s="1"/>
  <c r="Y505" i="1"/>
  <c r="Z505" i="1" s="1"/>
  <c r="Y504" i="1"/>
  <c r="Z504" i="1" s="1"/>
  <c r="Y247" i="1"/>
  <c r="Z247" i="1" s="1"/>
  <c r="Y246" i="1"/>
  <c r="Z246" i="1" s="1"/>
  <c r="Y245" i="1"/>
  <c r="Z245" i="1" s="1"/>
  <c r="Y244" i="1"/>
  <c r="Z244" i="1" s="1"/>
  <c r="Y243" i="1"/>
  <c r="Z243" i="1" s="1"/>
  <c r="Y242" i="1"/>
  <c r="Z242" i="1" s="1"/>
  <c r="Y241" i="1"/>
  <c r="Z241" i="1" s="1"/>
  <c r="Y240" i="1"/>
  <c r="Z240" i="1" s="1"/>
  <c r="Y239" i="1"/>
  <c r="Z239" i="1" s="1"/>
  <c r="Y238" i="1"/>
  <c r="Z238" i="1" s="1"/>
  <c r="Y237" i="1"/>
  <c r="Z237" i="1" s="1"/>
  <c r="Y14" i="1"/>
  <c r="Z14" i="1" s="1"/>
  <c r="Y236" i="1"/>
  <c r="Z236" i="1" s="1"/>
  <c r="Y235" i="1"/>
  <c r="Z235" i="1" s="1"/>
  <c r="Y234" i="1"/>
  <c r="Z234" i="1" s="1"/>
  <c r="Y233" i="1"/>
  <c r="Z233" i="1" s="1"/>
  <c r="Y232" i="1"/>
  <c r="Z232" i="1" s="1"/>
  <c r="Y231" i="1"/>
  <c r="Z231" i="1" s="1"/>
  <c r="Y230" i="1"/>
  <c r="Z230" i="1" s="1"/>
  <c r="Y229" i="1"/>
  <c r="Z229" i="1" s="1"/>
  <c r="Y228" i="1"/>
  <c r="Z228" i="1" s="1"/>
  <c r="Y227" i="1"/>
  <c r="Z227" i="1" s="1"/>
  <c r="Y226" i="1"/>
  <c r="Z226" i="1" s="1"/>
  <c r="Y225" i="1"/>
  <c r="Z225" i="1" s="1"/>
  <c r="Y224" i="1"/>
  <c r="Z224" i="1" s="1"/>
  <c r="Y223" i="1"/>
  <c r="Z223" i="1" s="1"/>
  <c r="Y222" i="1"/>
  <c r="Z222" i="1" s="1"/>
  <c r="Y221" i="1"/>
  <c r="Z221" i="1" s="1"/>
  <c r="Y220" i="1"/>
  <c r="Z220" i="1" s="1"/>
  <c r="Y219" i="1"/>
  <c r="Z219" i="1" s="1"/>
  <c r="Y218" i="1"/>
  <c r="Z218" i="1" s="1"/>
  <c r="Y217" i="1"/>
  <c r="Z217" i="1" s="1"/>
  <c r="Y216" i="1"/>
  <c r="Z216" i="1" s="1"/>
  <c r="Y215" i="1"/>
  <c r="Z215" i="1" s="1"/>
  <c r="Y214" i="1"/>
  <c r="Z214" i="1" s="1"/>
  <c r="Y213" i="1"/>
  <c r="Z213" i="1" s="1"/>
  <c r="Y212" i="1"/>
  <c r="Z212" i="1" s="1"/>
  <c r="Y211" i="1"/>
  <c r="Z211" i="1" s="1"/>
  <c r="Y210" i="1"/>
  <c r="Z210" i="1" s="1"/>
  <c r="Y209" i="1"/>
  <c r="Z209" i="1" s="1"/>
  <c r="Y208" i="1"/>
  <c r="Z208" i="1" s="1"/>
  <c r="Y207" i="1"/>
  <c r="Z207" i="1" s="1"/>
  <c r="Y206" i="1"/>
  <c r="Z206" i="1" s="1"/>
  <c r="Y205" i="1"/>
  <c r="Z205" i="1" s="1"/>
  <c r="Y204" i="1"/>
  <c r="Z204" i="1" s="1"/>
  <c r="Y203" i="1"/>
  <c r="Z203" i="1" s="1"/>
  <c r="Y202" i="1"/>
  <c r="Z202" i="1" s="1"/>
  <c r="Y201" i="1"/>
  <c r="Z201" i="1" s="1"/>
  <c r="Y200" i="1"/>
  <c r="Z200" i="1" s="1"/>
  <c r="Y199" i="1"/>
  <c r="Z199" i="1" s="1"/>
  <c r="Y198" i="1"/>
  <c r="Z198" i="1" s="1"/>
  <c r="Y197" i="1"/>
  <c r="Z197" i="1" s="1"/>
  <c r="Y196" i="1"/>
  <c r="Z196" i="1" s="1"/>
  <c r="Y195" i="1"/>
  <c r="Z195" i="1" s="1"/>
  <c r="Y194" i="1"/>
  <c r="Z194" i="1" s="1"/>
  <c r="Y193" i="1"/>
  <c r="Z193" i="1" s="1"/>
  <c r="Y192" i="1"/>
  <c r="Z192" i="1" s="1"/>
  <c r="Y520" i="1"/>
  <c r="Z520" i="1" s="1"/>
  <c r="Y494" i="1"/>
  <c r="Z494" i="1" s="1"/>
  <c r="Y493" i="1"/>
  <c r="Z493" i="1" s="1"/>
  <c r="Y527" i="1"/>
  <c r="Z527" i="1" s="1"/>
  <c r="Y448" i="1"/>
  <c r="Z448" i="1" s="1"/>
  <c r="Y20" i="1"/>
  <c r="Z20" i="1" s="1"/>
  <c r="Y63" i="1"/>
  <c r="Z63" i="1" s="1"/>
  <c r="Y516" i="1"/>
  <c r="Z516" i="1" s="1"/>
  <c r="Y492" i="1"/>
  <c r="Z492" i="1" s="1"/>
  <c r="Y491" i="1"/>
  <c r="Z491" i="1" s="1"/>
  <c r="Y519" i="1"/>
  <c r="Z519" i="1" s="1"/>
  <c r="Y447" i="1"/>
  <c r="Z447" i="1" s="1"/>
  <c r="Y19" i="1"/>
  <c r="Z19" i="1" s="1"/>
  <c r="Y62" i="1"/>
  <c r="Z62" i="1" s="1"/>
  <c r="Y61" i="1"/>
  <c r="Z61" i="1" s="1"/>
  <c r="Y60" i="1"/>
  <c r="Z60" i="1" s="1"/>
  <c r="Y59" i="1"/>
  <c r="Z59" i="1" s="1"/>
  <c r="Y58" i="1"/>
  <c r="Z58" i="1" s="1"/>
  <c r="Y57" i="1"/>
  <c r="Z57" i="1" s="1"/>
  <c r="Y56" i="1"/>
  <c r="Z56" i="1" s="1"/>
  <c r="Y55" i="1"/>
  <c r="Z55" i="1" s="1"/>
  <c r="Y446" i="1"/>
  <c r="Z446" i="1" s="1"/>
  <c r="Y54" i="1"/>
  <c r="Z54" i="1" s="1"/>
  <c r="Y445" i="1"/>
  <c r="Z445" i="1" s="1"/>
  <c r="Y444" i="1"/>
  <c r="Z444" i="1" s="1"/>
  <c r="Y443" i="1"/>
  <c r="Z443" i="1" s="1"/>
  <c r="Y442" i="1"/>
  <c r="Z442" i="1" s="1"/>
  <c r="Y53" i="1"/>
  <c r="Z53" i="1" s="1"/>
  <c r="Y52" i="1"/>
  <c r="Z52" i="1" s="1"/>
  <c r="Y51" i="1"/>
  <c r="Z51" i="1" s="1"/>
  <c r="Y50" i="1"/>
  <c r="Z50" i="1" s="1"/>
  <c r="Y49" i="1"/>
  <c r="Z49" i="1" s="1"/>
  <c r="Y441" i="1"/>
  <c r="Z441" i="1" s="1"/>
  <c r="Y48" i="1"/>
  <c r="Z48" i="1" s="1"/>
  <c r="Y440" i="1"/>
  <c r="Z440" i="1" s="1"/>
  <c r="Y47" i="1"/>
  <c r="Z47" i="1" s="1"/>
  <c r="Y46" i="1"/>
  <c r="Z46" i="1" s="1"/>
  <c r="Y439" i="1"/>
  <c r="Z439" i="1" s="1"/>
  <c r="Y438" i="1"/>
  <c r="Z438" i="1" s="1"/>
  <c r="Y45" i="1"/>
  <c r="Z45" i="1" s="1"/>
  <c r="Y44" i="1"/>
  <c r="Z44" i="1" s="1"/>
  <c r="Y43" i="1"/>
  <c r="Z43" i="1" s="1"/>
  <c r="Y88" i="1"/>
  <c r="Z88" i="1" s="1"/>
  <c r="Y87" i="1"/>
  <c r="Z87" i="1" s="1"/>
  <c r="Y86" i="1"/>
  <c r="Z86" i="1" s="1"/>
  <c r="Y85" i="1"/>
  <c r="Z85" i="1" s="1"/>
  <c r="Y84" i="1"/>
  <c r="Z84" i="1" s="1"/>
  <c r="Y459" i="1"/>
  <c r="Z459" i="1" s="1"/>
  <c r="Y458" i="1"/>
  <c r="Z458" i="1" s="1"/>
  <c r="Y457" i="1"/>
  <c r="Z457" i="1" s="1"/>
  <c r="Y456" i="1"/>
  <c r="Z456" i="1" s="1"/>
  <c r="Y455" i="1"/>
  <c r="Z455" i="1" s="1"/>
  <c r="Y454" i="1"/>
  <c r="Z454" i="1" s="1"/>
  <c r="Y453" i="1"/>
  <c r="Z453" i="1" s="1"/>
  <c r="Y452" i="1"/>
  <c r="Z452" i="1" s="1"/>
  <c r="Y451" i="1"/>
  <c r="Z451" i="1" s="1"/>
  <c r="Y450" i="1"/>
  <c r="Z450" i="1" s="1"/>
  <c r="Y449" i="1"/>
  <c r="Z449" i="1" s="1"/>
  <c r="Y482" i="1"/>
  <c r="Z482" i="1" s="1"/>
  <c r="Y481" i="1"/>
  <c r="Z481" i="1" s="1"/>
  <c r="Y480" i="1"/>
  <c r="Z480" i="1" s="1"/>
  <c r="Y479" i="1"/>
  <c r="Z479" i="1" s="1"/>
  <c r="Y478" i="1"/>
  <c r="Z478" i="1" s="1"/>
  <c r="Y477" i="1"/>
  <c r="Z477" i="1" s="1"/>
  <c r="Y476" i="1"/>
  <c r="Z476" i="1" s="1"/>
  <c r="Y475" i="1"/>
  <c r="Z475" i="1" s="1"/>
  <c r="Y474" i="1"/>
  <c r="Z474" i="1" s="1"/>
  <c r="Y473" i="1"/>
  <c r="Z473" i="1" s="1"/>
  <c r="Y472" i="1"/>
  <c r="Z472" i="1" s="1"/>
  <c r="Y471" i="1"/>
  <c r="Z471" i="1" s="1"/>
  <c r="Y470" i="1"/>
  <c r="Z470" i="1" s="1"/>
  <c r="Y469" i="1"/>
  <c r="Z469" i="1" s="1"/>
  <c r="Y468" i="1"/>
  <c r="Z468" i="1" s="1"/>
  <c r="Y467" i="1"/>
  <c r="Z467" i="1" s="1"/>
  <c r="Y466" i="1"/>
  <c r="Z466" i="1" s="1"/>
  <c r="Y465" i="1"/>
  <c r="Z465" i="1" s="1"/>
  <c r="Y464" i="1"/>
  <c r="Z464" i="1" s="1"/>
  <c r="Y463" i="1"/>
  <c r="Z463" i="1" s="1"/>
  <c r="Y462" i="1"/>
  <c r="Z462" i="1" s="1"/>
  <c r="Y461" i="1"/>
  <c r="Z461" i="1" s="1"/>
  <c r="Y460" i="1"/>
  <c r="Z460" i="1" s="1"/>
  <c r="Y437" i="1"/>
  <c r="Z437" i="1" s="1"/>
  <c r="Y436" i="1"/>
  <c r="Z436" i="1" s="1"/>
  <c r="Y435" i="1"/>
  <c r="Z435" i="1" s="1"/>
  <c r="Y434" i="1"/>
  <c r="Z434" i="1" s="1"/>
  <c r="Y433" i="1"/>
  <c r="Z433" i="1" s="1"/>
  <c r="Y432" i="1"/>
  <c r="Z432" i="1" s="1"/>
  <c r="Y431" i="1"/>
  <c r="Z431" i="1" s="1"/>
  <c r="Y430" i="1"/>
  <c r="Z430" i="1" s="1"/>
  <c r="Y429" i="1"/>
  <c r="Z429" i="1" s="1"/>
  <c r="Y428" i="1"/>
  <c r="Z428" i="1" s="1"/>
  <c r="Y427" i="1"/>
  <c r="Z427" i="1" s="1"/>
  <c r="Y426" i="1"/>
  <c r="Z426" i="1" s="1"/>
  <c r="Y425" i="1"/>
  <c r="Z425" i="1" s="1"/>
  <c r="Y424" i="1"/>
  <c r="Z424" i="1" s="1"/>
  <c r="Y423" i="1"/>
  <c r="Z423" i="1" s="1"/>
  <c r="Y422" i="1"/>
  <c r="Z422" i="1" s="1"/>
  <c r="Y421" i="1"/>
  <c r="Z421" i="1" s="1"/>
  <c r="Y420" i="1"/>
  <c r="Z420" i="1" s="1"/>
  <c r="Y419" i="1"/>
  <c r="Z419" i="1" s="1"/>
  <c r="Y418" i="1"/>
  <c r="Z418" i="1" s="1"/>
  <c r="Y417" i="1"/>
  <c r="Z417" i="1" s="1"/>
  <c r="Y416" i="1"/>
  <c r="Z416" i="1" s="1"/>
  <c r="Y415" i="1"/>
  <c r="Z415" i="1" s="1"/>
  <c r="Y414" i="1"/>
  <c r="Z414" i="1" s="1"/>
  <c r="Y413" i="1"/>
  <c r="Z413" i="1" s="1"/>
  <c r="Y412" i="1"/>
  <c r="Z412" i="1" s="1"/>
  <c r="Y411" i="1"/>
  <c r="Z411" i="1" s="1"/>
  <c r="Y410" i="1"/>
  <c r="Z410" i="1" s="1"/>
  <c r="Y409" i="1"/>
  <c r="Z409" i="1" s="1"/>
  <c r="Y408" i="1"/>
  <c r="Z408" i="1" s="1"/>
  <c r="Y407" i="1"/>
  <c r="Z407" i="1" s="1"/>
  <c r="Y515" i="1"/>
  <c r="Z515" i="1" s="1"/>
  <c r="W298" i="1"/>
  <c r="W297" i="1"/>
  <c r="W296" i="1"/>
  <c r="W295" i="1"/>
  <c r="W294" i="1"/>
  <c r="W293" i="1"/>
  <c r="W292" i="1"/>
  <c r="W17" i="1"/>
  <c r="W291" i="1"/>
  <c r="W16" i="1"/>
  <c r="W290" i="1"/>
  <c r="W289" i="1"/>
  <c r="W288" i="1"/>
  <c r="W287" i="1"/>
  <c r="W286" i="1"/>
  <c r="W285" i="1"/>
  <c r="W284" i="1"/>
  <c r="W283" i="1"/>
  <c r="W15"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512" i="1"/>
  <c r="W511" i="1"/>
  <c r="W510" i="1"/>
  <c r="W509" i="1"/>
  <c r="W490"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23" i="1"/>
  <c r="W91" i="1"/>
  <c r="W90" i="1"/>
  <c r="W531" i="1"/>
  <c r="W22" i="1"/>
  <c r="W530" i="1"/>
  <c r="W21" i="1"/>
  <c r="W529" i="1"/>
  <c r="W503" i="1"/>
  <c r="W502" i="1"/>
  <c r="W501" i="1"/>
  <c r="W500" i="1"/>
  <c r="W499" i="1"/>
  <c r="W528" i="1"/>
  <c r="W498" i="1"/>
  <c r="W517" i="1"/>
  <c r="W497" i="1"/>
  <c r="W521" i="1"/>
  <c r="W496" i="1"/>
  <c r="W486" i="1"/>
  <c r="W485" i="1"/>
  <c r="W495" i="1"/>
  <c r="W484" i="1"/>
  <c r="W89" i="1"/>
  <c r="W483"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526" i="1"/>
  <c r="W525" i="1"/>
  <c r="W524" i="1"/>
  <c r="W518" i="1"/>
  <c r="W523" i="1"/>
  <c r="W522" i="1"/>
  <c r="W300" i="1"/>
  <c r="W514" i="1"/>
  <c r="W513" i="1"/>
  <c r="W299"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18" i="1"/>
  <c r="W353" i="1"/>
  <c r="W352" i="1"/>
  <c r="W351" i="1"/>
  <c r="W350" i="1"/>
  <c r="W349" i="1"/>
  <c r="W348" i="1"/>
  <c r="W347" i="1"/>
  <c r="W83" i="1"/>
  <c r="W82" i="1"/>
  <c r="W81" i="1"/>
  <c r="W80" i="1"/>
  <c r="W79" i="1"/>
  <c r="W78" i="1"/>
  <c r="W77" i="1"/>
  <c r="W13" i="1"/>
  <c r="W76" i="1"/>
  <c r="W75" i="1"/>
  <c r="W74" i="1"/>
  <c r="W12" i="1"/>
  <c r="W73" i="1"/>
  <c r="W72" i="1"/>
  <c r="W71" i="1"/>
  <c r="W70" i="1"/>
  <c r="W69" i="1"/>
  <c r="W68" i="1"/>
  <c r="W67" i="1"/>
  <c r="W66" i="1"/>
  <c r="W65" i="1"/>
  <c r="W64" i="1"/>
  <c r="W508" i="1"/>
  <c r="W507" i="1"/>
  <c r="W506" i="1"/>
  <c r="W489" i="1"/>
  <c r="W488" i="1"/>
  <c r="W487" i="1"/>
  <c r="W505" i="1"/>
  <c r="W504" i="1"/>
  <c r="W247" i="1"/>
  <c r="W246" i="1"/>
  <c r="W245" i="1"/>
  <c r="W244" i="1"/>
  <c r="W243" i="1"/>
  <c r="W242" i="1"/>
  <c r="W241" i="1"/>
  <c r="W240" i="1"/>
  <c r="W239" i="1"/>
  <c r="W238" i="1"/>
  <c r="W237" i="1"/>
  <c r="W14"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520" i="1"/>
  <c r="W494" i="1"/>
  <c r="W493" i="1"/>
  <c r="W527" i="1"/>
  <c r="W448" i="1"/>
  <c r="W20" i="1"/>
  <c r="W63" i="1"/>
  <c r="W516" i="1"/>
  <c r="W492" i="1"/>
  <c r="W491" i="1"/>
  <c r="W519" i="1"/>
  <c r="W447" i="1"/>
  <c r="W19" i="1"/>
  <c r="W62" i="1"/>
  <c r="W61" i="1"/>
  <c r="W60" i="1"/>
  <c r="W59" i="1"/>
  <c r="W58" i="1"/>
  <c r="W57" i="1"/>
  <c r="W56" i="1"/>
  <c r="W55" i="1"/>
  <c r="W446" i="1"/>
  <c r="W54" i="1"/>
  <c r="W445" i="1"/>
  <c r="W444" i="1"/>
  <c r="W443" i="1"/>
  <c r="W442" i="1"/>
  <c r="W53" i="1"/>
  <c r="W52" i="1"/>
  <c r="W51" i="1"/>
  <c r="W50" i="1"/>
  <c r="W49" i="1"/>
  <c r="W441" i="1"/>
  <c r="W48" i="1"/>
  <c r="W440" i="1"/>
  <c r="W47" i="1"/>
  <c r="W46" i="1"/>
  <c r="W439" i="1"/>
  <c r="W438" i="1"/>
  <c r="W45" i="1"/>
  <c r="W44" i="1"/>
  <c r="W43" i="1"/>
  <c r="W88" i="1"/>
  <c r="W87" i="1"/>
  <c r="W86" i="1"/>
  <c r="W85" i="1"/>
  <c r="W84" i="1"/>
  <c r="W459" i="1"/>
  <c r="W458" i="1"/>
  <c r="W457" i="1"/>
  <c r="W456" i="1"/>
  <c r="W455" i="1"/>
  <c r="W454" i="1"/>
  <c r="W453" i="1"/>
  <c r="W452" i="1"/>
  <c r="W451" i="1"/>
  <c r="W450" i="1"/>
  <c r="W449" i="1"/>
  <c r="W482" i="1"/>
  <c r="W481" i="1"/>
  <c r="W480" i="1"/>
  <c r="W479" i="1"/>
  <c r="W478" i="1"/>
  <c r="W477" i="1"/>
  <c r="W476" i="1"/>
  <c r="W475" i="1"/>
  <c r="W474" i="1"/>
  <c r="W473" i="1"/>
  <c r="W472" i="1"/>
  <c r="W471" i="1"/>
  <c r="W470" i="1"/>
  <c r="W469" i="1"/>
  <c r="W468" i="1"/>
  <c r="W467" i="1"/>
  <c r="W466" i="1"/>
  <c r="W465" i="1"/>
  <c r="W464" i="1"/>
  <c r="W463" i="1"/>
  <c r="W462" i="1"/>
  <c r="W461" i="1"/>
  <c r="W460"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412" i="1"/>
  <c r="W411" i="1"/>
  <c r="W410" i="1"/>
  <c r="W409" i="1"/>
  <c r="W408" i="1"/>
  <c r="W407" i="1"/>
  <c r="V298" i="1"/>
  <c r="V297" i="1"/>
  <c r="V296" i="1"/>
  <c r="V295" i="1"/>
  <c r="V294" i="1"/>
  <c r="V293" i="1"/>
  <c r="V292" i="1"/>
  <c r="V17" i="1"/>
  <c r="V291" i="1"/>
  <c r="V16" i="1"/>
  <c r="V290" i="1"/>
  <c r="V289" i="1"/>
  <c r="V288" i="1"/>
  <c r="V287" i="1"/>
  <c r="V286" i="1"/>
  <c r="V285" i="1"/>
  <c r="V284" i="1"/>
  <c r="V283" i="1"/>
  <c r="V15" i="1"/>
  <c r="V282" i="1"/>
  <c r="V281" i="1"/>
  <c r="V280" i="1"/>
  <c r="V279" i="1"/>
  <c r="V278" i="1"/>
  <c r="V277" i="1"/>
  <c r="V276"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512" i="1"/>
  <c r="V511" i="1"/>
  <c r="V510" i="1"/>
  <c r="V509" i="1"/>
  <c r="V490"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23" i="1"/>
  <c r="V91" i="1"/>
  <c r="V90" i="1"/>
  <c r="V531" i="1"/>
  <c r="V22" i="1"/>
  <c r="V530" i="1"/>
  <c r="V21" i="1"/>
  <c r="V529" i="1"/>
  <c r="V503" i="1"/>
  <c r="V502" i="1"/>
  <c r="V501" i="1"/>
  <c r="V500" i="1"/>
  <c r="V499" i="1"/>
  <c r="V528" i="1"/>
  <c r="V498" i="1"/>
  <c r="V517" i="1"/>
  <c r="V497" i="1"/>
  <c r="V521" i="1"/>
  <c r="V496" i="1"/>
  <c r="V486" i="1"/>
  <c r="V485" i="1"/>
  <c r="V495" i="1"/>
  <c r="V484" i="1"/>
  <c r="V89" i="1"/>
  <c r="V483" i="1"/>
  <c r="V346" i="1"/>
  <c r="V345" i="1"/>
  <c r="V344" i="1"/>
  <c r="V343" i="1"/>
  <c r="V342" i="1"/>
  <c r="V341" i="1"/>
  <c r="V340" i="1"/>
  <c r="V339" i="1"/>
  <c r="V338" i="1"/>
  <c r="V337" i="1"/>
  <c r="V336" i="1"/>
  <c r="V335" i="1"/>
  <c r="V334" i="1"/>
  <c r="V333" i="1"/>
  <c r="V332" i="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305" i="1"/>
  <c r="V304" i="1"/>
  <c r="V303" i="1"/>
  <c r="V302" i="1"/>
  <c r="V301" i="1"/>
  <c r="V526" i="1"/>
  <c r="V525" i="1"/>
  <c r="V524" i="1"/>
  <c r="V518" i="1"/>
  <c r="V523" i="1"/>
  <c r="V522" i="1"/>
  <c r="V300" i="1"/>
  <c r="V514" i="1"/>
  <c r="V513" i="1"/>
  <c r="V299" i="1"/>
  <c r="V406" i="1"/>
  <c r="V405" i="1"/>
  <c r="V404" i="1"/>
  <c r="V403" i="1"/>
  <c r="V402" i="1"/>
  <c r="V401" i="1"/>
  <c r="V400" i="1"/>
  <c r="V399" i="1"/>
  <c r="V398" i="1"/>
  <c r="V397" i="1"/>
  <c r="V396" i="1"/>
  <c r="V395" i="1"/>
  <c r="V394" i="1"/>
  <c r="V393" i="1"/>
  <c r="V392" i="1"/>
  <c r="V391" i="1"/>
  <c r="V390" i="1"/>
  <c r="V389" i="1"/>
  <c r="V388" i="1"/>
  <c r="V387" i="1"/>
  <c r="V386" i="1"/>
  <c r="V385" i="1"/>
  <c r="V38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18" i="1"/>
  <c r="V353" i="1"/>
  <c r="V352" i="1"/>
  <c r="V351" i="1"/>
  <c r="V350" i="1"/>
  <c r="V349" i="1"/>
  <c r="V348" i="1"/>
  <c r="V347" i="1"/>
  <c r="V83" i="1"/>
  <c r="V82" i="1"/>
  <c r="V81" i="1"/>
  <c r="V80" i="1"/>
  <c r="V79" i="1"/>
  <c r="V78" i="1"/>
  <c r="V77" i="1"/>
  <c r="V13" i="1"/>
  <c r="V76" i="1"/>
  <c r="V75" i="1"/>
  <c r="V74" i="1"/>
  <c r="V12" i="1"/>
  <c r="V73" i="1"/>
  <c r="V72" i="1"/>
  <c r="V71" i="1"/>
  <c r="V70" i="1"/>
  <c r="V69" i="1"/>
  <c r="V68" i="1"/>
  <c r="V67" i="1"/>
  <c r="V66" i="1"/>
  <c r="V65" i="1"/>
  <c r="V64" i="1"/>
  <c r="V508" i="1"/>
  <c r="V507" i="1"/>
  <c r="V506" i="1"/>
  <c r="V489" i="1"/>
  <c r="V488" i="1"/>
  <c r="V487" i="1"/>
  <c r="V505" i="1"/>
  <c r="V504" i="1"/>
  <c r="V247" i="1"/>
  <c r="V246" i="1"/>
  <c r="V245" i="1"/>
  <c r="V244" i="1"/>
  <c r="V243" i="1"/>
  <c r="V242" i="1"/>
  <c r="V241" i="1"/>
  <c r="V240" i="1"/>
  <c r="V239" i="1"/>
  <c r="V238" i="1"/>
  <c r="V237" i="1"/>
  <c r="V14"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520" i="1"/>
  <c r="V494" i="1"/>
  <c r="V493" i="1"/>
  <c r="V527" i="1"/>
  <c r="V448" i="1"/>
  <c r="V20" i="1"/>
  <c r="V63" i="1"/>
  <c r="V516" i="1"/>
  <c r="V492" i="1"/>
  <c r="V491" i="1"/>
  <c r="V519" i="1"/>
  <c r="V447" i="1"/>
  <c r="V19" i="1"/>
  <c r="V62" i="1"/>
  <c r="V61" i="1"/>
  <c r="V60" i="1"/>
  <c r="V59" i="1"/>
  <c r="V58" i="1"/>
  <c r="V57" i="1"/>
  <c r="V56" i="1"/>
  <c r="V55" i="1"/>
  <c r="V446" i="1"/>
  <c r="V54" i="1"/>
  <c r="V445" i="1"/>
  <c r="V444" i="1"/>
  <c r="V443" i="1"/>
  <c r="V442" i="1"/>
  <c r="V53" i="1"/>
  <c r="V52" i="1"/>
  <c r="V51" i="1"/>
  <c r="V50" i="1"/>
  <c r="V49" i="1"/>
  <c r="V441" i="1"/>
  <c r="V48" i="1"/>
  <c r="V440" i="1"/>
  <c r="V47" i="1"/>
  <c r="V46" i="1"/>
  <c r="V439" i="1"/>
  <c r="V438" i="1"/>
  <c r="V45" i="1"/>
  <c r="V44" i="1"/>
  <c r="V43" i="1"/>
  <c r="V88" i="1"/>
  <c r="V87" i="1"/>
  <c r="V86" i="1"/>
  <c r="V85" i="1"/>
  <c r="V84" i="1"/>
  <c r="V459" i="1"/>
  <c r="V458" i="1"/>
  <c r="V457" i="1"/>
  <c r="V456" i="1"/>
  <c r="V455" i="1"/>
  <c r="V454" i="1"/>
  <c r="V453" i="1"/>
  <c r="V452" i="1"/>
  <c r="V451" i="1"/>
  <c r="V450" i="1"/>
  <c r="V449" i="1"/>
  <c r="V482" i="1"/>
  <c r="V481" i="1"/>
  <c r="V480" i="1"/>
  <c r="V479" i="1"/>
  <c r="V478" i="1"/>
  <c r="V477" i="1"/>
  <c r="V476" i="1"/>
  <c r="V475" i="1"/>
  <c r="V474" i="1"/>
  <c r="V473" i="1"/>
  <c r="V472" i="1"/>
  <c r="V471" i="1"/>
  <c r="V470" i="1"/>
  <c r="V469" i="1"/>
  <c r="V468" i="1"/>
  <c r="V467" i="1"/>
  <c r="V466" i="1"/>
  <c r="V465" i="1"/>
  <c r="V464" i="1"/>
  <c r="V463" i="1"/>
  <c r="V462" i="1"/>
  <c r="V461" i="1"/>
  <c r="V460" i="1"/>
  <c r="V437" i="1"/>
  <c r="V436" i="1"/>
  <c r="V435" i="1"/>
  <c r="V434" i="1"/>
  <c r="V433" i="1"/>
  <c r="V432" i="1"/>
  <c r="V431" i="1"/>
  <c r="V430" i="1"/>
  <c r="V429" i="1"/>
  <c r="V428" i="1"/>
  <c r="V427" i="1"/>
  <c r="V426" i="1"/>
  <c r="V425" i="1"/>
  <c r="V424" i="1"/>
  <c r="V423" i="1"/>
  <c r="V422" i="1"/>
  <c r="V421" i="1"/>
  <c r="V420" i="1"/>
  <c r="V419" i="1"/>
  <c r="V418" i="1"/>
  <c r="V417" i="1"/>
  <c r="V416" i="1"/>
  <c r="V415" i="1"/>
  <c r="V414" i="1"/>
  <c r="V413" i="1"/>
  <c r="V412" i="1"/>
  <c r="V411" i="1"/>
  <c r="V410" i="1"/>
  <c r="V409" i="1"/>
  <c r="V408" i="1"/>
  <c r="V407" i="1"/>
  <c r="V515" i="1"/>
  <c r="U298" i="1"/>
  <c r="U297" i="1"/>
  <c r="U296" i="1"/>
  <c r="U295" i="1"/>
  <c r="U294" i="1"/>
  <c r="U293" i="1"/>
  <c r="U292" i="1"/>
  <c r="U17" i="1"/>
  <c r="U291" i="1"/>
  <c r="U16" i="1"/>
  <c r="U290" i="1"/>
  <c r="U289" i="1"/>
  <c r="U288" i="1"/>
  <c r="U287" i="1"/>
  <c r="U286" i="1"/>
  <c r="U285" i="1"/>
  <c r="U284" i="1"/>
  <c r="U283" i="1"/>
  <c r="U15"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512" i="1"/>
  <c r="U511" i="1"/>
  <c r="U510" i="1"/>
  <c r="U509" i="1"/>
  <c r="U490"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23" i="1"/>
  <c r="U91" i="1"/>
  <c r="U90" i="1"/>
  <c r="U531" i="1"/>
  <c r="U22" i="1"/>
  <c r="U530" i="1"/>
  <c r="U21" i="1"/>
  <c r="U529" i="1"/>
  <c r="U503" i="1"/>
  <c r="U502" i="1"/>
  <c r="U501" i="1"/>
  <c r="U500" i="1"/>
  <c r="U499" i="1"/>
  <c r="U528" i="1"/>
  <c r="U498" i="1"/>
  <c r="U517" i="1"/>
  <c r="U497" i="1"/>
  <c r="U521" i="1"/>
  <c r="U496" i="1"/>
  <c r="U486" i="1"/>
  <c r="U485" i="1"/>
  <c r="U495" i="1"/>
  <c r="U484" i="1"/>
  <c r="U89" i="1"/>
  <c r="U483"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526" i="1"/>
  <c r="U525" i="1"/>
  <c r="U524" i="1"/>
  <c r="U518" i="1"/>
  <c r="U523" i="1"/>
  <c r="U522" i="1"/>
  <c r="U300" i="1"/>
  <c r="U514" i="1"/>
  <c r="U513" i="1"/>
  <c r="U299"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18" i="1"/>
  <c r="U353" i="1"/>
  <c r="U352" i="1"/>
  <c r="U351" i="1"/>
  <c r="U350" i="1"/>
  <c r="U349" i="1"/>
  <c r="U348" i="1"/>
  <c r="U347" i="1"/>
  <c r="U83" i="1"/>
  <c r="U82" i="1"/>
  <c r="U81" i="1"/>
  <c r="U80" i="1"/>
  <c r="U79" i="1"/>
  <c r="U78" i="1"/>
  <c r="U77" i="1"/>
  <c r="U13" i="1"/>
  <c r="U76" i="1"/>
  <c r="U75" i="1"/>
  <c r="U74" i="1"/>
  <c r="U12" i="1"/>
  <c r="U73" i="1"/>
  <c r="U72" i="1"/>
  <c r="U71" i="1"/>
  <c r="U70" i="1"/>
  <c r="U69" i="1"/>
  <c r="U68" i="1"/>
  <c r="U67" i="1"/>
  <c r="U66" i="1"/>
  <c r="U65" i="1"/>
  <c r="U64" i="1"/>
  <c r="U508" i="1"/>
  <c r="U507" i="1"/>
  <c r="U506" i="1"/>
  <c r="U489" i="1"/>
  <c r="U488" i="1"/>
  <c r="U487" i="1"/>
  <c r="U505" i="1"/>
  <c r="U504" i="1"/>
  <c r="U247" i="1"/>
  <c r="U246" i="1"/>
  <c r="U245" i="1"/>
  <c r="U244" i="1"/>
  <c r="U243" i="1"/>
  <c r="U242" i="1"/>
  <c r="U241" i="1"/>
  <c r="U240" i="1"/>
  <c r="U239" i="1"/>
  <c r="U238" i="1"/>
  <c r="U237" i="1"/>
  <c r="U14"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520" i="1"/>
  <c r="U494" i="1"/>
  <c r="U493" i="1"/>
  <c r="U527" i="1"/>
  <c r="U448" i="1"/>
  <c r="U20" i="1"/>
  <c r="U63" i="1"/>
  <c r="U516" i="1"/>
  <c r="U492" i="1"/>
  <c r="U491" i="1"/>
  <c r="U519" i="1"/>
  <c r="U447" i="1"/>
  <c r="U19" i="1"/>
  <c r="U62" i="1"/>
  <c r="U61" i="1"/>
  <c r="U60" i="1"/>
  <c r="U59" i="1"/>
  <c r="U58" i="1"/>
  <c r="U57" i="1"/>
  <c r="U56" i="1"/>
  <c r="U55" i="1"/>
  <c r="U446" i="1"/>
  <c r="U54" i="1"/>
  <c r="U445" i="1"/>
  <c r="U444" i="1"/>
  <c r="U443" i="1"/>
  <c r="U442" i="1"/>
  <c r="U53" i="1"/>
  <c r="U52" i="1"/>
  <c r="U51" i="1"/>
  <c r="U50" i="1"/>
  <c r="U49" i="1"/>
  <c r="U441" i="1"/>
  <c r="U48" i="1"/>
  <c r="U440" i="1"/>
  <c r="U47" i="1"/>
  <c r="U46" i="1"/>
  <c r="U439" i="1"/>
  <c r="U438" i="1"/>
  <c r="U45" i="1"/>
  <c r="U44" i="1"/>
  <c r="U43" i="1"/>
  <c r="U88" i="1"/>
  <c r="U87" i="1"/>
  <c r="U86" i="1"/>
  <c r="U85" i="1"/>
  <c r="U84" i="1"/>
  <c r="U459" i="1"/>
  <c r="U458" i="1"/>
  <c r="U457" i="1"/>
  <c r="U456" i="1"/>
  <c r="U455" i="1"/>
  <c r="U454" i="1"/>
  <c r="U453" i="1"/>
  <c r="U452" i="1"/>
  <c r="U451" i="1"/>
  <c r="U450" i="1"/>
  <c r="U449" i="1"/>
  <c r="U482" i="1"/>
  <c r="U481" i="1"/>
  <c r="U480" i="1"/>
  <c r="U479" i="1"/>
  <c r="U478" i="1"/>
  <c r="U477" i="1"/>
  <c r="U476" i="1"/>
  <c r="U475" i="1"/>
  <c r="U474" i="1"/>
  <c r="U473" i="1"/>
  <c r="U472" i="1"/>
  <c r="U471" i="1"/>
  <c r="U470" i="1"/>
  <c r="U469" i="1"/>
  <c r="U468" i="1"/>
  <c r="U467" i="1"/>
  <c r="U466" i="1"/>
  <c r="U465" i="1"/>
  <c r="U464" i="1"/>
  <c r="U463" i="1"/>
  <c r="U462" i="1"/>
  <c r="U461" i="1"/>
  <c r="U460"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515" i="1"/>
  <c r="T298" i="1"/>
  <c r="T297" i="1"/>
  <c r="T296" i="1"/>
  <c r="T295" i="1"/>
  <c r="T294" i="1"/>
  <c r="T293" i="1"/>
  <c r="T292" i="1"/>
  <c r="T17" i="1"/>
  <c r="T291" i="1"/>
  <c r="T16" i="1"/>
  <c r="T290" i="1"/>
  <c r="T289" i="1"/>
  <c r="T288" i="1"/>
  <c r="T287" i="1"/>
  <c r="T286" i="1"/>
  <c r="T285" i="1"/>
  <c r="T284" i="1"/>
  <c r="T283" i="1"/>
  <c r="T15"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512" i="1"/>
  <c r="T511" i="1"/>
  <c r="T510" i="1"/>
  <c r="T509" i="1"/>
  <c r="T490"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23" i="1"/>
  <c r="T91" i="1"/>
  <c r="T90" i="1"/>
  <c r="T531" i="1"/>
  <c r="T22" i="1"/>
  <c r="T530" i="1"/>
  <c r="T21" i="1"/>
  <c r="T529" i="1"/>
  <c r="T503" i="1"/>
  <c r="T502" i="1"/>
  <c r="T501" i="1"/>
  <c r="T500" i="1"/>
  <c r="T499" i="1"/>
  <c r="T528" i="1"/>
  <c r="T498" i="1"/>
  <c r="T517" i="1"/>
  <c r="T497" i="1"/>
  <c r="T521" i="1"/>
  <c r="T496" i="1"/>
  <c r="T486" i="1"/>
  <c r="T485" i="1"/>
  <c r="T495" i="1"/>
  <c r="T484" i="1"/>
  <c r="T89" i="1"/>
  <c r="T483"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526" i="1"/>
  <c r="T525" i="1"/>
  <c r="T524" i="1"/>
  <c r="T518" i="1"/>
  <c r="T523" i="1"/>
  <c r="T522" i="1"/>
  <c r="T300" i="1"/>
  <c r="T514" i="1"/>
  <c r="T513" i="1"/>
  <c r="T299"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18" i="1"/>
  <c r="T353" i="1"/>
  <c r="T352" i="1"/>
  <c r="T351" i="1"/>
  <c r="T350" i="1"/>
  <c r="T349" i="1"/>
  <c r="T348" i="1"/>
  <c r="T347" i="1"/>
  <c r="T83" i="1"/>
  <c r="T82" i="1"/>
  <c r="T81" i="1"/>
  <c r="T80" i="1"/>
  <c r="T79" i="1"/>
  <c r="T78" i="1"/>
  <c r="T77" i="1"/>
  <c r="T13" i="1"/>
  <c r="T76" i="1"/>
  <c r="T75" i="1"/>
  <c r="T74" i="1"/>
  <c r="T12" i="1"/>
  <c r="T73" i="1"/>
  <c r="T72" i="1"/>
  <c r="T71" i="1"/>
  <c r="T70" i="1"/>
  <c r="T69" i="1"/>
  <c r="T68" i="1"/>
  <c r="T67" i="1"/>
  <c r="T66" i="1"/>
  <c r="T65" i="1"/>
  <c r="T64" i="1"/>
  <c r="T508" i="1"/>
  <c r="T507" i="1"/>
  <c r="T506" i="1"/>
  <c r="T489" i="1"/>
  <c r="T488" i="1"/>
  <c r="T487" i="1"/>
  <c r="T505" i="1"/>
  <c r="T504" i="1"/>
  <c r="T247" i="1"/>
  <c r="T246" i="1"/>
  <c r="T245" i="1"/>
  <c r="T244" i="1"/>
  <c r="T243" i="1"/>
  <c r="T242" i="1"/>
  <c r="T241" i="1"/>
  <c r="T240" i="1"/>
  <c r="T239" i="1"/>
  <c r="T238" i="1"/>
  <c r="T237" i="1"/>
  <c r="T14"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520" i="1"/>
  <c r="T494" i="1"/>
  <c r="T493" i="1"/>
  <c r="T527" i="1"/>
  <c r="T448" i="1"/>
  <c r="T20" i="1"/>
  <c r="T63" i="1"/>
  <c r="T516" i="1"/>
  <c r="T492" i="1"/>
  <c r="T491" i="1"/>
  <c r="T519" i="1"/>
  <c r="T447" i="1"/>
  <c r="T19" i="1"/>
  <c r="T62" i="1"/>
  <c r="T61" i="1"/>
  <c r="T60" i="1"/>
  <c r="T59" i="1"/>
  <c r="T58" i="1"/>
  <c r="T57" i="1"/>
  <c r="T56" i="1"/>
  <c r="T55" i="1"/>
  <c r="T446" i="1"/>
  <c r="T54" i="1"/>
  <c r="T445" i="1"/>
  <c r="T444" i="1"/>
  <c r="T443" i="1"/>
  <c r="T442" i="1"/>
  <c r="T53" i="1"/>
  <c r="T52" i="1"/>
  <c r="T51" i="1"/>
  <c r="T50" i="1"/>
  <c r="T49" i="1"/>
  <c r="T441" i="1"/>
  <c r="T48" i="1"/>
  <c r="T440" i="1"/>
  <c r="T47" i="1"/>
  <c r="T46" i="1"/>
  <c r="T439" i="1"/>
  <c r="T438" i="1"/>
  <c r="T45" i="1"/>
  <c r="T44" i="1"/>
  <c r="T43" i="1"/>
  <c r="T88" i="1"/>
  <c r="T87" i="1"/>
  <c r="T86" i="1"/>
  <c r="T85" i="1"/>
  <c r="T84" i="1"/>
  <c r="T459" i="1"/>
  <c r="T458" i="1"/>
  <c r="T457" i="1"/>
  <c r="T456" i="1"/>
  <c r="T455" i="1"/>
  <c r="T454" i="1"/>
  <c r="T453" i="1"/>
  <c r="T452" i="1"/>
  <c r="T451" i="1"/>
  <c r="T450" i="1"/>
  <c r="T449" i="1"/>
  <c r="T482" i="1"/>
  <c r="T481" i="1"/>
  <c r="T480" i="1"/>
  <c r="T479" i="1"/>
  <c r="T478" i="1"/>
  <c r="T477" i="1"/>
  <c r="T476" i="1"/>
  <c r="T475" i="1"/>
  <c r="T474" i="1"/>
  <c r="T473" i="1"/>
  <c r="T472" i="1"/>
  <c r="T471" i="1"/>
  <c r="T470" i="1"/>
  <c r="T469" i="1"/>
  <c r="T468" i="1"/>
  <c r="T467" i="1"/>
  <c r="T466" i="1"/>
  <c r="T465" i="1"/>
  <c r="T464" i="1"/>
  <c r="T463" i="1"/>
  <c r="T462" i="1"/>
  <c r="T461" i="1"/>
  <c r="T460" i="1"/>
  <c r="T437"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S298" i="1"/>
  <c r="S297" i="1"/>
  <c r="S296" i="1"/>
  <c r="S295" i="1"/>
  <c r="S294" i="1"/>
  <c r="S293" i="1"/>
  <c r="S292" i="1"/>
  <c r="S17" i="1"/>
  <c r="S291" i="1"/>
  <c r="S16" i="1"/>
  <c r="S290" i="1"/>
  <c r="S289" i="1"/>
  <c r="S288" i="1"/>
  <c r="S287" i="1"/>
  <c r="S286" i="1"/>
  <c r="S285" i="1"/>
  <c r="S284" i="1"/>
  <c r="S283" i="1"/>
  <c r="S15"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512" i="1"/>
  <c r="S511" i="1"/>
  <c r="S510" i="1"/>
  <c r="S509" i="1"/>
  <c r="S490"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23" i="1"/>
  <c r="S91" i="1"/>
  <c r="S90" i="1"/>
  <c r="S531" i="1"/>
  <c r="S22" i="1"/>
  <c r="S530" i="1"/>
  <c r="S21" i="1"/>
  <c r="S529" i="1"/>
  <c r="S503" i="1"/>
  <c r="S502" i="1"/>
  <c r="S501" i="1"/>
  <c r="S500" i="1"/>
  <c r="S499" i="1"/>
  <c r="S528" i="1"/>
  <c r="S498" i="1"/>
  <c r="S517" i="1"/>
  <c r="S497" i="1"/>
  <c r="S521" i="1"/>
  <c r="S496" i="1"/>
  <c r="S486" i="1"/>
  <c r="S485" i="1"/>
  <c r="S495" i="1"/>
  <c r="S484" i="1"/>
  <c r="S89" i="1"/>
  <c r="S483"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526" i="1"/>
  <c r="S525" i="1"/>
  <c r="S524" i="1"/>
  <c r="S518" i="1"/>
  <c r="S523" i="1"/>
  <c r="S522" i="1"/>
  <c r="S300" i="1"/>
  <c r="S514" i="1"/>
  <c r="S513" i="1"/>
  <c r="S299"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18" i="1"/>
  <c r="S353" i="1"/>
  <c r="S352" i="1"/>
  <c r="S351" i="1"/>
  <c r="S350" i="1"/>
  <c r="S349" i="1"/>
  <c r="S348" i="1"/>
  <c r="S347" i="1"/>
  <c r="S83" i="1"/>
  <c r="S82" i="1"/>
  <c r="S81" i="1"/>
  <c r="S80" i="1"/>
  <c r="S79" i="1"/>
  <c r="S78" i="1"/>
  <c r="S77" i="1"/>
  <c r="S13" i="1"/>
  <c r="S76" i="1"/>
  <c r="S75" i="1"/>
  <c r="S74" i="1"/>
  <c r="S12" i="1"/>
  <c r="S73" i="1"/>
  <c r="S72" i="1"/>
  <c r="S71" i="1"/>
  <c r="S70" i="1"/>
  <c r="S69" i="1"/>
  <c r="S68" i="1"/>
  <c r="S67" i="1"/>
  <c r="S66" i="1"/>
  <c r="S65" i="1"/>
  <c r="S64" i="1"/>
  <c r="S508" i="1"/>
  <c r="S507" i="1"/>
  <c r="S506" i="1"/>
  <c r="S489" i="1"/>
  <c r="S488" i="1"/>
  <c r="S487" i="1"/>
  <c r="S505" i="1"/>
  <c r="S504" i="1"/>
  <c r="S247" i="1"/>
  <c r="S246" i="1"/>
  <c r="S245" i="1"/>
  <c r="S244" i="1"/>
  <c r="S243" i="1"/>
  <c r="S242" i="1"/>
  <c r="S241" i="1"/>
  <c r="S240" i="1"/>
  <c r="S239" i="1"/>
  <c r="S238" i="1"/>
  <c r="S237" i="1"/>
  <c r="S14"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520" i="1"/>
  <c r="S494" i="1"/>
  <c r="S493" i="1"/>
  <c r="S527" i="1"/>
  <c r="S448" i="1"/>
  <c r="S20" i="1"/>
  <c r="S63" i="1"/>
  <c r="S516" i="1"/>
  <c r="S492" i="1"/>
  <c r="S491" i="1"/>
  <c r="S519" i="1"/>
  <c r="S447" i="1"/>
  <c r="S19" i="1"/>
  <c r="S62" i="1"/>
  <c r="S61" i="1"/>
  <c r="S60" i="1"/>
  <c r="S59" i="1"/>
  <c r="S58" i="1"/>
  <c r="S57" i="1"/>
  <c r="S56" i="1"/>
  <c r="S55" i="1"/>
  <c r="S446" i="1"/>
  <c r="S54" i="1"/>
  <c r="S445" i="1"/>
  <c r="S444" i="1"/>
  <c r="S443" i="1"/>
  <c r="S442" i="1"/>
  <c r="S53" i="1"/>
  <c r="S52" i="1"/>
  <c r="S51" i="1"/>
  <c r="S50" i="1"/>
  <c r="S49" i="1"/>
  <c r="S441" i="1"/>
  <c r="S48" i="1"/>
  <c r="S440" i="1"/>
  <c r="S47" i="1"/>
  <c r="S46" i="1"/>
  <c r="S439" i="1"/>
  <c r="S438" i="1"/>
  <c r="S45" i="1"/>
  <c r="S44" i="1"/>
  <c r="S43" i="1"/>
  <c r="S88" i="1"/>
  <c r="S87" i="1"/>
  <c r="S86" i="1"/>
  <c r="S85" i="1"/>
  <c r="S84" i="1"/>
  <c r="S459" i="1"/>
  <c r="S458" i="1"/>
  <c r="S457" i="1"/>
  <c r="S456" i="1"/>
  <c r="S455" i="1"/>
  <c r="S454" i="1"/>
  <c r="S453" i="1"/>
  <c r="S452" i="1"/>
  <c r="S451" i="1"/>
  <c r="S450" i="1"/>
  <c r="S449" i="1"/>
  <c r="S482" i="1"/>
  <c r="S481" i="1"/>
  <c r="S480" i="1"/>
  <c r="S479" i="1"/>
  <c r="S478" i="1"/>
  <c r="S477" i="1"/>
  <c r="S476" i="1"/>
  <c r="S475" i="1"/>
  <c r="S474" i="1"/>
  <c r="S473" i="1"/>
  <c r="S472" i="1"/>
  <c r="S471" i="1"/>
  <c r="S470" i="1"/>
  <c r="S469" i="1"/>
  <c r="S468" i="1"/>
  <c r="S467" i="1"/>
  <c r="S466" i="1"/>
  <c r="S465" i="1"/>
  <c r="S464" i="1"/>
  <c r="S463" i="1"/>
  <c r="S462" i="1"/>
  <c r="S461" i="1"/>
  <c r="S460" i="1"/>
  <c r="S437" i="1"/>
  <c r="S436" i="1"/>
  <c r="S435" i="1"/>
  <c r="S434" i="1"/>
  <c r="S433" i="1"/>
  <c r="S432" i="1"/>
  <c r="S431" i="1"/>
  <c r="S430" i="1"/>
  <c r="S429" i="1"/>
  <c r="S428" i="1"/>
  <c r="S427" i="1"/>
  <c r="S426" i="1"/>
  <c r="S425" i="1"/>
  <c r="S424" i="1"/>
  <c r="S423" i="1"/>
  <c r="S422" i="1"/>
  <c r="S421" i="1"/>
  <c r="S420" i="1"/>
  <c r="S419" i="1"/>
  <c r="S418" i="1"/>
  <c r="S417" i="1"/>
  <c r="S416" i="1"/>
  <c r="S415" i="1"/>
  <c r="S414" i="1"/>
  <c r="S413" i="1"/>
  <c r="S412" i="1"/>
  <c r="S411" i="1"/>
  <c r="S410" i="1"/>
  <c r="S409" i="1"/>
  <c r="S408" i="1"/>
  <c r="S407" i="1"/>
  <c r="S515" i="1"/>
  <c r="T515" i="1"/>
  <c r="W515" i="1"/>
  <c r="AB515" i="1"/>
  <c r="AC515"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AD533" i="1" l="1"/>
  <c r="AF533" i="1" s="1"/>
  <c r="AD536" i="1"/>
  <c r="AF536" i="1" s="1"/>
  <c r="AD539" i="1"/>
  <c r="AF539" i="1" s="1"/>
  <c r="AD540" i="1"/>
  <c r="AF540" i="1" s="1"/>
  <c r="AD581" i="1"/>
  <c r="AF581" i="1" s="1"/>
  <c r="AD543" i="1"/>
  <c r="AF543" i="1" s="1"/>
  <c r="AD561" i="1"/>
  <c r="AF561" i="1" s="1"/>
  <c r="AD569" i="1"/>
  <c r="AF569" i="1" s="1"/>
  <c r="Q5" i="1"/>
  <c r="W5" i="1" s="1"/>
  <c r="AI543" i="1"/>
  <c r="AE569" i="1"/>
  <c r="Q6" i="1"/>
  <c r="W6" i="1" s="1"/>
  <c r="AI536" i="1"/>
  <c r="AI583" i="1"/>
  <c r="AD57" i="1"/>
  <c r="AF57" i="1" s="1"/>
  <c r="AE567" i="1"/>
  <c r="AI542" i="1"/>
  <c r="AI604" i="1"/>
  <c r="AD35" i="1"/>
  <c r="AF35" i="1" s="1"/>
  <c r="AI662" i="1"/>
  <c r="AE570" i="1"/>
  <c r="AD636" i="1"/>
  <c r="AF636" i="1" s="1"/>
  <c r="AD154" i="1"/>
  <c r="AF154" i="1" s="1"/>
  <c r="AD655" i="1"/>
  <c r="AF655" i="1" s="1"/>
  <c r="AD513" i="1"/>
  <c r="AF513" i="1" s="1"/>
  <c r="AD526" i="1"/>
  <c r="AF526" i="1" s="1"/>
  <c r="AD662" i="1"/>
  <c r="AF662" i="1" s="1"/>
  <c r="AE662" i="1"/>
  <c r="AI627" i="1"/>
  <c r="AD477" i="1"/>
  <c r="AF477" i="1" s="1"/>
  <c r="AD224" i="1"/>
  <c r="AF224" i="1" s="1"/>
  <c r="AD363" i="1"/>
  <c r="AF363" i="1" s="1"/>
  <c r="AD97" i="1"/>
  <c r="AF97" i="1" s="1"/>
  <c r="AD169" i="1"/>
  <c r="AF169" i="1" s="1"/>
  <c r="AD177" i="1"/>
  <c r="AF177" i="1" s="1"/>
  <c r="AD185" i="1"/>
  <c r="AF185" i="1" s="1"/>
  <c r="AD509" i="1"/>
  <c r="AF509" i="1" s="1"/>
  <c r="AD252" i="1"/>
  <c r="AF252" i="1" s="1"/>
  <c r="AD268" i="1"/>
  <c r="AF268" i="1" s="1"/>
  <c r="AD276" i="1"/>
  <c r="AF276" i="1" s="1"/>
  <c r="AD283" i="1"/>
  <c r="AF283" i="1" s="1"/>
  <c r="AD16" i="1"/>
  <c r="AF16" i="1" s="1"/>
  <c r="AI499" i="1"/>
  <c r="AD309" i="1"/>
  <c r="AF309" i="1" s="1"/>
  <c r="AD237" i="1"/>
  <c r="AF237" i="1" s="1"/>
  <c r="AD76" i="1"/>
  <c r="AF76" i="1" s="1"/>
  <c r="AD83" i="1"/>
  <c r="AF83" i="1" s="1"/>
  <c r="AD385" i="1"/>
  <c r="AF385" i="1" s="1"/>
  <c r="AD155" i="1"/>
  <c r="AF155" i="1" s="1"/>
  <c r="AD179" i="1"/>
  <c r="AF179" i="1" s="1"/>
  <c r="AD187" i="1"/>
  <c r="AF187" i="1" s="1"/>
  <c r="AD254" i="1"/>
  <c r="AF254" i="1" s="1"/>
  <c r="AD394" i="1"/>
  <c r="AF394" i="1" s="1"/>
  <c r="AD378" i="1"/>
  <c r="AF378" i="1" s="1"/>
  <c r="AD386" i="1"/>
  <c r="AF386" i="1" s="1"/>
  <c r="AD408" i="1"/>
  <c r="AF408" i="1" s="1"/>
  <c r="AD416" i="1"/>
  <c r="AF416" i="1" s="1"/>
  <c r="AD424" i="1"/>
  <c r="AF424" i="1" s="1"/>
  <c r="AD438" i="1"/>
  <c r="AF438" i="1" s="1"/>
  <c r="AD54" i="1"/>
  <c r="AF54" i="1" s="1"/>
  <c r="AD61" i="1"/>
  <c r="AF61" i="1" s="1"/>
  <c r="AD63" i="1"/>
  <c r="AF63" i="1" s="1"/>
  <c r="AD193" i="1"/>
  <c r="AF193" i="1" s="1"/>
  <c r="AD201" i="1"/>
  <c r="AF201" i="1" s="1"/>
  <c r="AD209" i="1"/>
  <c r="AF209" i="1" s="1"/>
  <c r="AD217" i="1"/>
  <c r="AF217" i="1" s="1"/>
  <c r="AE540" i="1"/>
  <c r="AD370" i="1"/>
  <c r="AF370" i="1" s="1"/>
  <c r="AD409" i="1"/>
  <c r="AF409" i="1" s="1"/>
  <c r="AD433" i="1"/>
  <c r="AF433" i="1" s="1"/>
  <c r="AD51" i="1"/>
  <c r="AF51" i="1" s="1"/>
  <c r="AD20" i="1"/>
  <c r="AF20" i="1" s="1"/>
  <c r="AD194" i="1"/>
  <c r="AF194" i="1" s="1"/>
  <c r="AD202" i="1"/>
  <c r="AF202" i="1" s="1"/>
  <c r="AD78" i="1"/>
  <c r="AF78" i="1" s="1"/>
  <c r="AD349" i="1"/>
  <c r="AF349" i="1" s="1"/>
  <c r="AD337" i="1"/>
  <c r="AF337" i="1" s="1"/>
  <c r="AD345" i="1"/>
  <c r="AF345" i="1" s="1"/>
  <c r="AD496" i="1"/>
  <c r="AF496" i="1" s="1"/>
  <c r="AI34" i="1"/>
  <c r="AD617" i="1"/>
  <c r="AF617" i="1" s="1"/>
  <c r="AD418" i="1"/>
  <c r="AF418" i="1" s="1"/>
  <c r="AD405" i="1"/>
  <c r="AF405" i="1" s="1"/>
  <c r="AD158" i="1"/>
  <c r="AF158" i="1" s="1"/>
  <c r="AD249" i="1"/>
  <c r="AF249" i="1" s="1"/>
  <c r="AI634" i="1"/>
  <c r="AD635" i="1"/>
  <c r="AF635" i="1" s="1"/>
  <c r="AE109" i="1"/>
  <c r="AE181" i="1"/>
  <c r="AE439" i="1"/>
  <c r="AD525" i="1"/>
  <c r="AF525" i="1" s="1"/>
  <c r="AD275" i="1"/>
  <c r="AF275" i="1" s="1"/>
  <c r="AD15" i="1"/>
  <c r="AF15" i="1" s="1"/>
  <c r="AD290" i="1"/>
  <c r="AF290" i="1" s="1"/>
  <c r="AD296" i="1"/>
  <c r="AF296" i="1" s="1"/>
  <c r="AD167" i="1"/>
  <c r="AF167" i="1" s="1"/>
  <c r="AD175" i="1"/>
  <c r="AF175" i="1" s="1"/>
  <c r="AD183" i="1"/>
  <c r="AF183" i="1" s="1"/>
  <c r="AE26" i="1"/>
  <c r="AI615" i="1"/>
  <c r="AD625" i="1"/>
  <c r="AF625" i="1" s="1"/>
  <c r="AI452" i="1"/>
  <c r="AD514" i="1"/>
  <c r="AF514" i="1" s="1"/>
  <c r="AD277" i="1"/>
  <c r="AF277" i="1" s="1"/>
  <c r="AD284" i="1"/>
  <c r="AF284" i="1" s="1"/>
  <c r="AI30" i="1"/>
  <c r="AI599" i="1"/>
  <c r="AD654" i="1"/>
  <c r="AF654" i="1" s="1"/>
  <c r="AD449" i="1"/>
  <c r="AF449" i="1" s="1"/>
  <c r="AD491" i="1"/>
  <c r="AF491" i="1" s="1"/>
  <c r="AD341" i="1"/>
  <c r="AF341" i="1" s="1"/>
  <c r="AD117" i="1"/>
  <c r="AF117" i="1" s="1"/>
  <c r="AD133" i="1"/>
  <c r="AF133" i="1" s="1"/>
  <c r="AD141" i="1"/>
  <c r="AF141" i="1" s="1"/>
  <c r="AD615" i="1"/>
  <c r="AF615" i="1" s="1"/>
  <c r="AE628" i="1"/>
  <c r="AE629" i="1"/>
  <c r="AI564" i="1"/>
  <c r="AD244" i="1"/>
  <c r="AF244" i="1" s="1"/>
  <c r="AD75" i="1"/>
  <c r="AF75" i="1" s="1"/>
  <c r="AD22" i="1"/>
  <c r="AF22" i="1" s="1"/>
  <c r="AD605" i="1"/>
  <c r="AF605" i="1" s="1"/>
  <c r="AI621" i="1"/>
  <c r="AE649" i="1"/>
  <c r="AD652" i="1"/>
  <c r="AF652" i="1" s="1"/>
  <c r="AI541" i="1"/>
  <c r="AD58" i="1"/>
  <c r="AF58" i="1" s="1"/>
  <c r="AD360" i="1"/>
  <c r="AF360" i="1" s="1"/>
  <c r="AE105" i="1"/>
  <c r="AD622" i="1"/>
  <c r="AF622" i="1" s="1"/>
  <c r="AE36" i="1"/>
  <c r="AD37" i="1"/>
  <c r="AF37" i="1" s="1"/>
  <c r="AD461" i="1"/>
  <c r="AF461" i="1" s="1"/>
  <c r="AD192" i="1"/>
  <c r="AF192" i="1" s="1"/>
  <c r="AD200" i="1"/>
  <c r="AF200" i="1" s="1"/>
  <c r="AD208" i="1"/>
  <c r="AF208" i="1" s="1"/>
  <c r="AD216" i="1"/>
  <c r="AF216" i="1" s="1"/>
  <c r="AD223" i="1"/>
  <c r="AF223" i="1" s="1"/>
  <c r="AD507" i="1"/>
  <c r="AF507" i="1" s="1"/>
  <c r="AD124" i="1"/>
  <c r="AF124" i="1" s="1"/>
  <c r="AD140" i="1"/>
  <c r="AF140" i="1" s="1"/>
  <c r="AD431" i="1"/>
  <c r="AF431" i="1" s="1"/>
  <c r="AI589" i="1"/>
  <c r="AD590" i="1"/>
  <c r="AF590" i="1" s="1"/>
  <c r="AD400" i="1"/>
  <c r="AF400" i="1" s="1"/>
  <c r="AI612" i="1"/>
  <c r="AD623" i="1"/>
  <c r="AF623" i="1" s="1"/>
  <c r="AD624" i="1"/>
  <c r="AF624" i="1" s="1"/>
  <c r="AE627" i="1"/>
  <c r="AD271" i="1"/>
  <c r="AF271" i="1" s="1"/>
  <c r="AD279" i="1"/>
  <c r="AF279" i="1" s="1"/>
  <c r="AD286" i="1"/>
  <c r="AF286" i="1" s="1"/>
  <c r="AI24" i="1"/>
  <c r="AD90" i="1"/>
  <c r="AF90" i="1" s="1"/>
  <c r="AD248" i="1"/>
  <c r="AF248" i="1" s="1"/>
  <c r="AE659" i="1"/>
  <c r="AD226" i="1"/>
  <c r="AF226" i="1" s="1"/>
  <c r="AD266" i="1"/>
  <c r="AF266" i="1" s="1"/>
  <c r="AD265" i="1"/>
  <c r="AF265" i="1" s="1"/>
  <c r="AE534" i="1"/>
  <c r="AE27" i="1"/>
  <c r="AI600" i="1"/>
  <c r="AI556" i="1"/>
  <c r="AI28" i="1"/>
  <c r="AD145" i="1"/>
  <c r="AF145" i="1" s="1"/>
  <c r="AD487" i="1"/>
  <c r="AF487" i="1" s="1"/>
  <c r="AD396" i="1"/>
  <c r="AF396" i="1" s="1"/>
  <c r="AD311" i="1"/>
  <c r="AF311" i="1" s="1"/>
  <c r="AI598" i="1"/>
  <c r="AE118" i="1"/>
  <c r="AD315" i="1"/>
  <c r="AF315" i="1" s="1"/>
  <c r="AD323" i="1"/>
  <c r="AF323" i="1" s="1"/>
  <c r="AD122" i="1"/>
  <c r="AF122" i="1" s="1"/>
  <c r="AD162" i="1"/>
  <c r="AF162" i="1" s="1"/>
  <c r="AD178" i="1"/>
  <c r="AF178" i="1" s="1"/>
  <c r="AD186" i="1"/>
  <c r="AF186" i="1" s="1"/>
  <c r="AD510" i="1"/>
  <c r="AF510" i="1" s="1"/>
  <c r="AD269" i="1"/>
  <c r="AF269" i="1" s="1"/>
  <c r="AD228" i="1"/>
  <c r="AF228" i="1" s="1"/>
  <c r="AD67" i="1"/>
  <c r="AF67" i="1" s="1"/>
  <c r="AD74" i="1"/>
  <c r="AF74" i="1" s="1"/>
  <c r="AE586" i="1"/>
  <c r="AI594" i="1"/>
  <c r="AI36" i="1"/>
  <c r="AD651" i="1"/>
  <c r="AF651" i="1" s="1"/>
  <c r="AE197" i="1"/>
  <c r="AE392" i="1"/>
  <c r="AE187" i="1"/>
  <c r="AD207" i="1"/>
  <c r="AF207" i="1" s="1"/>
  <c r="AD215" i="1"/>
  <c r="AF215" i="1" s="1"/>
  <c r="AE597" i="1"/>
  <c r="AI622" i="1"/>
  <c r="AD630" i="1"/>
  <c r="AF630" i="1" s="1"/>
  <c r="AD32" i="1"/>
  <c r="AF32" i="1" s="1"/>
  <c r="AE585" i="1"/>
  <c r="AE577" i="1"/>
  <c r="AE561" i="1"/>
  <c r="AI585" i="1"/>
  <c r="AD563" i="1"/>
  <c r="AF563" i="1" s="1"/>
  <c r="AE593" i="1"/>
  <c r="AE601" i="1"/>
  <c r="AD604" i="1"/>
  <c r="AF604" i="1" s="1"/>
  <c r="AE616" i="1"/>
  <c r="AD629" i="1"/>
  <c r="AF629" i="1" s="1"/>
  <c r="AE431" i="1"/>
  <c r="AD196" i="1"/>
  <c r="AF196" i="1" s="1"/>
  <c r="AD366" i="1"/>
  <c r="AF366" i="1" s="1"/>
  <c r="AE544" i="1"/>
  <c r="AE554" i="1"/>
  <c r="AE549" i="1"/>
  <c r="AE28" i="1"/>
  <c r="AI33" i="1"/>
  <c r="AE584" i="1"/>
  <c r="AE576" i="1"/>
  <c r="AE568" i="1"/>
  <c r="AE560" i="1"/>
  <c r="AD619" i="1"/>
  <c r="AF619" i="1" s="1"/>
  <c r="AE623" i="1"/>
  <c r="AE633" i="1"/>
  <c r="AE541" i="1"/>
  <c r="AE213" i="1"/>
  <c r="AE384" i="1"/>
  <c r="AE324" i="1"/>
  <c r="AE254" i="1"/>
  <c r="AE278" i="1"/>
  <c r="AD23" i="1"/>
  <c r="AF23" i="1" s="1"/>
  <c r="M20" i="9"/>
  <c r="AI478" i="1"/>
  <c r="AI344" i="1"/>
  <c r="AI191" i="1"/>
  <c r="AD92" i="1"/>
  <c r="AF92" i="1" s="1"/>
  <c r="AD344" i="1"/>
  <c r="AF344" i="1" s="1"/>
  <c r="AD500" i="1"/>
  <c r="AF500" i="1" s="1"/>
  <c r="AD317" i="1"/>
  <c r="AF317" i="1" s="1"/>
  <c r="AD483" i="1"/>
  <c r="AF483" i="1" s="1"/>
  <c r="AD519" i="1"/>
  <c r="AF519" i="1" s="1"/>
  <c r="AE221" i="1"/>
  <c r="AD627" i="1"/>
  <c r="AF627" i="1" s="1"/>
  <c r="AI408" i="1"/>
  <c r="AI225" i="1"/>
  <c r="AI523" i="1"/>
  <c r="AI336" i="1"/>
  <c r="AI151" i="1"/>
  <c r="AE219" i="1"/>
  <c r="AD21" i="1"/>
  <c r="AF21" i="1" s="1"/>
  <c r="AE50" i="1"/>
  <c r="AE268" i="1"/>
  <c r="AD468" i="1"/>
  <c r="AF468" i="1" s="1"/>
  <c r="AD486" i="1"/>
  <c r="AF486" i="1" s="1"/>
  <c r="AD325" i="1"/>
  <c r="AF325" i="1" s="1"/>
  <c r="AD333" i="1"/>
  <c r="AF333" i="1" s="1"/>
  <c r="AE553" i="1"/>
  <c r="AD551" i="1"/>
  <c r="AF551" i="1" s="1"/>
  <c r="AE559" i="1"/>
  <c r="AI559" i="1"/>
  <c r="AE621" i="1"/>
  <c r="AD330" i="1"/>
  <c r="AF330" i="1" s="1"/>
  <c r="AD176" i="1"/>
  <c r="AF176" i="1" s="1"/>
  <c r="AD184" i="1"/>
  <c r="AF184" i="1" s="1"/>
  <c r="AD490" i="1"/>
  <c r="AF490" i="1" s="1"/>
  <c r="AD259" i="1"/>
  <c r="AF259" i="1" s="1"/>
  <c r="AD274" i="1"/>
  <c r="AF274" i="1" s="1"/>
  <c r="AD282" i="1"/>
  <c r="AF282" i="1" s="1"/>
  <c r="AD289" i="1"/>
  <c r="AF289" i="1" s="1"/>
  <c r="AD295" i="1"/>
  <c r="AF295" i="1" s="1"/>
  <c r="AD411" i="1"/>
  <c r="AF411" i="1" s="1"/>
  <c r="AD505" i="1"/>
  <c r="AF505" i="1" s="1"/>
  <c r="AD65" i="1"/>
  <c r="AF65" i="1" s="1"/>
  <c r="AD89" i="1"/>
  <c r="AF89" i="1" s="1"/>
  <c r="AD159" i="1"/>
  <c r="AF159" i="1" s="1"/>
  <c r="AD174" i="1"/>
  <c r="AF174" i="1" s="1"/>
  <c r="AD182" i="1"/>
  <c r="AF182" i="1" s="1"/>
  <c r="AD190" i="1"/>
  <c r="AF190" i="1" s="1"/>
  <c r="AD256" i="1"/>
  <c r="AF256" i="1" s="1"/>
  <c r="AD264" i="1"/>
  <c r="AF264" i="1" s="1"/>
  <c r="AD272" i="1"/>
  <c r="AF272" i="1" s="1"/>
  <c r="AE535" i="1"/>
  <c r="AI535" i="1"/>
  <c r="AI544" i="1"/>
  <c r="AI566" i="1"/>
  <c r="AD559" i="1"/>
  <c r="AF559" i="1" s="1"/>
  <c r="AD610" i="1"/>
  <c r="AF610" i="1" s="1"/>
  <c r="AD616" i="1"/>
  <c r="AF616" i="1" s="1"/>
  <c r="AD620" i="1"/>
  <c r="AF620" i="1" s="1"/>
  <c r="AI625" i="1"/>
  <c r="AI654" i="1"/>
  <c r="AE626" i="1"/>
  <c r="AD233" i="1"/>
  <c r="AF233" i="1" s="1"/>
  <c r="AD522" i="1"/>
  <c r="AF522" i="1" s="1"/>
  <c r="AD621" i="1"/>
  <c r="AF621" i="1" s="1"/>
  <c r="AD136" i="1"/>
  <c r="AF136" i="1" s="1"/>
  <c r="AD53" i="1"/>
  <c r="AF53" i="1" s="1"/>
  <c r="AD56" i="1"/>
  <c r="AF56" i="1" s="1"/>
  <c r="AD19" i="1"/>
  <c r="AF19" i="1" s="1"/>
  <c r="AD504" i="1"/>
  <c r="AF504" i="1" s="1"/>
  <c r="AD387" i="1"/>
  <c r="AF387" i="1" s="1"/>
  <c r="AD597" i="1"/>
  <c r="AF597" i="1" s="1"/>
  <c r="AD599" i="1"/>
  <c r="AF599" i="1" s="1"/>
  <c r="AE614" i="1"/>
  <c r="AE615" i="1"/>
  <c r="AE618" i="1"/>
  <c r="AI620" i="1"/>
  <c r="AD631" i="1"/>
  <c r="AF631" i="1" s="1"/>
  <c r="AD456" i="1"/>
  <c r="AF456" i="1" s="1"/>
  <c r="AD442" i="1"/>
  <c r="AF442" i="1" s="1"/>
  <c r="AD448" i="1"/>
  <c r="AF448" i="1" s="1"/>
  <c r="AD211" i="1"/>
  <c r="AF211" i="1" s="1"/>
  <c r="AD304" i="1"/>
  <c r="AF304" i="1" s="1"/>
  <c r="AD115" i="1"/>
  <c r="AF115" i="1" s="1"/>
  <c r="AE137" i="1"/>
  <c r="AD391" i="1"/>
  <c r="AF391" i="1" s="1"/>
  <c r="AD583" i="1"/>
  <c r="AF583" i="1" s="1"/>
  <c r="AI412" i="1"/>
  <c r="AI442" i="1"/>
  <c r="AI221" i="1"/>
  <c r="AI526" i="1"/>
  <c r="AI89" i="1"/>
  <c r="AI171" i="1"/>
  <c r="AI285" i="1"/>
  <c r="AE481" i="1"/>
  <c r="AD44" i="1"/>
  <c r="AF44" i="1" s="1"/>
  <c r="AD305" i="1"/>
  <c r="AF305" i="1" s="1"/>
  <c r="AD343" i="1"/>
  <c r="AF343" i="1" s="1"/>
  <c r="AD485" i="1"/>
  <c r="AF485" i="1" s="1"/>
  <c r="AD499" i="1"/>
  <c r="AF499" i="1" s="1"/>
  <c r="AD149" i="1"/>
  <c r="AF149" i="1" s="1"/>
  <c r="AD165" i="1"/>
  <c r="AF165" i="1" s="1"/>
  <c r="AD361" i="1"/>
  <c r="AF361" i="1" s="1"/>
  <c r="AD369" i="1"/>
  <c r="AF369" i="1" s="1"/>
  <c r="AD384" i="1"/>
  <c r="AF384" i="1" s="1"/>
  <c r="AD116" i="1"/>
  <c r="AF116" i="1" s="1"/>
  <c r="AD588" i="1"/>
  <c r="AF588" i="1" s="1"/>
  <c r="AD592" i="1"/>
  <c r="AF592" i="1" s="1"/>
  <c r="AD603" i="1"/>
  <c r="AF603" i="1" s="1"/>
  <c r="AD611" i="1"/>
  <c r="AF611" i="1" s="1"/>
  <c r="AD474" i="1"/>
  <c r="AF474" i="1" s="1"/>
  <c r="AD88" i="1"/>
  <c r="AF88" i="1" s="1"/>
  <c r="AD447" i="1"/>
  <c r="AF447" i="1" s="1"/>
  <c r="AD195" i="1"/>
  <c r="AF195" i="1" s="1"/>
  <c r="AD388" i="1"/>
  <c r="AF388" i="1" s="1"/>
  <c r="AD107" i="1"/>
  <c r="AF107" i="1" s="1"/>
  <c r="AD160" i="1"/>
  <c r="AF160" i="1" s="1"/>
  <c r="AE617" i="1"/>
  <c r="AI619" i="1"/>
  <c r="AD515" i="1"/>
  <c r="AF515" i="1" s="1"/>
  <c r="AD527" i="1"/>
  <c r="AF527" i="1" s="1"/>
  <c r="AD12" i="1"/>
  <c r="AF12" i="1" s="1"/>
  <c r="AD358" i="1"/>
  <c r="AF358" i="1" s="1"/>
  <c r="AD263" i="1"/>
  <c r="AF263" i="1" s="1"/>
  <c r="AD587" i="1"/>
  <c r="AF587" i="1" s="1"/>
  <c r="AD607" i="1"/>
  <c r="AF607" i="1" s="1"/>
  <c r="AD638" i="1"/>
  <c r="AF638" i="1" s="1"/>
  <c r="AI385" i="1"/>
  <c r="AI164" i="1"/>
  <c r="AI188" i="1"/>
  <c r="AD229" i="1"/>
  <c r="AF229" i="1" s="1"/>
  <c r="AD313" i="1"/>
  <c r="AF313" i="1" s="1"/>
  <c r="AD329" i="1"/>
  <c r="AF329" i="1" s="1"/>
  <c r="AD150" i="1"/>
  <c r="AF150" i="1" s="1"/>
  <c r="AD166" i="1"/>
  <c r="AF166" i="1" s="1"/>
  <c r="AD534" i="1"/>
  <c r="AF534" i="1" s="1"/>
  <c r="AD544" i="1"/>
  <c r="AF544" i="1" s="1"/>
  <c r="AD554" i="1"/>
  <c r="AF554" i="1" s="1"/>
  <c r="AD612" i="1"/>
  <c r="AF612" i="1" s="1"/>
  <c r="AD657" i="1"/>
  <c r="AF657" i="1" s="1"/>
  <c r="AD464" i="1"/>
  <c r="AF464" i="1" s="1"/>
  <c r="AD402" i="1"/>
  <c r="AF402" i="1" s="1"/>
  <c r="AD440" i="1"/>
  <c r="AF440" i="1" s="1"/>
  <c r="AD203" i="1"/>
  <c r="AF203" i="1" s="1"/>
  <c r="AD365" i="1"/>
  <c r="AF365" i="1" s="1"/>
  <c r="AE380" i="1"/>
  <c r="AD457" i="1"/>
  <c r="AF457" i="1" s="1"/>
  <c r="AD285" i="1"/>
  <c r="AF285" i="1" s="1"/>
  <c r="AD153" i="1"/>
  <c r="AF153" i="1" s="1"/>
  <c r="AI587" i="1"/>
  <c r="AI184" i="1"/>
  <c r="AD96" i="1"/>
  <c r="AF96" i="1" s="1"/>
  <c r="AD261" i="1"/>
  <c r="AF261" i="1" s="1"/>
  <c r="AE550" i="1"/>
  <c r="AE542" i="1"/>
  <c r="AD30" i="1"/>
  <c r="AF30" i="1" s="1"/>
  <c r="AD555" i="1"/>
  <c r="AF555" i="1" s="1"/>
  <c r="AE571" i="1"/>
  <c r="AE555" i="1"/>
  <c r="AE592" i="1"/>
  <c r="AI614" i="1"/>
  <c r="AE37" i="1"/>
  <c r="AD437" i="1"/>
  <c r="AF437" i="1" s="1"/>
  <c r="AD467" i="1"/>
  <c r="AF467" i="1" s="1"/>
  <c r="AD298" i="1"/>
  <c r="AF298" i="1" s="1"/>
  <c r="AE538" i="1"/>
  <c r="AD535" i="1"/>
  <c r="AF535" i="1" s="1"/>
  <c r="AD25" i="1"/>
  <c r="AF25" i="1" s="1"/>
  <c r="AE578" i="1"/>
  <c r="AE562" i="1"/>
  <c r="AI578" i="1"/>
  <c r="AI570" i="1"/>
  <c r="AD577" i="1"/>
  <c r="AF577" i="1" s="1"/>
  <c r="AD593" i="1"/>
  <c r="AF593" i="1" s="1"/>
  <c r="AE602" i="1"/>
  <c r="AE606" i="1"/>
  <c r="AE609" i="1"/>
  <c r="AI35" i="1"/>
  <c r="AD320" i="1"/>
  <c r="AF320" i="1" s="1"/>
  <c r="AE35" i="1"/>
  <c r="AI616" i="1"/>
  <c r="AI411" i="1"/>
  <c r="AI427" i="1"/>
  <c r="AI465" i="1"/>
  <c r="AI455" i="1"/>
  <c r="AI47" i="1"/>
  <c r="AI56" i="1"/>
  <c r="AI527" i="1"/>
  <c r="AI204" i="1"/>
  <c r="AI220" i="1"/>
  <c r="AI236" i="1"/>
  <c r="AI488" i="1"/>
  <c r="AI74" i="1"/>
  <c r="AI352" i="1"/>
  <c r="AI367" i="1"/>
  <c r="AI391" i="1"/>
  <c r="AI299" i="1"/>
  <c r="AI307" i="1"/>
  <c r="AI323" i="1"/>
  <c r="AI339" i="1"/>
  <c r="AI497" i="1"/>
  <c r="AI98" i="1"/>
  <c r="AI114" i="1"/>
  <c r="AI130" i="1"/>
  <c r="AI154" i="1"/>
  <c r="AI170" i="1"/>
  <c r="AI186" i="1"/>
  <c r="AI253" i="1"/>
  <c r="AI277" i="1"/>
  <c r="AI291" i="1"/>
  <c r="AD422" i="1"/>
  <c r="AF422" i="1" s="1"/>
  <c r="AD460" i="1"/>
  <c r="AF460" i="1" s="1"/>
  <c r="AD188" i="1"/>
  <c r="AF188" i="1" s="1"/>
  <c r="AD512" i="1"/>
  <c r="AF512" i="1" s="1"/>
  <c r="AD255" i="1"/>
  <c r="AF255" i="1" s="1"/>
  <c r="AD262" i="1"/>
  <c r="AF262" i="1" s="1"/>
  <c r="AD270" i="1"/>
  <c r="AF270" i="1" s="1"/>
  <c r="AE537" i="1"/>
  <c r="AI537" i="1"/>
  <c r="AI546" i="1"/>
  <c r="AI577" i="1"/>
  <c r="AI569" i="1"/>
  <c r="AI561" i="1"/>
  <c r="AD570" i="1"/>
  <c r="AF570" i="1" s="1"/>
  <c r="AD578" i="1"/>
  <c r="AF578" i="1" s="1"/>
  <c r="AD586" i="1"/>
  <c r="AF586" i="1" s="1"/>
  <c r="AI419" i="1"/>
  <c r="AI435" i="1"/>
  <c r="AI473" i="1"/>
  <c r="AI481" i="1"/>
  <c r="AI87" i="1"/>
  <c r="AI53" i="1"/>
  <c r="AI447" i="1"/>
  <c r="AI196" i="1"/>
  <c r="AI212" i="1"/>
  <c r="AI228" i="1"/>
  <c r="AI243" i="1"/>
  <c r="AI67" i="1"/>
  <c r="AI81" i="1"/>
  <c r="AI359" i="1"/>
  <c r="AI375" i="1"/>
  <c r="AI383" i="1"/>
  <c r="AI399" i="1"/>
  <c r="AI525" i="1"/>
  <c r="AI315" i="1"/>
  <c r="AI331" i="1"/>
  <c r="AI483" i="1"/>
  <c r="AI503" i="1"/>
  <c r="AI106" i="1"/>
  <c r="AI122" i="1"/>
  <c r="AI138" i="1"/>
  <c r="AI146" i="1"/>
  <c r="AI162" i="1"/>
  <c r="AI178" i="1"/>
  <c r="AI510" i="1"/>
  <c r="AI261" i="1"/>
  <c r="AI269" i="1"/>
  <c r="AI284" i="1"/>
  <c r="AI298" i="1"/>
  <c r="AD414" i="1"/>
  <c r="AF414" i="1" s="1"/>
  <c r="AD430" i="1"/>
  <c r="AF430" i="1" s="1"/>
  <c r="AD43" i="1"/>
  <c r="AF43" i="1" s="1"/>
  <c r="AE515" i="1"/>
  <c r="AI485" i="1"/>
  <c r="AI249" i="1"/>
  <c r="AI257" i="1"/>
  <c r="AI281" i="1"/>
  <c r="AE409" i="1"/>
  <c r="AE417" i="1"/>
  <c r="AE425" i="1"/>
  <c r="AE471" i="1"/>
  <c r="AE479" i="1"/>
  <c r="AE453" i="1"/>
  <c r="AE85" i="1"/>
  <c r="AE446" i="1"/>
  <c r="AE62" i="1"/>
  <c r="AE20" i="1"/>
  <c r="AE194" i="1"/>
  <c r="AE202" i="1"/>
  <c r="AE210" i="1"/>
  <c r="AE218" i="1"/>
  <c r="AE226" i="1"/>
  <c r="AE234" i="1"/>
  <c r="AE241" i="1"/>
  <c r="AE505" i="1"/>
  <c r="AE65" i="1"/>
  <c r="AE73" i="1"/>
  <c r="AE79" i="1"/>
  <c r="AE350" i="1"/>
  <c r="AE357" i="1"/>
  <c r="AE365" i="1"/>
  <c r="AE373" i="1"/>
  <c r="AE389" i="1"/>
  <c r="AE397" i="1"/>
  <c r="AE405" i="1"/>
  <c r="AE518" i="1"/>
  <c r="AE305" i="1"/>
  <c r="AE313" i="1"/>
  <c r="AE329" i="1"/>
  <c r="AE345" i="1"/>
  <c r="AE496" i="1"/>
  <c r="AE501" i="1"/>
  <c r="AE90" i="1"/>
  <c r="AE112" i="1"/>
  <c r="AE128" i="1"/>
  <c r="AE136" i="1"/>
  <c r="AE144" i="1"/>
  <c r="AE152" i="1"/>
  <c r="AE184" i="1"/>
  <c r="AE490" i="1"/>
  <c r="AE251" i="1"/>
  <c r="AE259" i="1"/>
  <c r="AE267" i="1"/>
  <c r="AD234" i="1"/>
  <c r="AF234" i="1" s="1"/>
  <c r="AE275" i="1"/>
  <c r="AE414" i="1"/>
  <c r="AE422" i="1"/>
  <c r="AE468" i="1"/>
  <c r="AE44" i="1"/>
  <c r="AE441" i="1"/>
  <c r="AE444" i="1"/>
  <c r="AE59" i="1"/>
  <c r="AE223" i="1"/>
  <c r="AE231" i="1"/>
  <c r="AE246" i="1"/>
  <c r="AE507" i="1"/>
  <c r="AE347" i="1"/>
  <c r="AE362" i="1"/>
  <c r="AE386" i="1"/>
  <c r="AE394" i="1"/>
  <c r="AE402" i="1"/>
  <c r="AE318" i="1"/>
  <c r="AE334" i="1"/>
  <c r="AE495" i="1"/>
  <c r="AE117" i="1"/>
  <c r="AE125" i="1"/>
  <c r="AE141" i="1"/>
  <c r="AE149" i="1"/>
  <c r="AE173" i="1"/>
  <c r="AE189" i="1"/>
  <c r="AE264" i="1"/>
  <c r="AE272" i="1"/>
  <c r="AE287" i="1"/>
  <c r="AD415" i="1"/>
  <c r="AF415" i="1" s="1"/>
  <c r="AD423" i="1"/>
  <c r="AF423" i="1" s="1"/>
  <c r="AD450" i="1"/>
  <c r="AF450" i="1" s="1"/>
  <c r="AD458" i="1"/>
  <c r="AF458" i="1" s="1"/>
  <c r="AD73" i="1"/>
  <c r="AF73" i="1" s="1"/>
  <c r="AD403" i="1"/>
  <c r="AF403" i="1" s="1"/>
  <c r="AD13" i="1"/>
  <c r="AF13" i="1" s="1"/>
  <c r="AD173" i="1"/>
  <c r="AF173" i="1" s="1"/>
  <c r="AD181" i="1"/>
  <c r="AF181" i="1" s="1"/>
  <c r="AE533" i="1"/>
  <c r="AE536" i="1"/>
  <c r="AI591" i="1"/>
  <c r="AE596" i="1"/>
  <c r="AE15" i="1"/>
  <c r="AI416" i="1"/>
  <c r="AI424" i="1"/>
  <c r="AI432" i="1"/>
  <c r="AI462" i="1"/>
  <c r="AI470" i="1"/>
  <c r="AI84" i="1"/>
  <c r="AI438" i="1"/>
  <c r="AI50" i="1"/>
  <c r="AI54" i="1"/>
  <c r="AI61" i="1"/>
  <c r="AI63" i="1"/>
  <c r="AI193" i="1"/>
  <c r="AI201" i="1"/>
  <c r="AI209" i="1"/>
  <c r="AI217" i="1"/>
  <c r="AI233" i="1"/>
  <c r="AI240" i="1"/>
  <c r="AI504" i="1"/>
  <c r="AI64" i="1"/>
  <c r="AI72" i="1"/>
  <c r="AI78" i="1"/>
  <c r="AI349" i="1"/>
  <c r="AI356" i="1"/>
  <c r="AI364" i="1"/>
  <c r="AI372" i="1"/>
  <c r="AI380" i="1"/>
  <c r="AI388" i="1"/>
  <c r="AI396" i="1"/>
  <c r="AI404" i="1"/>
  <c r="AI304" i="1"/>
  <c r="AI312" i="1"/>
  <c r="AI320" i="1"/>
  <c r="AI328" i="1"/>
  <c r="AI486" i="1"/>
  <c r="AI500" i="1"/>
  <c r="AI531" i="1"/>
  <c r="AI95" i="1"/>
  <c r="AI103" i="1"/>
  <c r="AI111" i="1"/>
  <c r="AI119" i="1"/>
  <c r="AI127" i="1"/>
  <c r="AI135" i="1"/>
  <c r="AI143" i="1"/>
  <c r="AI159" i="1"/>
  <c r="AI167" i="1"/>
  <c r="AI175" i="1"/>
  <c r="AI183" i="1"/>
  <c r="AI250" i="1"/>
  <c r="AI258" i="1"/>
  <c r="AI266" i="1"/>
  <c r="AI274" i="1"/>
  <c r="AI282" i="1"/>
  <c r="AI289" i="1"/>
  <c r="AI295" i="1"/>
  <c r="AE12" i="1"/>
  <c r="AE398" i="1"/>
  <c r="AE524" i="1"/>
  <c r="AE16" i="1"/>
  <c r="AD493" i="1"/>
  <c r="AF493" i="1" s="1"/>
  <c r="AD310" i="1"/>
  <c r="AF310" i="1" s="1"/>
  <c r="AD318" i="1"/>
  <c r="AF318" i="1" s="1"/>
  <c r="AD326" i="1"/>
  <c r="AF326" i="1" s="1"/>
  <c r="AD147" i="1"/>
  <c r="AF147" i="1" s="1"/>
  <c r="AD171" i="1"/>
  <c r="AF171" i="1" s="1"/>
  <c r="AE583" i="1"/>
  <c r="AE575" i="1"/>
  <c r="AD564" i="1"/>
  <c r="AF564" i="1" s="1"/>
  <c r="AE630" i="1"/>
  <c r="AE631" i="1"/>
  <c r="AE290" i="1"/>
  <c r="AE460" i="1"/>
  <c r="AE443" i="1"/>
  <c r="AE58" i="1"/>
  <c r="AE491" i="1"/>
  <c r="AE494" i="1"/>
  <c r="AE198" i="1"/>
  <c r="AE206" i="1"/>
  <c r="AE214" i="1"/>
  <c r="AE222" i="1"/>
  <c r="AE237" i="1"/>
  <c r="AE172" i="1"/>
  <c r="AE180" i="1"/>
  <c r="AE188" i="1"/>
  <c r="AE512" i="1"/>
  <c r="AE255" i="1"/>
  <c r="AE263" i="1"/>
  <c r="AE271" i="1"/>
  <c r="AE279" i="1"/>
  <c r="AE286" i="1"/>
  <c r="AE167" i="1"/>
  <c r="AD518" i="1"/>
  <c r="AF518" i="1" s="1"/>
  <c r="AD156" i="1"/>
  <c r="AF156" i="1" s="1"/>
  <c r="AD164" i="1"/>
  <c r="AF164" i="1" s="1"/>
  <c r="AD227" i="1"/>
  <c r="AF227" i="1" s="1"/>
  <c r="AD240" i="1"/>
  <c r="AF240" i="1" s="1"/>
  <c r="AD138" i="1"/>
  <c r="AF138" i="1" s="1"/>
  <c r="AE619" i="1"/>
  <c r="AI624" i="1"/>
  <c r="AD626" i="1"/>
  <c r="AF626" i="1" s="1"/>
  <c r="AD395" i="1"/>
  <c r="AF395" i="1" s="1"/>
  <c r="AD331" i="1"/>
  <c r="AF331" i="1" s="1"/>
  <c r="AD346" i="1"/>
  <c r="AF346" i="1" s="1"/>
  <c r="AD143" i="1"/>
  <c r="AF143" i="1" s="1"/>
  <c r="AD459" i="1"/>
  <c r="AF459" i="1" s="1"/>
  <c r="AD441" i="1"/>
  <c r="AF441" i="1" s="1"/>
  <c r="AD59" i="1"/>
  <c r="AF59" i="1" s="1"/>
  <c r="AD492" i="1"/>
  <c r="AF492" i="1" s="1"/>
  <c r="AD321" i="1"/>
  <c r="AF321" i="1" s="1"/>
  <c r="AD161" i="1"/>
  <c r="AF161" i="1" s="1"/>
  <c r="AE574" i="1"/>
  <c r="AI582" i="1"/>
  <c r="AI574" i="1"/>
  <c r="AD557" i="1"/>
  <c r="AF557" i="1" s="1"/>
  <c r="AD580" i="1"/>
  <c r="AF580" i="1" s="1"/>
  <c r="AD632" i="1"/>
  <c r="AF632" i="1" s="1"/>
  <c r="AD454" i="1"/>
  <c r="AF454" i="1" s="1"/>
  <c r="AD68" i="1"/>
  <c r="AF68" i="1" s="1"/>
  <c r="AD324" i="1"/>
  <c r="AF324" i="1" s="1"/>
  <c r="AD332" i="1"/>
  <c r="AF332" i="1" s="1"/>
  <c r="AD152" i="1"/>
  <c r="AF152" i="1" s="1"/>
  <c r="AD49" i="1"/>
  <c r="AF49" i="1" s="1"/>
  <c r="AD445" i="1"/>
  <c r="AF445" i="1" s="1"/>
  <c r="AD495" i="1"/>
  <c r="AF495" i="1" s="1"/>
  <c r="AD33" i="1"/>
  <c r="AF33" i="1" s="1"/>
  <c r="AE624" i="1"/>
  <c r="AE625" i="1"/>
  <c r="AD36" i="1"/>
  <c r="AF36" i="1" s="1"/>
  <c r="AD633" i="1"/>
  <c r="AF633" i="1" s="1"/>
  <c r="AE635" i="1"/>
  <c r="AE239" i="1"/>
  <c r="AE395" i="1"/>
  <c r="AE335" i="1"/>
  <c r="AE102" i="1"/>
  <c r="AD413" i="1"/>
  <c r="AF413" i="1" s="1"/>
  <c r="AD421" i="1"/>
  <c r="AF421" i="1" s="1"/>
  <c r="AD429" i="1"/>
  <c r="AF429" i="1" s="1"/>
  <c r="AD466" i="1"/>
  <c r="AF466" i="1" s="1"/>
  <c r="AD473" i="1"/>
  <c r="AF473" i="1" s="1"/>
  <c r="AD481" i="1"/>
  <c r="AF481" i="1" s="1"/>
  <c r="AD47" i="1"/>
  <c r="AF47" i="1" s="1"/>
  <c r="AD52" i="1"/>
  <c r="AF52" i="1" s="1"/>
  <c r="AD55" i="1"/>
  <c r="AF55" i="1" s="1"/>
  <c r="AD62" i="1"/>
  <c r="AF62" i="1" s="1"/>
  <c r="AD69" i="1"/>
  <c r="AF69" i="1" s="1"/>
  <c r="AD129" i="1"/>
  <c r="AF129" i="1" s="1"/>
  <c r="AD137" i="1"/>
  <c r="AF137" i="1" s="1"/>
  <c r="AD191" i="1"/>
  <c r="AF191" i="1" s="1"/>
  <c r="AD250" i="1"/>
  <c r="AF250" i="1" s="1"/>
  <c r="AD281" i="1"/>
  <c r="AF281" i="1" s="1"/>
  <c r="AD288" i="1"/>
  <c r="AF288" i="1" s="1"/>
  <c r="AD294" i="1"/>
  <c r="AF294" i="1" s="1"/>
  <c r="AD426" i="1"/>
  <c r="AF426" i="1" s="1"/>
  <c r="AD479" i="1"/>
  <c r="AF479" i="1" s="1"/>
  <c r="AD453" i="1"/>
  <c r="AF453" i="1" s="1"/>
  <c r="AD381" i="1"/>
  <c r="AF381" i="1" s="1"/>
  <c r="AD297" i="1"/>
  <c r="AF297" i="1" s="1"/>
  <c r="AI539" i="1"/>
  <c r="AE33" i="1"/>
  <c r="AE547" i="1"/>
  <c r="AE551" i="1"/>
  <c r="AE546" i="1"/>
  <c r="AE25" i="1"/>
  <c r="AE32" i="1"/>
  <c r="AD542" i="1"/>
  <c r="AF542" i="1" s="1"/>
  <c r="AD546" i="1"/>
  <c r="AF546" i="1" s="1"/>
  <c r="AD589" i="1"/>
  <c r="AF589" i="1" s="1"/>
  <c r="AI593" i="1"/>
  <c r="AE620" i="1"/>
  <c r="AD29" i="1"/>
  <c r="AF29" i="1" s="1"/>
  <c r="AD558" i="1"/>
  <c r="AF558" i="1" s="1"/>
  <c r="AE598" i="1"/>
  <c r="AE34" i="1"/>
  <c r="AI650" i="1"/>
  <c r="AE477" i="1"/>
  <c r="AE451" i="1"/>
  <c r="AE459" i="1"/>
  <c r="AE45" i="1"/>
  <c r="AE49" i="1"/>
  <c r="AE445" i="1"/>
  <c r="AE60" i="1"/>
  <c r="AE516" i="1"/>
  <c r="AE192" i="1"/>
  <c r="AE200" i="1"/>
  <c r="AE208" i="1"/>
  <c r="AE216" i="1"/>
  <c r="AE224" i="1"/>
  <c r="AE232" i="1"/>
  <c r="AE247" i="1"/>
  <c r="AE508" i="1"/>
  <c r="AE71" i="1"/>
  <c r="AE77" i="1"/>
  <c r="AE348" i="1"/>
  <c r="AE355" i="1"/>
  <c r="AE363" i="1"/>
  <c r="AE371" i="1"/>
  <c r="AE379" i="1"/>
  <c r="AE387" i="1"/>
  <c r="AE403" i="1"/>
  <c r="AE522" i="1"/>
  <c r="AE303" i="1"/>
  <c r="AE311" i="1"/>
  <c r="AE319" i="1"/>
  <c r="AE327" i="1"/>
  <c r="AE343" i="1"/>
  <c r="AE485" i="1"/>
  <c r="AE499" i="1"/>
  <c r="AE22" i="1"/>
  <c r="AE94" i="1"/>
  <c r="AE110" i="1"/>
  <c r="AE126" i="1"/>
  <c r="AE134" i="1"/>
  <c r="AE142" i="1"/>
  <c r="AE150" i="1"/>
  <c r="AE158" i="1"/>
  <c r="AE166" i="1"/>
  <c r="AE174" i="1"/>
  <c r="AE182" i="1"/>
  <c r="AE190" i="1"/>
  <c r="AE249" i="1"/>
  <c r="AE257" i="1"/>
  <c r="AE265" i="1"/>
  <c r="AE273" i="1"/>
  <c r="AE281" i="1"/>
  <c r="AE288" i="1"/>
  <c r="AE294" i="1"/>
  <c r="AD347" i="1"/>
  <c r="AF347" i="1" s="1"/>
  <c r="AE545" i="1"/>
  <c r="AE29" i="1"/>
  <c r="AI551" i="1"/>
  <c r="AE572" i="1"/>
  <c r="AI572" i="1"/>
  <c r="AE566" i="1"/>
  <c r="AI25" i="1"/>
  <c r="AE579" i="1"/>
  <c r="AI555" i="1"/>
  <c r="AE558" i="1"/>
  <c r="AE582" i="1"/>
  <c r="AE539" i="1"/>
  <c r="AD306" i="1"/>
  <c r="AF306" i="1" s="1"/>
  <c r="AD94" i="1"/>
  <c r="AF94" i="1" s="1"/>
  <c r="AD109" i="1"/>
  <c r="AF109" i="1" s="1"/>
  <c r="AD328" i="1"/>
  <c r="AF328" i="1" s="1"/>
  <c r="AD552" i="1"/>
  <c r="AF552" i="1" s="1"/>
  <c r="AD253" i="1"/>
  <c r="AF253" i="1" s="1"/>
  <c r="AI545" i="1"/>
  <c r="AD548" i="1"/>
  <c r="AF548" i="1" s="1"/>
  <c r="AD110" i="1"/>
  <c r="AF110" i="1" s="1"/>
  <c r="AD239" i="1"/>
  <c r="AF239" i="1" s="1"/>
  <c r="AD82" i="1"/>
  <c r="AF82" i="1" s="1"/>
  <c r="AD602" i="1"/>
  <c r="AF602" i="1" s="1"/>
  <c r="AD608" i="1"/>
  <c r="AF608" i="1" s="1"/>
  <c r="AD260" i="1"/>
  <c r="AF260" i="1" s="1"/>
  <c r="AI46" i="1"/>
  <c r="AI19" i="1"/>
  <c r="AI211" i="1"/>
  <c r="AI276" i="1"/>
  <c r="AI297" i="1"/>
  <c r="AI361" i="1"/>
  <c r="AI377" i="1"/>
  <c r="AD199" i="1"/>
  <c r="AF199" i="1" s="1"/>
  <c r="AD565" i="1"/>
  <c r="AF565" i="1" s="1"/>
  <c r="AE588" i="1"/>
  <c r="AE589" i="1"/>
  <c r="AE590" i="1"/>
  <c r="AE591" i="1"/>
  <c r="AI597" i="1"/>
  <c r="AD598" i="1"/>
  <c r="AF598" i="1" s="1"/>
  <c r="AE600" i="1"/>
  <c r="AE645" i="1"/>
  <c r="AD470" i="1"/>
  <c r="AF470" i="1" s="1"/>
  <c r="AD451" i="1"/>
  <c r="AF451" i="1" s="1"/>
  <c r="AD48" i="1"/>
  <c r="AF48" i="1" s="1"/>
  <c r="AD443" i="1"/>
  <c r="AF443" i="1" s="1"/>
  <c r="AD389" i="1"/>
  <c r="AF389" i="1" s="1"/>
  <c r="AD112" i="1"/>
  <c r="AF112" i="1" s="1"/>
  <c r="AD86" i="1"/>
  <c r="AF86" i="1" s="1"/>
  <c r="AD488" i="1"/>
  <c r="AF488" i="1" s="1"/>
  <c r="AD66" i="1"/>
  <c r="AF66" i="1" s="1"/>
  <c r="AD392" i="1"/>
  <c r="AF392" i="1" s="1"/>
  <c r="AD523" i="1"/>
  <c r="AF523" i="1" s="1"/>
  <c r="AD119" i="1"/>
  <c r="AF119" i="1" s="1"/>
  <c r="AD126" i="1"/>
  <c r="AF126" i="1" s="1"/>
  <c r="AD293" i="1"/>
  <c r="AF293" i="1" s="1"/>
  <c r="AI31" i="1"/>
  <c r="AD537" i="1"/>
  <c r="AF537" i="1" s="1"/>
  <c r="AD26" i="1"/>
  <c r="AF26" i="1" s="1"/>
  <c r="AD562" i="1"/>
  <c r="AF562" i="1" s="1"/>
  <c r="AD568" i="1"/>
  <c r="AF568" i="1" s="1"/>
  <c r="AD609" i="1"/>
  <c r="AF609" i="1" s="1"/>
  <c r="AD34" i="1"/>
  <c r="AF34" i="1" s="1"/>
  <c r="AE622" i="1"/>
  <c r="AI618" i="1"/>
  <c r="AI633" i="1"/>
  <c r="AE651" i="1"/>
  <c r="AD427" i="1"/>
  <c r="AF427" i="1" s="1"/>
  <c r="AD435" i="1"/>
  <c r="AF435" i="1" s="1"/>
  <c r="AD478" i="1"/>
  <c r="AF478" i="1" s="1"/>
  <c r="AD452" i="1"/>
  <c r="AF452" i="1" s="1"/>
  <c r="AD84" i="1"/>
  <c r="AF84" i="1" s="1"/>
  <c r="AD444" i="1"/>
  <c r="AF444" i="1" s="1"/>
  <c r="AD359" i="1"/>
  <c r="AF359" i="1" s="1"/>
  <c r="AD382" i="1"/>
  <c r="AF382" i="1" s="1"/>
  <c r="AD390" i="1"/>
  <c r="AF390" i="1" s="1"/>
  <c r="AD105" i="1"/>
  <c r="AF105" i="1" s="1"/>
  <c r="AD278" i="1"/>
  <c r="AF278" i="1" s="1"/>
  <c r="AD17" i="1"/>
  <c r="AF17" i="1" s="1"/>
  <c r="AD356" i="1"/>
  <c r="AF356" i="1" s="1"/>
  <c r="AD399" i="1"/>
  <c r="AF399" i="1" s="1"/>
  <c r="AD406" i="1"/>
  <c r="AF406" i="1" s="1"/>
  <c r="AD127" i="1"/>
  <c r="AF127" i="1" s="1"/>
  <c r="AD273" i="1"/>
  <c r="AF273" i="1" s="1"/>
  <c r="AE532" i="1"/>
  <c r="AE31" i="1"/>
  <c r="AE548" i="1"/>
  <c r="AE552" i="1"/>
  <c r="AE30" i="1"/>
  <c r="AI29" i="1"/>
  <c r="AD591" i="1"/>
  <c r="AF591" i="1" s="1"/>
  <c r="AD613" i="1"/>
  <c r="AF613" i="1" s="1"/>
  <c r="AI637" i="1"/>
  <c r="AD428" i="1"/>
  <c r="AF428" i="1" s="1"/>
  <c r="AD436" i="1"/>
  <c r="AF436" i="1" s="1"/>
  <c r="AD465" i="1"/>
  <c r="AF465" i="1" s="1"/>
  <c r="AD471" i="1"/>
  <c r="AF471" i="1" s="1"/>
  <c r="AD85" i="1"/>
  <c r="AF85" i="1" s="1"/>
  <c r="AD221" i="1"/>
  <c r="AF221" i="1" s="1"/>
  <c r="AD235" i="1"/>
  <c r="AF235" i="1" s="1"/>
  <c r="AD64" i="1"/>
  <c r="AF64" i="1" s="1"/>
  <c r="AD72" i="1"/>
  <c r="AF72" i="1" s="1"/>
  <c r="AD77" i="1"/>
  <c r="AF77" i="1" s="1"/>
  <c r="AD18" i="1"/>
  <c r="AF18" i="1" s="1"/>
  <c r="AD334" i="1"/>
  <c r="AF334" i="1" s="1"/>
  <c r="AD130" i="1"/>
  <c r="AF130" i="1" s="1"/>
  <c r="AD372" i="1"/>
  <c r="AF372" i="1" s="1"/>
  <c r="AI548" i="1"/>
  <c r="AD532" i="1"/>
  <c r="AF532" i="1" s="1"/>
  <c r="AD606" i="1"/>
  <c r="AF606" i="1" s="1"/>
  <c r="AE356" i="1"/>
  <c r="AE312" i="1"/>
  <c r="AE320" i="1"/>
  <c r="AE336" i="1"/>
  <c r="AE486" i="1"/>
  <c r="AE143" i="1"/>
  <c r="AE151" i="1"/>
  <c r="AE175" i="1"/>
  <c r="AE282" i="1"/>
  <c r="AE410" i="1"/>
  <c r="AE418" i="1"/>
  <c r="AE434" i="1"/>
  <c r="AE454" i="1"/>
  <c r="AE55" i="1"/>
  <c r="AE19" i="1"/>
  <c r="AD407" i="1"/>
  <c r="AF407" i="1" s="1"/>
  <c r="AD472" i="1"/>
  <c r="AF472" i="1" s="1"/>
  <c r="AD480" i="1"/>
  <c r="AF480" i="1" s="1"/>
  <c r="AD520" i="1"/>
  <c r="AF520" i="1" s="1"/>
  <c r="AD198" i="1"/>
  <c r="AF198" i="1" s="1"/>
  <c r="AD206" i="1"/>
  <c r="AF206" i="1" s="1"/>
  <c r="AD214" i="1"/>
  <c r="AF214" i="1" s="1"/>
  <c r="AD348" i="1"/>
  <c r="AF348" i="1" s="1"/>
  <c r="AD354" i="1"/>
  <c r="AF354" i="1" s="1"/>
  <c r="AD299" i="1"/>
  <c r="AF299" i="1" s="1"/>
  <c r="AD524" i="1"/>
  <c r="AF524" i="1" s="1"/>
  <c r="AD319" i="1"/>
  <c r="AF319" i="1" s="1"/>
  <c r="AD335" i="1"/>
  <c r="AF335" i="1" s="1"/>
  <c r="AD123" i="1"/>
  <c r="AF123" i="1" s="1"/>
  <c r="AD131" i="1"/>
  <c r="AF131" i="1" s="1"/>
  <c r="AD232" i="1"/>
  <c r="AF232" i="1" s="1"/>
  <c r="AD238" i="1"/>
  <c r="AF238" i="1" s="1"/>
  <c r="AD81" i="1"/>
  <c r="AF81" i="1" s="1"/>
  <c r="AD352" i="1"/>
  <c r="AF352" i="1" s="1"/>
  <c r="AE24" i="1"/>
  <c r="AD600" i="1"/>
  <c r="AF600" i="1" s="1"/>
  <c r="AE634" i="1"/>
  <c r="AI641" i="1"/>
  <c r="AE644" i="1"/>
  <c r="AI565" i="1"/>
  <c r="AE564" i="1"/>
  <c r="AD353" i="1"/>
  <c r="AF353" i="1" s="1"/>
  <c r="AD148" i="1"/>
  <c r="AF148" i="1" s="1"/>
  <c r="AD170" i="1"/>
  <c r="AF170" i="1" s="1"/>
  <c r="AD251" i="1"/>
  <c r="AF251" i="1" s="1"/>
  <c r="AD267" i="1"/>
  <c r="AF267" i="1" s="1"/>
  <c r="AD213" i="1"/>
  <c r="AF213" i="1" s="1"/>
  <c r="AD220" i="1"/>
  <c r="AF220" i="1" s="1"/>
  <c r="AD120" i="1"/>
  <c r="AF120" i="1" s="1"/>
  <c r="AI533" i="1"/>
  <c r="AD24" i="1"/>
  <c r="AF24" i="1" s="1"/>
  <c r="AI571" i="1"/>
  <c r="AE660" i="1"/>
  <c r="AI573" i="1"/>
  <c r="AI413" i="1"/>
  <c r="AI429" i="1"/>
  <c r="AI437" i="1"/>
  <c r="AI475" i="1"/>
  <c r="AI449" i="1"/>
  <c r="AI457" i="1"/>
  <c r="AI58" i="1"/>
  <c r="AI491" i="1"/>
  <c r="AI198" i="1"/>
  <c r="AI206" i="1"/>
  <c r="AI230" i="1"/>
  <c r="AI237" i="1"/>
  <c r="AI76" i="1"/>
  <c r="AI18" i="1"/>
  <c r="AI369" i="1"/>
  <c r="AI301" i="1"/>
  <c r="AI309" i="1"/>
  <c r="AI325" i="1"/>
  <c r="AI333" i="1"/>
  <c r="AI484" i="1"/>
  <c r="AI100" i="1"/>
  <c r="AI108" i="1"/>
  <c r="AI124" i="1"/>
  <c r="AI132" i="1"/>
  <c r="AI172" i="1"/>
  <c r="AI180" i="1"/>
  <c r="AI263" i="1"/>
  <c r="AI279" i="1"/>
  <c r="AI292" i="1"/>
  <c r="AE86" i="1"/>
  <c r="AE448" i="1"/>
  <c r="AE195" i="1"/>
  <c r="AE227" i="1"/>
  <c r="AE242" i="1"/>
  <c r="AD135" i="1"/>
  <c r="AF135" i="1" s="1"/>
  <c r="AD142" i="1"/>
  <c r="AF142" i="1" s="1"/>
  <c r="AD538" i="1"/>
  <c r="AF538" i="1" s="1"/>
  <c r="AD113" i="1"/>
  <c r="AF113" i="1" s="1"/>
  <c r="AD644" i="1"/>
  <c r="AF644" i="1" s="1"/>
  <c r="AD93" i="1"/>
  <c r="AF93" i="1" s="1"/>
  <c r="AD100" i="1"/>
  <c r="AF100" i="1" s="1"/>
  <c r="AD106" i="1"/>
  <c r="AF106" i="1" s="1"/>
  <c r="AD634" i="1"/>
  <c r="AF634" i="1" s="1"/>
  <c r="AD434" i="1"/>
  <c r="AF434" i="1" s="1"/>
  <c r="AD463" i="1"/>
  <c r="AF463" i="1" s="1"/>
  <c r="AD101" i="1"/>
  <c r="AF101" i="1" s="1"/>
  <c r="AE638" i="1"/>
  <c r="AI645" i="1"/>
  <c r="AI656" i="1"/>
  <c r="AE487" i="1"/>
  <c r="AE80" i="1"/>
  <c r="AE351" i="1"/>
  <c r="AE358" i="1"/>
  <c r="AE366" i="1"/>
  <c r="AE374" i="1"/>
  <c r="AE382" i="1"/>
  <c r="AE390" i="1"/>
  <c r="AE306" i="1"/>
  <c r="AE314" i="1"/>
  <c r="AE322" i="1"/>
  <c r="AE330" i="1"/>
  <c r="AE338" i="1"/>
  <c r="AE346" i="1"/>
  <c r="AE521" i="1"/>
  <c r="AE502" i="1"/>
  <c r="AE91" i="1"/>
  <c r="AE97" i="1"/>
  <c r="AE113" i="1"/>
  <c r="AE121" i="1"/>
  <c r="AE129" i="1"/>
  <c r="AE153" i="1"/>
  <c r="AE161" i="1"/>
  <c r="AE169" i="1"/>
  <c r="AE177" i="1"/>
  <c r="AE185" i="1"/>
  <c r="AE260" i="1"/>
  <c r="AE276" i="1"/>
  <c r="AE283" i="1"/>
  <c r="AE412" i="1"/>
  <c r="AE420" i="1"/>
  <c r="AE428" i="1"/>
  <c r="AE436" i="1"/>
  <c r="AE474" i="1"/>
  <c r="AE88" i="1"/>
  <c r="AE440" i="1"/>
  <c r="AE442" i="1"/>
  <c r="AE57" i="1"/>
  <c r="AE493" i="1"/>
  <c r="AE229" i="1"/>
  <c r="AE14" i="1"/>
  <c r="AE489" i="1"/>
  <c r="AE68" i="1"/>
  <c r="AE82" i="1"/>
  <c r="AE353" i="1"/>
  <c r="AE360" i="1"/>
  <c r="AE368" i="1"/>
  <c r="AE376" i="1"/>
  <c r="AE513" i="1"/>
  <c r="AE526" i="1"/>
  <c r="AE308" i="1"/>
  <c r="AE316" i="1"/>
  <c r="AE332" i="1"/>
  <c r="AE340" i="1"/>
  <c r="AE517" i="1"/>
  <c r="AE529" i="1"/>
  <c r="AE23" i="1"/>
  <c r="AE115" i="1"/>
  <c r="AE131" i="1"/>
  <c r="AE139" i="1"/>
  <c r="AE147" i="1"/>
  <c r="AE163" i="1"/>
  <c r="AE511" i="1"/>
  <c r="AE262" i="1"/>
  <c r="AE270" i="1"/>
  <c r="AE285" i="1"/>
  <c r="AE407" i="1"/>
  <c r="AE415" i="1"/>
  <c r="AE423" i="1"/>
  <c r="AE461" i="1"/>
  <c r="AE469" i="1"/>
  <c r="AI630" i="1"/>
  <c r="AI631" i="1"/>
  <c r="AI37" i="1"/>
  <c r="AE632" i="1"/>
  <c r="AE413" i="1"/>
  <c r="AE421" i="1"/>
  <c r="AE429" i="1"/>
  <c r="AE437" i="1"/>
  <c r="AE467" i="1"/>
  <c r="AE475" i="1"/>
  <c r="AE449" i="1"/>
  <c r="AE457" i="1"/>
  <c r="AE43" i="1"/>
  <c r="AE48" i="1"/>
  <c r="AE230" i="1"/>
  <c r="AE245" i="1"/>
  <c r="AE506" i="1"/>
  <c r="AE69" i="1"/>
  <c r="AE76" i="1"/>
  <c r="AE83" i="1"/>
  <c r="AE18" i="1"/>
  <c r="AE361" i="1"/>
  <c r="AE369" i="1"/>
  <c r="AE377" i="1"/>
  <c r="AE385" i="1"/>
  <c r="AE393" i="1"/>
  <c r="AE401" i="1"/>
  <c r="AE514" i="1"/>
  <c r="AE301" i="1"/>
  <c r="AE309" i="1"/>
  <c r="AE317" i="1"/>
  <c r="AE325" i="1"/>
  <c r="AE333" i="1"/>
  <c r="AE341" i="1"/>
  <c r="AE484" i="1"/>
  <c r="AE498" i="1"/>
  <c r="AE21" i="1"/>
  <c r="AE92" i="1"/>
  <c r="AE100" i="1"/>
  <c r="AE108" i="1"/>
  <c r="AE116" i="1"/>
  <c r="AE124" i="1"/>
  <c r="AE132" i="1"/>
  <c r="AE140" i="1"/>
  <c r="AE148" i="1"/>
  <c r="AE156" i="1"/>
  <c r="AE164" i="1"/>
  <c r="AE292" i="1"/>
  <c r="AD50" i="1"/>
  <c r="AF50" i="1" s="1"/>
  <c r="AD579" i="1"/>
  <c r="AF579" i="1" s="1"/>
  <c r="AE13" i="1"/>
  <c r="AD410" i="1"/>
  <c r="AF410" i="1" s="1"/>
  <c r="AD446" i="1"/>
  <c r="AF446" i="1" s="1"/>
  <c r="AD494" i="1"/>
  <c r="AF494" i="1" s="1"/>
  <c r="AD197" i="1"/>
  <c r="AF197" i="1" s="1"/>
  <c r="AD245" i="1"/>
  <c r="AF245" i="1" s="1"/>
  <c r="AD258" i="1"/>
  <c r="AF258" i="1" s="1"/>
  <c r="AE595" i="1"/>
  <c r="AE599" i="1"/>
  <c r="AE603" i="1"/>
  <c r="AE605" i="1"/>
  <c r="AE608" i="1"/>
  <c r="AI609" i="1"/>
  <c r="AE611" i="1"/>
  <c r="AE613" i="1"/>
  <c r="AD80" i="1"/>
  <c r="AF80" i="1" s="1"/>
  <c r="AD383" i="1"/>
  <c r="AF383" i="1" s="1"/>
  <c r="AD404" i="1"/>
  <c r="AF404" i="1" s="1"/>
  <c r="AD300" i="1"/>
  <c r="AF300" i="1" s="1"/>
  <c r="AD517" i="1"/>
  <c r="AF517" i="1" s="1"/>
  <c r="AD503" i="1"/>
  <c r="AF503" i="1" s="1"/>
  <c r="AD368" i="1"/>
  <c r="AF368" i="1" s="1"/>
  <c r="AD108" i="1"/>
  <c r="AF108" i="1" s="1"/>
  <c r="AD637" i="1"/>
  <c r="AF637" i="1" s="1"/>
  <c r="AE655" i="1"/>
  <c r="AD417" i="1"/>
  <c r="AF417" i="1" s="1"/>
  <c r="AD455" i="1"/>
  <c r="AF455" i="1" s="1"/>
  <c r="AD222" i="1"/>
  <c r="AF222" i="1" s="1"/>
  <c r="AD377" i="1"/>
  <c r="AF377" i="1" s="1"/>
  <c r="AD302" i="1"/>
  <c r="AF302" i="1" s="1"/>
  <c r="AD322" i="1"/>
  <c r="AF322" i="1" s="1"/>
  <c r="AD91" i="1"/>
  <c r="AF91" i="1" s="1"/>
  <c r="AD103" i="1"/>
  <c r="AF103" i="1" s="1"/>
  <c r="AE543" i="1"/>
  <c r="AD567" i="1"/>
  <c r="AF567" i="1" s="1"/>
  <c r="AI588" i="1"/>
  <c r="AD596" i="1"/>
  <c r="AF596" i="1" s="1"/>
  <c r="AE642" i="1"/>
  <c r="AE38" i="1"/>
  <c r="AD432" i="1"/>
  <c r="AF432" i="1" s="1"/>
  <c r="AD475" i="1"/>
  <c r="AF475" i="1" s="1"/>
  <c r="AD482" i="1"/>
  <c r="AF482" i="1" s="1"/>
  <c r="AD87" i="1"/>
  <c r="AF87" i="1" s="1"/>
  <c r="AD439" i="1"/>
  <c r="AF439" i="1" s="1"/>
  <c r="AD508" i="1"/>
  <c r="AF508" i="1" s="1"/>
  <c r="AD70" i="1"/>
  <c r="AF70" i="1" s="1"/>
  <c r="AD351" i="1"/>
  <c r="AF351" i="1" s="1"/>
  <c r="AD371" i="1"/>
  <c r="AF371" i="1" s="1"/>
  <c r="AD528" i="1"/>
  <c r="AF528" i="1" s="1"/>
  <c r="AD529" i="1"/>
  <c r="AF529" i="1" s="1"/>
  <c r="AD362" i="1"/>
  <c r="AF362" i="1" s="1"/>
  <c r="AD336" i="1"/>
  <c r="AF336" i="1" s="1"/>
  <c r="AD541" i="1"/>
  <c r="AF541" i="1" s="1"/>
  <c r="AD571" i="1"/>
  <c r="AF571" i="1" s="1"/>
  <c r="AE637" i="1"/>
  <c r="AE640" i="1"/>
  <c r="AD462" i="1"/>
  <c r="AF462" i="1" s="1"/>
  <c r="AD476" i="1"/>
  <c r="AF476" i="1" s="1"/>
  <c r="AD46" i="1"/>
  <c r="AF46" i="1" s="1"/>
  <c r="AD357" i="1"/>
  <c r="AF357" i="1" s="1"/>
  <c r="AD364" i="1"/>
  <c r="AF364" i="1" s="1"/>
  <c r="AD98" i="1"/>
  <c r="AF98" i="1" s="1"/>
  <c r="AD104" i="1"/>
  <c r="AF104" i="1" s="1"/>
  <c r="AD146" i="1"/>
  <c r="AF146" i="1" s="1"/>
  <c r="AD168" i="1"/>
  <c r="AF168" i="1" s="1"/>
  <c r="AD257" i="1"/>
  <c r="AF257" i="1" s="1"/>
  <c r="AD280" i="1"/>
  <c r="AF280" i="1" s="1"/>
  <c r="AD287" i="1"/>
  <c r="AF287" i="1" s="1"/>
  <c r="AD350" i="1"/>
  <c r="AF350" i="1" s="1"/>
  <c r="AD355" i="1"/>
  <c r="AF355" i="1" s="1"/>
  <c r="AD572" i="1"/>
  <c r="AF572" i="1" s="1"/>
  <c r="AD594" i="1"/>
  <c r="AF594" i="1" s="1"/>
  <c r="AI628" i="1"/>
  <c r="AE656" i="1"/>
  <c r="AD650" i="1"/>
  <c r="AF650" i="1" s="1"/>
  <c r="AI430" i="1"/>
  <c r="AI468" i="1"/>
  <c r="AI44" i="1"/>
  <c r="AI520" i="1"/>
  <c r="AI223" i="1"/>
  <c r="AI507" i="1"/>
  <c r="AI354" i="1"/>
  <c r="AI378" i="1"/>
  <c r="AI300" i="1"/>
  <c r="AI326" i="1"/>
  <c r="AI530" i="1"/>
  <c r="AI117" i="1"/>
  <c r="AI149" i="1"/>
  <c r="AI181" i="1"/>
  <c r="AI264" i="1"/>
  <c r="AI287" i="1"/>
  <c r="AE472" i="1"/>
  <c r="AE46" i="1"/>
  <c r="AI515" i="1"/>
  <c r="AI460" i="1"/>
  <c r="AI458" i="1"/>
  <c r="AI441" i="1"/>
  <c r="AI492" i="1"/>
  <c r="AI215" i="1"/>
  <c r="AI246" i="1"/>
  <c r="AI347" i="1"/>
  <c r="AI386" i="1"/>
  <c r="AI302" i="1"/>
  <c r="AI334" i="1"/>
  <c r="AI528" i="1"/>
  <c r="AI93" i="1"/>
  <c r="AI125" i="1"/>
  <c r="AI157" i="1"/>
  <c r="AI189" i="1"/>
  <c r="AI272" i="1"/>
  <c r="AE411" i="1"/>
  <c r="AE419" i="1"/>
  <c r="AE427" i="1"/>
  <c r="AE47" i="1"/>
  <c r="AE74" i="1"/>
  <c r="AE352" i="1"/>
  <c r="AE331" i="1"/>
  <c r="AE497" i="1"/>
  <c r="AE154" i="1"/>
  <c r="AE162" i="1"/>
  <c r="AE298" i="1"/>
  <c r="AE426" i="1"/>
  <c r="AE480" i="1"/>
  <c r="AE52" i="1"/>
  <c r="AI414" i="1"/>
  <c r="AI476" i="1"/>
  <c r="AI444" i="1"/>
  <c r="AI207" i="1"/>
  <c r="AI238" i="1"/>
  <c r="AI13" i="1"/>
  <c r="AI362" i="1"/>
  <c r="AI394" i="1"/>
  <c r="AI310" i="1"/>
  <c r="AI342" i="1"/>
  <c r="AI109" i="1"/>
  <c r="AI141" i="1"/>
  <c r="AI165" i="1"/>
  <c r="AI248" i="1"/>
  <c r="AI280" i="1"/>
  <c r="AE464" i="1"/>
  <c r="AI422" i="1"/>
  <c r="AI450" i="1"/>
  <c r="AI59" i="1"/>
  <c r="AI199" i="1"/>
  <c r="AI231" i="1"/>
  <c r="AI70" i="1"/>
  <c r="AI370" i="1"/>
  <c r="AI402" i="1"/>
  <c r="AI318" i="1"/>
  <c r="AI495" i="1"/>
  <c r="AI101" i="1"/>
  <c r="AI133" i="1"/>
  <c r="AI173" i="1"/>
  <c r="AI256" i="1"/>
  <c r="AI293" i="1"/>
  <c r="AE465" i="1"/>
  <c r="AE455" i="1"/>
  <c r="AE56" i="1"/>
  <c r="AE196" i="1"/>
  <c r="AE220" i="1"/>
  <c r="AE243" i="1"/>
  <c r="AE81" i="1"/>
  <c r="AE367" i="1"/>
  <c r="AE391" i="1"/>
  <c r="AE525" i="1"/>
  <c r="AE323" i="1"/>
  <c r="AE106" i="1"/>
  <c r="AE138" i="1"/>
  <c r="AE170" i="1"/>
  <c r="AE510" i="1"/>
  <c r="AE269" i="1"/>
  <c r="AE284" i="1"/>
  <c r="AE652" i="1"/>
  <c r="AE658" i="1"/>
  <c r="AE473" i="1"/>
  <c r="AE527" i="1"/>
  <c r="AE228" i="1"/>
  <c r="AE67" i="1"/>
  <c r="AE359" i="1"/>
  <c r="AE399" i="1"/>
  <c r="AE307" i="1"/>
  <c r="AE339" i="1"/>
  <c r="AE98" i="1"/>
  <c r="AE130" i="1"/>
  <c r="AE186" i="1"/>
  <c r="AE261" i="1"/>
  <c r="AE291" i="1"/>
  <c r="AE53" i="1"/>
  <c r="AE204" i="1"/>
  <c r="AE236" i="1"/>
  <c r="AE375" i="1"/>
  <c r="AE299" i="1"/>
  <c r="AE315" i="1"/>
  <c r="AE483" i="1"/>
  <c r="AE503" i="1"/>
  <c r="AE114" i="1"/>
  <c r="AE146" i="1"/>
  <c r="AE178" i="1"/>
  <c r="AE253" i="1"/>
  <c r="AE277" i="1"/>
  <c r="AE435" i="1"/>
  <c r="AE87" i="1"/>
  <c r="AE447" i="1"/>
  <c r="AE212" i="1"/>
  <c r="AE488" i="1"/>
  <c r="AE383" i="1"/>
  <c r="AE122" i="1"/>
  <c r="AD469" i="1"/>
  <c r="AF469" i="1" s="1"/>
  <c r="AE581" i="1"/>
  <c r="AE573" i="1"/>
  <c r="AE565" i="1"/>
  <c r="AE557" i="1"/>
  <c r="AI581" i="1"/>
  <c r="AI557" i="1"/>
  <c r="AE203" i="1"/>
  <c r="AE211" i="1"/>
  <c r="AE235" i="1"/>
  <c r="AE66" i="1"/>
  <c r="AE406" i="1"/>
  <c r="AE145" i="1"/>
  <c r="AE509" i="1"/>
  <c r="AE252" i="1"/>
  <c r="AE297" i="1"/>
  <c r="AE580" i="1"/>
  <c r="AE556" i="1"/>
  <c r="AI580" i="1"/>
  <c r="AE63" i="1"/>
  <c r="AE193" i="1"/>
  <c r="AE201" i="1"/>
  <c r="AE209" i="1"/>
  <c r="AE217" i="1"/>
  <c r="AE72" i="1"/>
  <c r="AE78" i="1"/>
  <c r="AE396" i="1"/>
  <c r="AE404" i="1"/>
  <c r="AE523" i="1"/>
  <c r="AE304" i="1"/>
  <c r="AE328" i="1"/>
  <c r="AE344" i="1"/>
  <c r="AE531" i="1"/>
  <c r="AE95" i="1"/>
  <c r="AE103" i="1"/>
  <c r="AE111" i="1"/>
  <c r="AE119" i="1"/>
  <c r="AE127" i="1"/>
  <c r="AE135" i="1"/>
  <c r="AE159" i="1"/>
  <c r="AE183" i="1"/>
  <c r="AE191" i="1"/>
  <c r="AE250" i="1"/>
  <c r="AE266" i="1"/>
  <c r="AE289" i="1"/>
  <c r="AD489" i="1"/>
  <c r="AF489" i="1" s="1"/>
  <c r="AD118" i="1"/>
  <c r="AF118" i="1" s="1"/>
  <c r="AD31" i="1"/>
  <c r="AF31" i="1" s="1"/>
  <c r="AE563" i="1"/>
  <c r="AI579" i="1"/>
  <c r="AI563" i="1"/>
  <c r="AI407" i="1"/>
  <c r="AI415" i="1"/>
  <c r="AI423" i="1"/>
  <c r="AI431" i="1"/>
  <c r="AI461" i="1"/>
  <c r="AI469" i="1"/>
  <c r="AI477" i="1"/>
  <c r="AI451" i="1"/>
  <c r="AI459" i="1"/>
  <c r="AI45" i="1"/>
  <c r="AI49" i="1"/>
  <c r="AI445" i="1"/>
  <c r="AI60" i="1"/>
  <c r="AI516" i="1"/>
  <c r="AI192" i="1"/>
  <c r="AI200" i="1"/>
  <c r="AI208" i="1"/>
  <c r="AI216" i="1"/>
  <c r="AI224" i="1"/>
  <c r="AI232" i="1"/>
  <c r="AI239" i="1"/>
  <c r="AI247" i="1"/>
  <c r="AI508" i="1"/>
  <c r="AI71" i="1"/>
  <c r="AI77" i="1"/>
  <c r="AI348" i="1"/>
  <c r="AI355" i="1"/>
  <c r="AI363" i="1"/>
  <c r="AI371" i="1"/>
  <c r="AI379" i="1"/>
  <c r="AI387" i="1"/>
  <c r="AI395" i="1"/>
  <c r="AI403" i="1"/>
  <c r="AI522" i="1"/>
  <c r="AI303" i="1"/>
  <c r="AI311" i="1"/>
  <c r="AI319" i="1"/>
  <c r="AI327" i="1"/>
  <c r="AI335" i="1"/>
  <c r="AI343" i="1"/>
  <c r="AI22" i="1"/>
  <c r="AI94" i="1"/>
  <c r="AI102" i="1"/>
  <c r="AI110" i="1"/>
  <c r="AI118" i="1"/>
  <c r="AI126" i="1"/>
  <c r="AI134" i="1"/>
  <c r="AI142" i="1"/>
  <c r="AI150" i="1"/>
  <c r="AI158" i="1"/>
  <c r="AI166" i="1"/>
  <c r="AI174" i="1"/>
  <c r="AI182" i="1"/>
  <c r="AI190" i="1"/>
  <c r="AI265" i="1"/>
  <c r="AI273" i="1"/>
  <c r="AI288" i="1"/>
  <c r="AI294" i="1"/>
  <c r="AE466" i="1"/>
  <c r="AE482" i="1"/>
  <c r="AE456" i="1"/>
  <c r="AE519" i="1"/>
  <c r="AE205" i="1"/>
  <c r="AE244" i="1"/>
  <c r="AE75" i="1"/>
  <c r="AD246" i="1"/>
  <c r="AF246" i="1" s="1"/>
  <c r="AD420" i="1"/>
  <c r="AF420" i="1" s="1"/>
  <c r="AD545" i="1"/>
  <c r="AF545" i="1" s="1"/>
  <c r="AD595" i="1"/>
  <c r="AF595" i="1" s="1"/>
  <c r="AD521" i="1"/>
  <c r="AF521" i="1" s="1"/>
  <c r="AI538" i="1"/>
  <c r="AD60" i="1"/>
  <c r="AF60" i="1" s="1"/>
  <c r="AD247" i="1"/>
  <c r="AF247" i="1" s="1"/>
  <c r="AD506" i="1"/>
  <c r="AF506" i="1" s="1"/>
  <c r="AD125" i="1"/>
  <c r="AF125" i="1" s="1"/>
  <c r="AD132" i="1"/>
  <c r="AF132" i="1" s="1"/>
  <c r="AD530" i="1"/>
  <c r="AF530" i="1" s="1"/>
  <c r="AD575" i="1"/>
  <c r="AF575" i="1" s="1"/>
  <c r="AI601" i="1"/>
  <c r="AI606" i="1"/>
  <c r="AD642" i="1"/>
  <c r="AF642" i="1" s="1"/>
  <c r="AD646" i="1"/>
  <c r="AF646" i="1" s="1"/>
  <c r="AD647" i="1"/>
  <c r="AF647" i="1" s="1"/>
  <c r="AE654" i="1"/>
  <c r="AI660" i="1"/>
  <c r="AI405" i="1"/>
  <c r="AI321" i="1"/>
  <c r="AI420" i="1"/>
  <c r="AI428" i="1"/>
  <c r="AI436" i="1"/>
  <c r="AD236" i="1"/>
  <c r="AF236" i="1" s="1"/>
  <c r="AD241" i="1"/>
  <c r="AF241" i="1" s="1"/>
  <c r="AD342" i="1"/>
  <c r="AF342" i="1" s="1"/>
  <c r="AD484" i="1"/>
  <c r="AF484" i="1" s="1"/>
  <c r="AD291" i="1"/>
  <c r="AF291" i="1" s="1"/>
  <c r="AD653" i="1"/>
  <c r="AF653" i="1" s="1"/>
  <c r="AD516" i="1"/>
  <c r="AF516" i="1" s="1"/>
  <c r="AD375" i="1"/>
  <c r="AF375" i="1" s="1"/>
  <c r="AD497" i="1"/>
  <c r="AF497" i="1" s="1"/>
  <c r="AD502" i="1"/>
  <c r="AF502" i="1" s="1"/>
  <c r="AI550" i="1"/>
  <c r="AD547" i="1"/>
  <c r="AF547" i="1" s="1"/>
  <c r="AI596" i="1"/>
  <c r="AE657" i="1"/>
  <c r="AD45" i="1"/>
  <c r="AF45" i="1" s="1"/>
  <c r="AI558" i="1"/>
  <c r="AD585" i="1"/>
  <c r="AF585" i="1" s="1"/>
  <c r="AD614" i="1"/>
  <c r="AF614" i="1" s="1"/>
  <c r="AD618" i="1"/>
  <c r="AF618" i="1" s="1"/>
  <c r="AD628" i="1"/>
  <c r="AF628" i="1" s="1"/>
  <c r="AE636" i="1"/>
  <c r="AE653" i="1"/>
  <c r="AE400" i="1"/>
  <c r="AE89" i="1"/>
  <c r="AE99" i="1"/>
  <c r="AE107" i="1"/>
  <c r="AE123" i="1"/>
  <c r="AE155" i="1"/>
  <c r="AE171" i="1"/>
  <c r="AE179" i="1"/>
  <c r="AE17" i="1"/>
  <c r="AE430" i="1"/>
  <c r="AE476" i="1"/>
  <c r="AE450" i="1"/>
  <c r="AE458" i="1"/>
  <c r="AE492" i="1"/>
  <c r="AE520" i="1"/>
  <c r="AE199" i="1"/>
  <c r="AE207" i="1"/>
  <c r="AE215" i="1"/>
  <c r="AE238" i="1"/>
  <c r="AE70" i="1"/>
  <c r="AE354" i="1"/>
  <c r="AE370" i="1"/>
  <c r="AE378" i="1"/>
  <c r="AE300" i="1"/>
  <c r="AE302" i="1"/>
  <c r="AE310" i="1"/>
  <c r="AE326" i="1"/>
  <c r="AE342" i="1"/>
  <c r="AE528" i="1"/>
  <c r="AE530" i="1"/>
  <c r="AE93" i="1"/>
  <c r="AE101" i="1"/>
  <c r="AE133" i="1"/>
  <c r="AE157" i="1"/>
  <c r="AE165" i="1"/>
  <c r="AE248" i="1"/>
  <c r="AE256" i="1"/>
  <c r="AE280" i="1"/>
  <c r="AE293" i="1"/>
  <c r="AE433" i="1"/>
  <c r="AE463" i="1"/>
  <c r="AE51" i="1"/>
  <c r="AE381" i="1"/>
  <c r="AE321" i="1"/>
  <c r="AE337" i="1"/>
  <c r="AE96" i="1"/>
  <c r="AE104" i="1"/>
  <c r="AE120" i="1"/>
  <c r="AE160" i="1"/>
  <c r="AE168" i="1"/>
  <c r="AE176" i="1"/>
  <c r="AE296" i="1"/>
  <c r="AD205" i="1"/>
  <c r="AF205" i="1" s="1"/>
  <c r="AD230" i="1"/>
  <c r="AF230" i="1" s="1"/>
  <c r="AD14" i="1"/>
  <c r="AF14" i="1" s="1"/>
  <c r="AD242" i="1"/>
  <c r="AF242" i="1" s="1"/>
  <c r="AD338" i="1"/>
  <c r="AF338" i="1" s="1"/>
  <c r="AD114" i="1"/>
  <c r="AF114" i="1" s="1"/>
  <c r="AI640" i="1"/>
  <c r="AD645" i="1"/>
  <c r="AF645" i="1" s="1"/>
  <c r="AI648" i="1"/>
  <c r="AD212" i="1"/>
  <c r="AF212" i="1" s="1"/>
  <c r="AD218" i="1"/>
  <c r="AF218" i="1" s="1"/>
  <c r="AD225" i="1"/>
  <c r="AF225" i="1" s="1"/>
  <c r="AD231" i="1"/>
  <c r="AF231" i="1" s="1"/>
  <c r="AD243" i="1"/>
  <c r="AF243" i="1" s="1"/>
  <c r="AD367" i="1"/>
  <c r="AF367" i="1" s="1"/>
  <c r="AD373" i="1"/>
  <c r="AF373" i="1" s="1"/>
  <c r="AD379" i="1"/>
  <c r="AF379" i="1" s="1"/>
  <c r="AD398" i="1"/>
  <c r="AF398" i="1" s="1"/>
  <c r="AD308" i="1"/>
  <c r="AF308" i="1" s="1"/>
  <c r="AD314" i="1"/>
  <c r="AF314" i="1" s="1"/>
  <c r="AD327" i="1"/>
  <c r="AF327" i="1" s="1"/>
  <c r="AD339" i="1"/>
  <c r="AF339" i="1" s="1"/>
  <c r="AD95" i="1"/>
  <c r="AF95" i="1" s="1"/>
  <c r="AD102" i="1"/>
  <c r="AF102" i="1" s="1"/>
  <c r="AD139" i="1"/>
  <c r="AF139" i="1" s="1"/>
  <c r="AD180" i="1"/>
  <c r="AF180" i="1" s="1"/>
  <c r="AD511" i="1"/>
  <c r="AF511" i="1" s="1"/>
  <c r="AD376" i="1"/>
  <c r="AF376" i="1" s="1"/>
  <c r="AD301" i="1"/>
  <c r="AF301" i="1" s="1"/>
  <c r="AD307" i="1"/>
  <c r="AF307" i="1" s="1"/>
  <c r="AD498" i="1"/>
  <c r="AF498" i="1" s="1"/>
  <c r="AD531" i="1"/>
  <c r="AF531" i="1" s="1"/>
  <c r="AD128" i="1"/>
  <c r="AF128" i="1" s="1"/>
  <c r="AD134" i="1"/>
  <c r="AF134" i="1" s="1"/>
  <c r="AD151" i="1"/>
  <c r="AF151" i="1" s="1"/>
  <c r="AD157" i="1"/>
  <c r="AF157" i="1" s="1"/>
  <c r="AD189" i="1"/>
  <c r="AF189" i="1" s="1"/>
  <c r="AD27" i="1"/>
  <c r="AF27" i="1" s="1"/>
  <c r="AD549" i="1"/>
  <c r="AF549" i="1" s="1"/>
  <c r="AD553" i="1"/>
  <c r="AF553" i="1" s="1"/>
  <c r="AD28" i="1"/>
  <c r="AF28" i="1" s="1"/>
  <c r="AD550" i="1"/>
  <c r="AF550" i="1" s="1"/>
  <c r="AE587" i="1"/>
  <c r="AE594" i="1"/>
  <c r="AD601" i="1"/>
  <c r="AF601" i="1" s="1"/>
  <c r="AE604" i="1"/>
  <c r="AE607" i="1"/>
  <c r="AE610" i="1"/>
  <c r="AE612" i="1"/>
  <c r="AI638" i="1"/>
  <c r="AE639" i="1"/>
  <c r="AD639" i="1"/>
  <c r="AF639" i="1" s="1"/>
  <c r="AI653" i="1"/>
  <c r="AI657" i="1"/>
  <c r="AI466" i="1"/>
  <c r="AI474" i="1"/>
  <c r="AI482" i="1"/>
  <c r="AI456" i="1"/>
  <c r="AI88" i="1"/>
  <c r="AI440" i="1"/>
  <c r="AI57" i="1"/>
  <c r="AI519" i="1"/>
  <c r="AI493" i="1"/>
  <c r="AI197" i="1"/>
  <c r="AI205" i="1"/>
  <c r="AI213" i="1"/>
  <c r="AI229" i="1"/>
  <c r="AI14" i="1"/>
  <c r="AI244" i="1"/>
  <c r="AI489" i="1"/>
  <c r="AI68" i="1"/>
  <c r="AI75" i="1"/>
  <c r="AI82" i="1"/>
  <c r="AI353" i="1"/>
  <c r="AI360" i="1"/>
  <c r="AI368" i="1"/>
  <c r="AI376" i="1"/>
  <c r="AI384" i="1"/>
  <c r="AI392" i="1"/>
  <c r="AI400" i="1"/>
  <c r="AI513" i="1"/>
  <c r="AI308" i="1"/>
  <c r="AI316" i="1"/>
  <c r="AI324" i="1"/>
  <c r="AI332" i="1"/>
  <c r="AI340" i="1"/>
  <c r="AI517" i="1"/>
  <c r="AI529" i="1"/>
  <c r="AI23" i="1"/>
  <c r="AI99" i="1"/>
  <c r="AI107" i="1"/>
  <c r="AI115" i="1"/>
  <c r="AI123" i="1"/>
  <c r="AI131" i="1"/>
  <c r="AI139" i="1"/>
  <c r="AI147" i="1"/>
  <c r="AI155" i="1"/>
  <c r="AI163" i="1"/>
  <c r="AI179" i="1"/>
  <c r="AI187" i="1"/>
  <c r="AI511" i="1"/>
  <c r="AI254" i="1"/>
  <c r="AI262" i="1"/>
  <c r="AI270" i="1"/>
  <c r="AI278" i="1"/>
  <c r="AI17" i="1"/>
  <c r="AD412" i="1"/>
  <c r="AF412" i="1" s="1"/>
  <c r="AD219" i="1"/>
  <c r="AF219" i="1" s="1"/>
  <c r="AD71" i="1"/>
  <c r="AF71" i="1" s="1"/>
  <c r="AD380" i="1"/>
  <c r="AF380" i="1" s="1"/>
  <c r="AD340" i="1"/>
  <c r="AF340" i="1" s="1"/>
  <c r="AD121" i="1"/>
  <c r="AF121" i="1" s="1"/>
  <c r="AI540" i="1"/>
  <c r="AI547" i="1"/>
  <c r="AI27" i="1"/>
  <c r="AI584" i="1"/>
  <c r="AI568" i="1"/>
  <c r="AI632" i="1"/>
  <c r="AE647" i="1"/>
  <c r="AE650" i="1"/>
  <c r="AD658" i="1"/>
  <c r="AF658" i="1" s="1"/>
  <c r="AD656" i="1"/>
  <c r="AF656" i="1" s="1"/>
  <c r="AE661" i="1"/>
  <c r="AI434" i="1"/>
  <c r="AI86" i="1"/>
  <c r="AI219" i="1"/>
  <c r="AI227" i="1"/>
  <c r="AI487" i="1"/>
  <c r="AI524" i="1"/>
  <c r="AI322" i="1"/>
  <c r="AI346" i="1"/>
  <c r="AI113" i="1"/>
  <c r="AI268" i="1"/>
  <c r="AD419" i="1"/>
  <c r="AF419" i="1" s="1"/>
  <c r="AD425" i="1"/>
  <c r="AF425" i="1" s="1"/>
  <c r="AD374" i="1"/>
  <c r="AF374" i="1" s="1"/>
  <c r="AD393" i="1"/>
  <c r="AF393" i="1" s="1"/>
  <c r="AD401" i="1"/>
  <c r="AF401" i="1" s="1"/>
  <c r="AD303" i="1"/>
  <c r="AF303" i="1" s="1"/>
  <c r="AD316" i="1"/>
  <c r="AF316" i="1" s="1"/>
  <c r="AD640" i="1"/>
  <c r="AF640" i="1" s="1"/>
  <c r="AE643" i="1"/>
  <c r="AE646" i="1"/>
  <c r="AD661" i="1"/>
  <c r="AF661" i="1" s="1"/>
  <c r="AD660" i="1"/>
  <c r="AF660" i="1" s="1"/>
  <c r="AI661" i="1"/>
  <c r="AI73" i="1"/>
  <c r="AI251" i="1"/>
  <c r="AI560" i="1"/>
  <c r="AI421" i="1"/>
  <c r="AI467" i="1"/>
  <c r="AI43" i="1"/>
  <c r="AI48" i="1"/>
  <c r="AI443" i="1"/>
  <c r="AI494" i="1"/>
  <c r="AI214" i="1"/>
  <c r="AI222" i="1"/>
  <c r="AI245" i="1"/>
  <c r="AI506" i="1"/>
  <c r="AI69" i="1"/>
  <c r="AI83" i="1"/>
  <c r="AI393" i="1"/>
  <c r="AI401" i="1"/>
  <c r="AI514" i="1"/>
  <c r="AI317" i="1"/>
  <c r="AI341" i="1"/>
  <c r="AI498" i="1"/>
  <c r="AI21" i="1"/>
  <c r="AI92" i="1"/>
  <c r="AI116" i="1"/>
  <c r="AI140" i="1"/>
  <c r="AI148" i="1"/>
  <c r="AI156" i="1"/>
  <c r="AI512" i="1"/>
  <c r="AI255" i="1"/>
  <c r="AI271" i="1"/>
  <c r="AI286" i="1"/>
  <c r="AI532" i="1"/>
  <c r="AI554" i="1"/>
  <c r="AI552" i="1"/>
  <c r="AI26" i="1"/>
  <c r="AI575" i="1"/>
  <c r="AI567" i="1"/>
  <c r="AI590" i="1"/>
  <c r="AI592" i="1"/>
  <c r="AI602" i="1"/>
  <c r="AI607" i="1"/>
  <c r="AI610" i="1"/>
  <c r="AI623" i="1"/>
  <c r="AI629" i="1"/>
  <c r="AI635" i="1"/>
  <c r="AI655" i="1"/>
  <c r="AI160" i="1"/>
  <c r="AI576" i="1"/>
  <c r="AI439" i="1"/>
  <c r="AI79" i="1"/>
  <c r="AI643" i="1"/>
  <c r="AI659" i="1"/>
  <c r="AI51" i="1"/>
  <c r="AI296" i="1"/>
  <c r="AI651" i="1"/>
  <c r="AI410" i="1"/>
  <c r="AI418" i="1"/>
  <c r="AI464" i="1"/>
  <c r="AI472" i="1"/>
  <c r="AI480" i="1"/>
  <c r="AI454" i="1"/>
  <c r="AI52" i="1"/>
  <c r="AI55" i="1"/>
  <c r="AI448" i="1"/>
  <c r="AI195" i="1"/>
  <c r="AI203" i="1"/>
  <c r="AI235" i="1"/>
  <c r="AI242" i="1"/>
  <c r="AI66" i="1"/>
  <c r="AI351" i="1"/>
  <c r="AI358" i="1"/>
  <c r="AI366" i="1"/>
  <c r="AI374" i="1"/>
  <c r="AI382" i="1"/>
  <c r="AI398" i="1"/>
  <c r="AI406" i="1"/>
  <c r="AI314" i="1"/>
  <c r="AI330" i="1"/>
  <c r="AI338" i="1"/>
  <c r="AI521" i="1"/>
  <c r="AI502" i="1"/>
  <c r="AI91" i="1"/>
  <c r="AI97" i="1"/>
  <c r="AI105" i="1"/>
  <c r="AI121" i="1"/>
  <c r="AI129" i="1"/>
  <c r="AI145" i="1"/>
  <c r="AI153" i="1"/>
  <c r="AI161" i="1"/>
  <c r="AI169" i="1"/>
  <c r="AI177" i="1"/>
  <c r="AI185" i="1"/>
  <c r="AI509" i="1"/>
  <c r="AI252" i="1"/>
  <c r="AI260" i="1"/>
  <c r="AI283" i="1"/>
  <c r="AI16" i="1"/>
  <c r="AI534" i="1"/>
  <c r="AI32" i="1"/>
  <c r="AI553" i="1"/>
  <c r="AI549" i="1"/>
  <c r="AI586" i="1"/>
  <c r="AI562" i="1"/>
  <c r="AI603" i="1"/>
  <c r="AI611" i="1"/>
  <c r="AI617" i="1"/>
  <c r="AI626" i="1"/>
  <c r="AI636" i="1"/>
  <c r="AI644" i="1"/>
  <c r="AI595" i="1"/>
  <c r="AI605" i="1"/>
  <c r="AI608" i="1"/>
  <c r="AI613" i="1"/>
  <c r="AI647" i="1"/>
  <c r="AI658" i="1"/>
  <c r="AI642" i="1"/>
  <c r="AI652" i="1"/>
  <c r="AI649" i="1"/>
  <c r="AI639" i="1"/>
  <c r="AI38" i="1"/>
  <c r="AI409" i="1"/>
  <c r="AI417" i="1"/>
  <c r="AI425" i="1"/>
  <c r="AI433" i="1"/>
  <c r="AI463" i="1"/>
  <c r="AI471" i="1"/>
  <c r="AI479" i="1"/>
  <c r="AI453" i="1"/>
  <c r="AI85" i="1"/>
  <c r="AI446" i="1"/>
  <c r="AI62" i="1"/>
  <c r="AI20" i="1"/>
  <c r="AI194" i="1"/>
  <c r="AI202" i="1"/>
  <c r="AI210" i="1"/>
  <c r="AI218" i="1"/>
  <c r="AI226" i="1"/>
  <c r="AI234" i="1"/>
  <c r="AI241" i="1"/>
  <c r="AI505" i="1"/>
  <c r="AI65" i="1"/>
  <c r="AI350" i="1"/>
  <c r="AI357" i="1"/>
  <c r="AI365" i="1"/>
  <c r="AI373" i="1"/>
  <c r="AI381" i="1"/>
  <c r="AI389" i="1"/>
  <c r="AI397" i="1"/>
  <c r="AI518" i="1"/>
  <c r="AI305" i="1"/>
  <c r="AI313" i="1"/>
  <c r="AI329" i="1"/>
  <c r="AI337" i="1"/>
  <c r="AI345" i="1"/>
  <c r="AI496" i="1"/>
  <c r="AI501" i="1"/>
  <c r="AI90" i="1"/>
  <c r="AI96" i="1"/>
  <c r="AI104" i="1"/>
  <c r="AI112" i="1"/>
  <c r="AI120" i="1"/>
  <c r="AI128" i="1"/>
  <c r="AI136" i="1"/>
  <c r="AI144" i="1"/>
  <c r="AI152" i="1"/>
  <c r="AI168" i="1"/>
  <c r="AI176" i="1"/>
  <c r="AI490" i="1"/>
  <c r="AI259" i="1"/>
  <c r="AI267" i="1"/>
  <c r="AI275" i="1"/>
  <c r="AI15" i="1"/>
  <c r="AI290" i="1"/>
  <c r="AI646" i="1"/>
  <c r="AD204" i="1"/>
  <c r="AF204" i="1" s="1"/>
  <c r="AD210" i="1"/>
  <c r="AF210" i="1" s="1"/>
  <c r="AD79" i="1"/>
  <c r="AF79" i="1" s="1"/>
  <c r="AD312" i="1"/>
  <c r="AF312" i="1" s="1"/>
  <c r="AD144" i="1"/>
  <c r="AF144" i="1" s="1"/>
  <c r="AD292" i="1"/>
  <c r="AF292" i="1" s="1"/>
  <c r="AE416" i="1"/>
  <c r="AE470" i="1"/>
  <c r="AE478" i="1"/>
  <c r="AE438" i="1"/>
  <c r="AE64" i="1"/>
  <c r="AE274" i="1"/>
  <c r="AE408" i="1"/>
  <c r="AE424" i="1"/>
  <c r="AE432" i="1"/>
  <c r="AE462" i="1"/>
  <c r="AE452" i="1"/>
  <c r="AE84" i="1"/>
  <c r="AE54" i="1"/>
  <c r="AE61" i="1"/>
  <c r="AE225" i="1"/>
  <c r="AE233" i="1"/>
  <c r="AE240" i="1"/>
  <c r="AE504" i="1"/>
  <c r="AE349" i="1"/>
  <c r="AE364" i="1"/>
  <c r="AE372" i="1"/>
  <c r="AE388" i="1"/>
  <c r="AE500" i="1"/>
  <c r="AE258" i="1"/>
  <c r="AE295" i="1"/>
  <c r="AD397" i="1"/>
  <c r="AF397" i="1" s="1"/>
  <c r="AD172" i="1"/>
  <c r="AF172" i="1" s="1"/>
  <c r="AI426" i="1"/>
  <c r="AI12" i="1"/>
  <c r="AI80" i="1"/>
  <c r="AI390" i="1"/>
  <c r="AI306" i="1"/>
  <c r="AI137" i="1"/>
  <c r="AD501" i="1"/>
  <c r="AF501" i="1" s="1"/>
  <c r="AD99" i="1"/>
  <c r="AF99" i="1" s="1"/>
  <c r="AD111" i="1"/>
  <c r="AF111" i="1" s="1"/>
  <c r="AD163" i="1"/>
  <c r="AF163" i="1" s="1"/>
  <c r="AE641" i="1"/>
  <c r="AD641" i="1"/>
  <c r="AF641" i="1" s="1"/>
  <c r="AE648" i="1"/>
  <c r="AD643" i="1"/>
  <c r="AF643" i="1" s="1"/>
  <c r="AD648" i="1"/>
  <c r="AF648" i="1" s="1"/>
  <c r="AD38" i="1"/>
  <c r="AF38" i="1" s="1"/>
  <c r="AD649" i="1"/>
  <c r="AF649" i="1" s="1"/>
  <c r="AD659" i="1"/>
  <c r="AF659" i="1" s="1"/>
  <c r="O8" i="1" l="1"/>
  <c r="R8" i="1" s="1"/>
</calcChain>
</file>

<file path=xl/sharedStrings.xml><?xml version="1.0" encoding="utf-8"?>
<sst xmlns="http://schemas.openxmlformats.org/spreadsheetml/2006/main" count="11546" uniqueCount="1019">
  <si>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</si>
  <si>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</si>
  <si>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</si>
  <si>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</si>
  <si>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</si>
  <si>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</si>
  <si>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</si>
  <si>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</si>
  <si>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</si>
  <si>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</si>
  <si>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</si>
  <si>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</si>
  <si>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</si>
  <si>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</si>
  <si>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</si>
  <si>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</si>
  <si>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</si>
  <si>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</si>
  <si>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</si>
  <si>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</si>
  <si>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</si>
  <si>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</si>
  <si>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</si>
  <si>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</si>
  <si>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</si>
  <si>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</si>
  <si>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</si>
  <si>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</si>
  <si>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</si>
  <si>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</si>
  <si>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</si>
  <si>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</si>
  <si>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</si>
  <si>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</si>
  <si>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</si>
  <si>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</si>
  <si>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</si>
  <si>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</si>
  <si>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</si>
  <si>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</si>
  <si>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</si>
  <si>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</si>
  <si>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</si>
  <si>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</si>
  <si>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</si>
  <si>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</si>
  <si>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</si>
  <si>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</si>
  <si>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</si>
  <si>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</si>
  <si>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</si>
  <si>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</si>
  <si>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</si>
  <si>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</si>
  <si>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</si>
  <si>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</si>
  <si>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</si>
  <si>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</si>
  <si>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</si>
  <si>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</si>
  <si>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</si>
  <si>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</si>
  <si>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</si>
  <si>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</si>
  <si>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</si>
  <si>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</si>
  <si>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</si>
  <si>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</si>
  <si>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</si>
  <si>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</si>
  <si>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</si>
  <si>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</si>
  <si>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</si>
  <si>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</si>
  <si>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</si>
  <si>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</si>
  <si>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</si>
  <si>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</si>
  <si>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</si>
  <si>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</si>
  <si>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</si>
  <si>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</si>
  <si>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</si>
  <si>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</si>
  <si>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</si>
  <si>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</si>
  <si>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</si>
  <si>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</si>
  <si>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</si>
  <si>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</si>
  <si>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</si>
  <si>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</si>
  <si>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</si>
  <si>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</si>
  <si>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</si>
  <si>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</si>
  <si>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</si>
  <si>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</si>
  <si>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</si>
  <si>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</si>
  <si>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</si>
  <si>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</si>
  <si>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</si>
  <si>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</si>
  <si>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</si>
  <si>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</si>
  <si>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</si>
  <si>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</si>
  <si>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</si>
  <si>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</si>
  <si>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</si>
  <si>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</si>
  <si>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</si>
  <si>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</si>
  <si>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</si>
  <si>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</si>
  <si>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</si>
  <si>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</si>
  <si>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</si>
  <si>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</si>
  <si>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</si>
  <si>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</si>
  <si>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</si>
  <si>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</si>
  <si>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</si>
  <si>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</si>
  <si>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</si>
  <si>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</si>
  <si>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</si>
  <si>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</si>
  <si>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</si>
  <si>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</si>
  <si>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</si>
  <si>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</si>
  <si>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</si>
  <si>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</si>
  <si>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</si>
  <si>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</si>
  <si>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</si>
  <si>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</si>
  <si>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</si>
  <si>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</si>
  <si>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</si>
  <si>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</si>
  <si>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</si>
  <si>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</si>
  <si>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</si>
  <si>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</si>
  <si>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</si>
  <si>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</si>
  <si>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</si>
  <si>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</si>
  <si>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</si>
  <si>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</si>
  <si>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</si>
  <si>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</si>
  <si>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</si>
  <si>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</si>
  <si>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</si>
  <si>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</si>
  <si>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</si>
  <si>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</si>
  <si>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</si>
  <si>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</si>
  <si>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</si>
  <si>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</si>
  <si>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</si>
  <si>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</si>
  <si>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</si>
  <si>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</si>
  <si>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</si>
  <si>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</si>
  <si>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</si>
  <si>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</si>
  <si>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</si>
  <si>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</si>
  <si>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</si>
  <si>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</si>
  <si>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</si>
  <si>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</si>
  <si>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</si>
  <si>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</si>
  <si>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</si>
  <si>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</si>
  <si>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</si>
  <si>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</si>
  <si>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</si>
  <si>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</si>
  <si>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</si>
  <si>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</si>
  <si>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</si>
  <si>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</si>
  <si>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</si>
  <si>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</si>
  <si>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</si>
  <si>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</si>
  <si>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</si>
  <si>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</si>
  <si>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</si>
  <si>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</si>
  <si>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</si>
  <si>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</si>
  <si>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</si>
  <si>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</si>
  <si>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</si>
  <si>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</si>
  <si>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</si>
  <si>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</si>
  <si>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</si>
  <si>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</si>
  <si>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</si>
  <si>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</si>
  <si>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</si>
  <si>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</si>
  <si>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</si>
  <si>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</si>
  <si>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</si>
  <si>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</si>
  <si>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</si>
  <si>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</si>
  <si>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</si>
  <si>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</si>
  <si>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</si>
  <si>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</si>
  <si>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</si>
  <si>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</si>
  <si>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</si>
  <si>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</si>
  <si>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</si>
  <si>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</si>
  <si>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</si>
  <si>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</si>
  <si>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</si>
  <si>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</si>
  <si>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</si>
  <si>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</si>
  <si>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</si>
  <si>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</si>
  <si>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</si>
  <si>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</si>
  <si>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</si>
  <si>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</si>
  <si>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</si>
  <si>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</si>
  <si>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</si>
  <si>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</si>
  <si>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</si>
  <si>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</si>
  <si>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</si>
  <si>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</si>
  <si>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</si>
  <si>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</si>
  <si>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</si>
  <si>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</si>
  <si>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</si>
  <si>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</si>
  <si>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</si>
  <si>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</si>
  <si>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</si>
  <si>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</si>
  <si>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</si>
  <si>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</si>
  <si>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</si>
  <si>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</si>
  <si>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</si>
  <si>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</si>
  <si>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</si>
  <si>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</si>
  <si>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</si>
  <si>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</si>
  <si>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</si>
  <si>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</si>
  <si>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</si>
  <si>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</si>
  <si>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</si>
  <si>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</si>
  <si>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</si>
  <si>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</si>
  <si>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</si>
  <si>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</si>
  <si>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</si>
  <si>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</si>
  <si>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</si>
  <si>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</si>
  <si>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</si>
  <si>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</si>
  <si>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</si>
  <si>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</si>
  <si>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</si>
  <si>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</si>
  <si>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</si>
  <si>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</si>
  <si>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</si>
  <si>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</si>
  <si>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</si>
  <si>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</si>
  <si>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</si>
  <si>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</si>
  <si>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</si>
  <si>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</si>
  <si>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</si>
  <si>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</si>
  <si>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</si>
  <si>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</si>
  <si>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</si>
  <si>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</si>
  <si>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</si>
  <si>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</si>
  <si>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</si>
  <si>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</si>
  <si>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</si>
  <si>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</si>
  <si>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</si>
  <si>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</si>
  <si>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</si>
  <si>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</si>
  <si>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</si>
  <si>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</si>
  <si>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</si>
  <si>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</si>
  <si>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</si>
  <si>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</si>
  <si>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</si>
  <si>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</si>
  <si>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</si>
  <si>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</si>
  <si>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</si>
  <si>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</si>
  <si>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</si>
  <si>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</si>
  <si>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</si>
  <si>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</si>
  <si>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</si>
  <si>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</si>
  <si>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</si>
  <si>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</si>
  <si>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</si>
  <si>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</si>
  <si>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</si>
  <si>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</si>
  <si>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</si>
  <si>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</si>
  <si>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</si>
  <si>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</si>
  <si>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</si>
  <si>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</si>
  <si>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</si>
  <si>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</si>
  <si>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</si>
  <si>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</si>
  <si>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</si>
  <si>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</si>
  <si>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</si>
  <si>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</si>
  <si>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</si>
  <si>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</si>
  <si>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</si>
  <si>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</si>
  <si>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</si>
  <si>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</si>
  <si>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</si>
  <si>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</si>
  <si>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</si>
  <si>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</si>
  <si>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</si>
  <si>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</si>
  <si>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</si>
  <si>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</si>
  <si>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</si>
  <si>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</si>
  <si>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</si>
  <si>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</si>
  <si>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</si>
  <si>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</si>
  <si>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</si>
  <si>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</si>
  <si>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</si>
  <si>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</si>
  <si>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</si>
  <si>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</si>
  <si>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</si>
  <si>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</si>
  <si>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</si>
  <si>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</si>
  <si>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</si>
  <si>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</si>
  <si>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</si>
  <si>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</si>
  <si>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</si>
  <si>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</si>
  <si>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</si>
  <si>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</si>
  <si>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</si>
  <si>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</si>
  <si>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</si>
  <si>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</si>
  <si>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</si>
  <si>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</si>
  <si>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</si>
  <si>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</si>
  <si>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</si>
  <si>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</si>
  <si>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</si>
  <si>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</si>
  <si>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</si>
  <si>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</si>
  <si>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</si>
  <si>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</si>
  <si>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</si>
  <si>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</si>
  <si>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</si>
  <si>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</si>
  <si>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</si>
  <si>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</si>
  <si>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</si>
  <si>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</si>
  <si>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</si>
  <si>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</si>
  <si>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</si>
  <si>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</si>
  <si>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</si>
  <si>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</si>
  <si>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</si>
  <si>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</si>
  <si>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</si>
  <si>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</si>
  <si>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</si>
  <si>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</si>
  <si>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</si>
  <si>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</si>
  <si>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Adquisición, actualización y configuración de la plataforma de comunicaciones de Voz IP compatible con la solución actual con la que cuenta la entidad.</t>
  </si>
  <si>
    <t>Adquisición de un certificado digital servidor seguro SSL para múltiples subdominios y aplicaciones para los sistemas misionales de la UAE cuerpo oficial de bomberos de Bogotá</t>
  </si>
  <si>
    <t>Contratar la renovación del licenciamiento y soporte de las plataformas de seguridad perimetral Fortinet, firewalls y WAF del edificio comando y estaciones para la U.A.E. Cuerpo Oficial de Bomberos de Bogotá - TIC</t>
  </si>
  <si>
    <t>Contratar el alquiler de equipos tecnológicos, periféricos y servicios complementarios para la U.A.E. Cuerpo Oficial de Bomberos de Bogotá. - TIC</t>
  </si>
  <si>
    <t>Contratar el servicio de actualización y soporte de licenciamiento ArcGIS para la U.A.E. Cuerpo Oficial de Bomberos de Bogotá.- TIC</t>
  </si>
  <si>
    <t xml:space="preserve">Contratar la adquisición de tarjetas de comunicación satelital de voz, para la U.A.E. Cuerpo Oficial de Bomberos de Bogotá. </t>
  </si>
  <si>
    <t>Contratar la renovación de garantía y soporte de fabrica de los equipos activos que hacen parte de la infraestructura tecnológica de la U.A.E. Cuerpo Oficial de Bomberos de Bogotá.</t>
  </si>
  <si>
    <t>Actualización y renovación para ASMS( Aranda service manangment suite), soporte y mantenimiento del licenciamiento Software Aranda para la U.A.E. Cuerpo Oficial de Bomberos Bogota - TIC</t>
  </si>
  <si>
    <t>Contratar el servicio de mantenimiento, soporte técnico y actualización del aplicativo PCT, utilizado por la UAE Cuerpo Oficial de Bomberos de Bogota - TIC</t>
  </si>
  <si>
    <t>Contratar la renovación , servicio de actualización y soporte de licenciamiento Oracle para Base de Datos,  y Web Logic para la U.A.E. Cuerpo Oficial de Bomberos de Bogotá - TIC</t>
  </si>
  <si>
    <t>Modernización y mantenimiento de la solución de control de acceso con reconocimiento facial para la U.A.E. Cuerpo Oficial Bomberos de Bogotá</t>
  </si>
  <si>
    <t>Contratar el servicios de mantenimiento para el sistema de atención de turnos de la U.A.E. Cuerpo Ofical de Bomberos de Bogotá - TIC</t>
  </si>
  <si>
    <t xml:space="preserve">Modernizacion y soporte sala de auditorio sede Principal </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</si>
  <si>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</si>
  <si>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Contratar la renovación tecnologica y fortalecimiento para la infraestructura de seguridad perimetral del edificio comando y estaciones para la U.A.E. Cuerpo Oficial de Bomberos de Bogotá - TIC</t>
  </si>
  <si>
    <t>Contratar la adquisición, renovación y  suscripciones de licencia Microsoft y modulos de seguridad y vulnerabilidad para la U.A.E. Cuerpo Oficial de Bomberos de Bogotá - TIC</t>
  </si>
  <si>
    <t xml:space="preserve">83121700; 83111600; 43221700; 25173100;  81112000; 32101600 </t>
  </si>
  <si>
    <t>43191500
43221500
43222800
81161700
72151600</t>
  </si>
  <si>
    <t>43233200;43222500</t>
  </si>
  <si>
    <t>72151607;72103302</t>
  </si>
  <si>
    <t>72151500; 72101500; 731521000; 39121600; 39121000; 72151500; 72101500; 73152100.</t>
  </si>
  <si>
    <t>83121700;83111600;43221700</t>
  </si>
  <si>
    <t xml:space="preserve">81112222
81111811
43231501
43231513 </t>
  </si>
  <si>
    <t>81112200;81112201</t>
  </si>
  <si>
    <t>81112204;81112501</t>
  </si>
  <si>
    <t xml:space="preserve">46171619, 81111805 ,81112208 </t>
  </si>
  <si>
    <t>32131023;39121011;43232300</t>
  </si>
  <si>
    <t>43222600
45111700
45111800
52161500</t>
  </si>
  <si>
    <t>43232309; 43233416
43232915; 43233203
43233204; 43233405
43233403; 43233415; 81112201; 81112203; 43233205; 43231500; 43231501; 81111802; 81111808; 81111812; 43233400; 43232907</t>
  </si>
  <si>
    <t>43231512;81112501</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</si>
  <si>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</si>
  <si>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</si>
  <si>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</si>
  <si>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</si>
  <si>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</si>
  <si>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</si>
  <si>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</si>
  <si>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</si>
  <si>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</si>
  <si>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</si>
  <si>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</si>
  <si>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</si>
  <si>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</si>
  <si>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</si>
  <si>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</si>
  <si>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</si>
  <si>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</si>
  <si>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</si>
  <si>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</si>
  <si>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</si>
  <si>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</si>
  <si>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</si>
  <si>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</si>
  <si>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</si>
  <si>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</si>
  <si>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</si>
  <si>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</si>
  <si>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</si>
  <si>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 Prestar los servicios  de capacitación y entrenamiento para el fortalecimiento de las capacidades de los instructores, que hacen parte de la academia de la UAE Cuerpo Oficial de Bomberos de Bogotá</t>
  </si>
  <si>
    <t>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</si>
  <si>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</si>
  <si>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</si>
  <si>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</si>
  <si>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80131502, 80131505</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</si>
  <si>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</si>
  <si>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</si>
  <si>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</si>
  <si>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</si>
  <si>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</si>
  <si>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</si>
  <si>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</si>
  <si>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</si>
  <si>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</si>
  <si>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</si>
  <si>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</si>
  <si>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</si>
  <si>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</si>
  <si>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</si>
  <si>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</si>
  <si>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Adquisición de equipos de protección personal (E.P.P.)  para el personal uniformado de la UAE Cuerpo Oficial de Bomberos de Bogota, S.O.</t>
  </si>
  <si>
    <t>Adquisición de equipos, herramientas y accesorios (E.H.A.)  para la atención de emergencias de la UAE Cuerpo Oficial de Bomberos de Bogota, S.O.</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</si>
  <si>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</si>
  <si>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</si>
  <si>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</si>
  <si>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</si>
  <si>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</si>
  <si>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</si>
  <si>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</si>
  <si>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</si>
  <si>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</si>
  <si>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</si>
  <si>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</si>
  <si>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</si>
  <si>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</si>
  <si>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</si>
  <si>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</si>
  <si>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</si>
  <si>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</si>
  <si>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</si>
  <si>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</si>
  <si>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</si>
  <si>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</si>
  <si>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</si>
  <si>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</si>
  <si>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</si>
  <si>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</si>
  <si>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</si>
  <si>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</si>
  <si>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</si>
  <si>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</si>
  <si>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</si>
  <si>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60121200;60121000;60121500;
60121600</t>
  </si>
  <si>
    <t>42301500;46191500;46201000</t>
  </si>
  <si>
    <t>Adquisición de insumos y materias primas para la producción de materiales impresos en artes gráficas_ SGR.</t>
  </si>
  <si>
    <t>53103100;53102500</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</si>
  <si>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</si>
  <si>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</si>
  <si>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</si>
  <si>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</si>
  <si>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</si>
  <si>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</si>
  <si>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</si>
  <si>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</si>
  <si>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</si>
  <si>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</si>
  <si>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</si>
  <si>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</si>
  <si>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</si>
  <si>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</si>
  <si>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</si>
  <si>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</si>
  <si>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</si>
  <si>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</si>
  <si>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</si>
  <si>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</si>
  <si>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</si>
  <si>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</si>
  <si>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</si>
  <si>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</si>
  <si>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</si>
  <si>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</si>
  <si>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</si>
  <si>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</si>
  <si>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</si>
  <si>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</si>
  <si>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</si>
  <si>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</si>
  <si>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</si>
  <si>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</si>
  <si>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</si>
  <si>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</si>
  <si>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</si>
  <si>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</si>
  <si>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</si>
  <si>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</si>
  <si>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</si>
  <si>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</si>
  <si>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</si>
  <si>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</si>
  <si>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</si>
  <si>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</si>
  <si>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</si>
  <si>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</si>
  <si>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</si>
  <si>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</si>
  <si>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</si>
  <si>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</si>
  <si>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</si>
  <si>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</si>
  <si>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</si>
  <si>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</si>
  <si>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</si>
  <si>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</si>
  <si>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</si>
  <si>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</si>
  <si>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</si>
  <si>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</si>
  <si>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</si>
  <si>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</si>
  <si>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</si>
  <si>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</si>
  <si>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</si>
  <si>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</si>
  <si>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</si>
  <si>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</si>
  <si>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los servicios de canales de datos dedicados para la UAE Cuerpo Oficial de Bomberos de Bogotá-TIC</t>
  </si>
  <si>
    <t>Contratar la modernización integral  tecnológica, soporte y mantenimiento preventivo y correctivo con repuestos, para los sistemas de video vigilancia de la U.A.E. Cuerpo Oficial de Bomberos de Bogotá - 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</si>
  <si>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</si>
  <si>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</si>
  <si>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</si>
  <si>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</si>
  <si>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</si>
  <si>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</si>
  <si>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</si>
  <si>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</si>
  <si>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</si>
  <si>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</si>
  <si>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</si>
  <si>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</si>
  <si>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</si>
  <si>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</si>
  <si>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</si>
  <si>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</si>
  <si>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</si>
  <si>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</si>
  <si>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</si>
  <si>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</si>
  <si>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</si>
  <si>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</si>
  <si>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</si>
  <si>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</si>
  <si>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</si>
  <si>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</si>
  <si>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</si>
  <si>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</si>
  <si>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</si>
  <si>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</si>
  <si>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</si>
  <si>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</si>
  <si>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</si>
  <si>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</si>
  <si>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</si>
  <si>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</si>
  <si>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</si>
  <si>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</si>
  <si>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</si>
  <si>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</si>
  <si>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</si>
  <si>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</si>
  <si>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</si>
  <si>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</si>
  <si>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</si>
  <si>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</si>
  <si>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</si>
  <si>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</si>
  <si>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</si>
  <si>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</si>
  <si>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</si>
  <si>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</si>
  <si>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</si>
  <si>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</si>
  <si>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</si>
  <si>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</si>
  <si>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</si>
  <si>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</si>
  <si>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</si>
  <si>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</si>
  <si>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</si>
  <si>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</si>
  <si>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</si>
  <si>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</si>
  <si>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</si>
  <si>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</si>
  <si>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</si>
  <si>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</si>
  <si>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</si>
  <si>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</si>
  <si>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</si>
  <si>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</si>
  <si>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</si>
  <si>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</si>
  <si>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</si>
  <si>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</si>
  <si>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</si>
  <si>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</si>
  <si>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</si>
  <si>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</si>
  <si>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</si>
  <si>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</si>
  <si>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</si>
  <si>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</si>
  <si>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</si>
  <si>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</si>
  <si>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</si>
  <si>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</si>
  <si>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</si>
  <si>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</si>
  <si>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</si>
  <si>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</si>
  <si>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</si>
  <si>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</si>
  <si>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</si>
  <si>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</si>
  <si>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</si>
  <si>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</si>
  <si>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</si>
  <si>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</si>
  <si>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</si>
  <si>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</si>
  <si>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</si>
  <si>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</si>
  <si>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</si>
  <si>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</si>
  <si>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</si>
  <si>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</si>
  <si>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</si>
  <si>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</si>
  <si>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</si>
  <si>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</si>
  <si>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</si>
  <si>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</si>
  <si>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</si>
  <si>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</si>
  <si>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</si>
  <si>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</si>
  <si>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</si>
  <si>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</si>
  <si>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</si>
  <si>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</si>
  <si>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</si>
  <si>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</si>
  <si>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</si>
  <si>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</si>
  <si>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</si>
  <si>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</si>
  <si>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</si>
  <si>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</si>
  <si>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</si>
  <si>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</si>
  <si>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Mantenimiento preventivo y correctivo de la red contraincendios  y sistemas de detención de alarmas contra incendios de las estaciones de bomberos de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</si>
  <si>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</si>
  <si>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</si>
  <si>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</si>
  <si>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</si>
  <si>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</si>
  <si>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</si>
  <si>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Interventoría técnica, administrativa, financiera, contable, jurídica y ambiental para la construcción de la estación de bomberos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</si>
  <si>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</si>
  <si>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</si>
  <si>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</si>
  <si>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</si>
  <si>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</si>
  <si>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</si>
  <si>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las impresoras de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</si>
  <si>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</si>
  <si>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</si>
  <si>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</si>
  <si>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</si>
  <si>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Adición y prórroga No. 1 al contrato 586 de 2025 que tiene como objeto “Mantenimiento correctivo y preventivo con suministro de repuestos para los ascensores edificio comando-SGC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</si>
  <si>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</si>
  <si>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</si>
  <si>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</si>
  <si>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Prestación del servicio para inspección y certificación correspondientes a los sistemas de transporte vertical (ascensores) a cargo de la Unidad Administrativa Especial Cuerpo Oficial de Bomberos Bogotá D.C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</si>
  <si>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</si>
  <si>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</si>
  <si>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</si>
  <si>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</si>
  <si>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</si>
  <si>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</si>
  <si>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</si>
  <si>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</si>
  <si>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72151001;
72101503;
72101504;
 72101506; 
72153208;
 72154019;</t>
  </si>
  <si>
    <t>56101500; 
56101700; 
56101900; 
56111500; 
48101800;
48101915;
24112601;
49121509;</t>
  </si>
  <si>
    <t>73152108;</t>
  </si>
  <si>
    <t>72151800;
72151500;
73152100;</t>
  </si>
  <si>
    <t>72154100;
 73152100;</t>
  </si>
  <si>
    <t>72101500; 
92101600; 
95121700;</t>
  </si>
  <si>
    <t>72102900; 
72121400; 
72151700;
72154000;</t>
  </si>
  <si>
    <t>80101600; 
81101500; 
72101500; 
72121400</t>
  </si>
  <si>
    <t>47111500; 
47111700;</t>
  </si>
  <si>
    <t>47111500;
73151800;
73152100;</t>
  </si>
  <si>
    <t>72121400;
72151700;
72154109;
95121700;</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</si>
  <si>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</si>
  <si>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</si>
  <si>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</si>
  <si>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</si>
  <si>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</si>
  <si>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14111500; 
24112400; 
44111500; 
44121800; 
31201500; 
27112300; 
44121700; 
44121600</t>
  </si>
  <si>
    <t>80131502;</t>
  </si>
  <si>
    <t>72101506;
72154010;</t>
  </si>
  <si>
    <t>81141503;
81141804;</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</si>
  <si>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</si>
  <si>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</si>
  <si>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</si>
  <si>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</si>
  <si>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</si>
  <si>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</si>
  <si>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</si>
  <si>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</si>
  <si>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</si>
  <si>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</si>
  <si>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</si>
  <si>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</si>
  <si>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</si>
  <si>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</si>
  <si>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</si>
  <si>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</si>
  <si>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</si>
  <si>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</si>
  <si>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en comunicaciones y prensa, para apoyar la difusión de la información al público interno y externo de la UAECOB.</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</si>
  <si>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</si>
  <si>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</si>
  <si>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</si>
  <si>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</si>
  <si>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</si>
  <si>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</si>
  <si>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</si>
  <si>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</si>
  <si>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</si>
  <si>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</si>
  <si>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</si>
  <si>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</si>
  <si>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</si>
  <si>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</si>
  <si>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</si>
  <si>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</si>
  <si>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</si>
  <si>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</si>
  <si>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</si>
  <si>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</si>
  <si>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</si>
  <si>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</si>
  <si>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</si>
  <si>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</si>
  <si>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</si>
  <si>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</si>
  <si>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</si>
  <si>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</si>
  <si>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</si>
  <si>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</si>
  <si>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</si>
  <si>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</si>
  <si>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</si>
  <si>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</si>
  <si>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</si>
  <si>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</si>
  <si>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</si>
  <si>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</si>
  <si>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</si>
  <si>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</si>
  <si>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</si>
  <si>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</si>
  <si>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</si>
  <si>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</si>
  <si>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</si>
  <si>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</si>
  <si>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</si>
  <si>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</si>
  <si>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</si>
  <si>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</si>
  <si>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</si>
  <si>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</si>
  <si>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</si>
  <si>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</si>
  <si>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</si>
  <si>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</si>
  <si>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</si>
  <si>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</si>
  <si>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</si>
  <si>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</si>
  <si>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</si>
  <si>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</si>
  <si>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</si>
  <si>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</si>
  <si>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</si>
  <si>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</si>
  <si>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</si>
  <si>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</si>
  <si>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</si>
  <si>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</si>
  <si>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</si>
  <si>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</si>
  <si>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</si>
  <si>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</si>
  <si>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</si>
  <si>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t>
  </si>
  <si>
    <t>Prestación de servicios profesionales liderando la elaboración de informes estadísticos a partir de los datos asociados a los incidentes atendidos en el marco de la misionalidad de la UAECOB, para el acompañamiento de los programas de la Subdirección Operativa.</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</si>
  <si>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</si>
  <si>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</si>
  <si>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jurídicos para  realizar el seguimiento y control de las actividades de gestión propias de los procesos y procedimientos, para el acompañamiento de los programas de la Subdirección Operativa-S.O.</t>
  </si>
  <si>
    <t>Prestación de servicios profesionales jurídicos para  realizar el seguimiento y control de las actividades de gestión propias de los procesos y procedimientos, para el acompañamiento de los programas de la subdirección operativa y de las respuestas a Entes de control-S.O.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</si>
  <si>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</si>
  <si>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</si>
  <si>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</si>
  <si>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</si>
  <si>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</si>
  <si>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</si>
  <si>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</si>
  <si>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Prestación de servicios profesionales en la Dirección para el acompañamiento en las labores de gestión administrativa, en asuntos propios de comunicaciones y prensa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</si>
  <si>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</si>
  <si>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</si>
  <si>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</si>
  <si>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</si>
  <si>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</si>
  <si>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</si>
  <si>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</si>
  <si>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</si>
  <si>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</si>
  <si>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</si>
  <si>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</si>
  <si>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</si>
  <si>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</si>
  <si>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</si>
  <si>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</si>
  <si>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</si>
  <si>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</si>
  <si>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</si>
  <si>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</si>
  <si>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</si>
  <si>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</si>
  <si>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Prestación de servicios profesionales para apoyar en el análisis de información, reportes, y seguimientos relacionados con la atención de emergencias de la entidad y de los programas a cargo de la Subdirección Operativa-S.O.</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</si>
  <si>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</si>
  <si>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</si>
  <si>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</si>
  <si>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</si>
  <si>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</si>
  <si>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</si>
  <si>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</si>
  <si>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</si>
  <si>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</si>
  <si>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</si>
  <si>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</si>
  <si>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</si>
  <si>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</si>
  <si>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</si>
  <si>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</si>
  <si>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</si>
  <si>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</si>
  <si>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</si>
  <si>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</si>
  <si>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</si>
  <si>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</si>
  <si>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</si>
  <si>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</si>
  <si>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</si>
  <si>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</si>
  <si>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</si>
  <si>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</si>
  <si>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</si>
  <si>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Adición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</si>
  <si>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 xml:space="preserve"> 04 - contratación mínima cuantía </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</si>
  <si>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</si>
  <si>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</si>
  <si>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</si>
  <si>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</si>
  <si>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Adecuación de la estación Nueva Estación de la UAE Cuerpo Oficial de Bomberos de Bogotá – SGC</t>
  </si>
  <si>
    <t>Interventoría técnica, administrativa, financiera, contable, jurídica y ambiental para la Adecuación de la Nueva Estación de bomberos de la UAE Cuerpo Oficial de Bomberos de Bogotá – SGC</t>
  </si>
  <si>
    <t>Adecuación de la estación de Bomberos Chapinero B1- de la UAE Cuerpo Oficial de Bomberos de Bogotá – SGC</t>
  </si>
  <si>
    <t>Interventoría técnica, administrativa, financiera, contable, jurídica y ambiental para la Adecuación de la estación de Bomberos Chapinero B1- de la UAE Cuerpo Oficial de Bomberos de Bogotá – 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</si>
  <si>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</si>
  <si>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</si>
  <si>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</si>
  <si>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</si>
  <si>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</si>
  <si>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</si>
  <si>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</si>
  <si>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</si>
  <si>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</si>
  <si>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</si>
  <si>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</si>
  <si>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</si>
  <si>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 xml:space="preserve">JUNIO </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</si>
  <si>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</si>
  <si>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</si>
  <si>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</si>
  <si>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</si>
  <si>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Adquisición de vehiculos operativos para la atención de emergencias para la UAE Cuerpo Oficial de Bomberos de Bogotá, 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</si>
  <si>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</si>
  <si>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</si>
  <si>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</si>
  <si>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</si>
  <si>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</si>
  <si>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</si>
  <si>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</si>
  <si>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</si>
  <si>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</si>
  <si>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</si>
  <si>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</si>
  <si>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</si>
  <si>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</si>
  <si>
    <t>Congelamiento recursos 5% proyecto 8126</t>
  </si>
  <si>
    <t>Congelamiento recursos 5% proyecto 8173</t>
  </si>
  <si>
    <t>Prestar servicio de apoyo a la gestión administrativa y operativa de los mantenimientos requeridos a los equipos menores y/o parque automotor de la Subdirección Logística - SBLG</t>
  </si>
  <si>
    <t>Adquisición de materiales y elementos especializados para el desarrollo de actividades de reduccion del riesgo adelantados por la Subdirección de Gestión del Riesgo_SGR</t>
  </si>
  <si>
    <t>NO APLICA</t>
  </si>
  <si>
    <t>Adición No. 1 al contrato 629 de 2025 que tiene como objeto “Prestar el servicio de vigilancia y seguridad privada en la modalidad de vigilancia fija, según especificaciones técnicas, en las instalaciones donde la UAE Especial Cuerpo Oficial de Bomberos requiera-SGC</t>
  </si>
  <si>
    <t xml:space="preserve">SGH - Prestar servicios profesionales en la Subdirección de Gestión Humana, enfocados en el análisis de datos , estadística, gestión financiera  y apoyo a temas de proyección presupuestal en el marco de la estrategia de fortalecimiento institucional. </t>
  </si>
  <si>
    <t>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t>
  </si>
  <si>
    <t>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t>
  </si>
  <si>
    <t>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</si>
  <si>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Versión No. 6 - PLAN DISTRITAL DE DESARROLLO "BOGOTÁ CAMINA SEGURA"</t>
  </si>
  <si>
    <t>Prestar el servicio y mantenimiento de equipos de higienización, desodorización y aromatización para la Unidad Administrativa Especial Cuerpo Oficial de Bomberos Bogotá-SGC</t>
  </si>
  <si>
    <t>Suministrar combustible para el parque automotor y los equipos especializados de la U.A.E. Cuerpo Oficial de Bomberos Bogotá, dentro y fuera del perímetro del Distrito Capital – SBLG.</t>
  </si>
  <si>
    <t>Adición al contrato 622-2025 cuyo objeto es: ¨Prestación del servicio de mantenimiento preventivo y correctivo de los equipos de respiración autónoma interspiro propiedad de la UAECOB, incluido el suministro de repuestos, insumos mano de obra especializada –
SBLG</t>
  </si>
  <si>
    <t>Fecha de elaboracion: 18/02/2026</t>
  </si>
  <si>
    <t>80141900
90111500
90111600
80141600
80161502</t>
  </si>
  <si>
    <t>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</si>
  <si>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No a</t>
  </si>
  <si>
    <t>Adición y prórroga No. 1 al contrato que tiene como objeto " Contratar la prestación del servicio de aseo y cafetería incluido insumos para la UAE Cuerpo Oficial de Bomberos -SGC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</si>
</sst>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5"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s>
  <fills count="8">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5" tint="0.399975585192419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33">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164" fontId="0" fillId="0" borderId="0" xfId="2" applyNumberFormat="1" applyFont="1"/>
    <xf numFmtId="164" fontId="0" fillId="0" borderId="0" xfId="0" pivotButton="1" applyNumberForma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164" fontId="2" fillId="0" borderId="7" xfId="2" applyNumberFormat="1" applyFont="1" applyFill="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7" applyFont="1" applyFill="1" applyBorder="1" applyAlignment="1" applyProtection="1">
      <alignment horizontal="center" vertical="center" wrapText="1"/>
      <protection locked="0"/>
    </xf>
    <xf numFmtId="1" fontId="11" fillId="0" borderId="1" xfId="2" applyNumberFormat="1" applyFont="1" applyFill="1" applyBorder="1" applyAlignment="1" applyProtection="1">
      <alignment horizontal="center" vertical="center" wrapText="1"/>
      <protection locked="0"/>
    </xf>
    <xf numFmtId="43" fontId="0" fillId="0" borderId="0" xfId="2" applyFont="1"/>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0" fontId="11" fillId="0" borderId="1" xfId="5"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12" fillId="0" borderId="3"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1" fillId="0" borderId="6"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0" fontId="2" fillId="6" borderId="1" xfId="2" applyNumberFormat="1" applyFont="1" applyFill="1" applyBorder="1" applyAlignment="1" applyProtection="1">
      <alignment horizontal="center" vertical="center" wrapText="1"/>
      <protection locked="0"/>
    </xf>
    <xf numFmtId="0" fontId="11" fillId="6" borderId="1" xfId="2" applyNumberFormat="1"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1" fontId="2" fillId="6" borderId="1" xfId="0" applyNumberFormat="1" applyFont="1" applyFill="1" applyBorder="1" applyAlignment="1" applyProtection="1">
      <alignment horizontal="center" vertical="center" wrapText="1"/>
      <protection locked="0"/>
    </xf>
    <xf numFmtId="164" fontId="2" fillId="6" borderId="1" xfId="2" applyNumberFormat="1" applyFont="1" applyFill="1" applyBorder="1" applyAlignment="1" applyProtection="1">
      <alignment horizontal="center" vertical="center" wrapText="1"/>
      <protection locked="0"/>
    </xf>
    <xf numFmtId="166" fontId="2" fillId="6" borderId="1" xfId="2" applyNumberFormat="1" applyFont="1" applyFill="1" applyBorder="1" applyAlignment="1" applyProtection="1">
      <alignment horizontal="center" vertical="center" wrapText="1"/>
      <protection locked="0"/>
    </xf>
    <xf numFmtId="0" fontId="2" fillId="6" borderId="1" xfId="5" applyFont="1" applyFill="1" applyBorder="1" applyAlignment="1" applyProtection="1">
      <alignment horizontal="center" vertical="center" wrapText="1"/>
      <protection locked="0"/>
    </xf>
    <xf numFmtId="0" fontId="11" fillId="6" borderId="1" xfId="7" applyFont="1" applyFill="1" applyBorder="1" applyAlignment="1" applyProtection="1">
      <alignment horizontal="center" vertical="center" wrapText="1"/>
      <protection locked="0"/>
    </xf>
    <xf numFmtId="1" fontId="2" fillId="6" borderId="1" xfId="4" applyNumberFormat="1" applyFont="1" applyFill="1" applyBorder="1" applyAlignment="1" applyProtection="1">
      <alignment horizontal="center" vertical="center" wrapText="1"/>
      <protection locked="0"/>
    </xf>
    <xf numFmtId="0" fontId="2" fillId="6" borderId="1" xfId="5" applyFont="1" applyFill="1" applyBorder="1" applyAlignment="1">
      <alignment horizontal="center" vertical="center" wrapText="1"/>
    </xf>
    <xf numFmtId="164" fontId="11" fillId="6" borderId="1" xfId="2" applyNumberFormat="1" applyFont="1" applyFill="1" applyBorder="1" applyAlignment="1" applyProtection="1">
      <alignment horizontal="center" vertical="center" wrapText="1"/>
      <protection locked="0"/>
    </xf>
    <xf numFmtId="0" fontId="2" fillId="6" borderId="1" xfId="0" applyFont="1" applyFill="1" applyBorder="1" applyAlignment="1">
      <alignment vertical="center" wrapText="1"/>
    </xf>
    <xf numFmtId="1" fontId="11" fillId="6" borderId="1" xfId="0" applyNumberFormat="1" applyFont="1" applyFill="1" applyBorder="1" applyAlignment="1" applyProtection="1">
      <alignment horizontal="center" vertical="center" wrapText="1"/>
      <protection locked="0"/>
    </xf>
    <xf numFmtId="166" fontId="11" fillId="6" borderId="1" xfId="2" applyNumberFormat="1" applyFont="1" applyFill="1" applyBorder="1" applyAlignment="1" applyProtection="1">
      <alignment horizontal="center" vertical="center" wrapText="1"/>
      <protection locked="0"/>
    </xf>
    <xf numFmtId="0" fontId="11" fillId="6" borderId="1" xfId="5" applyFont="1" applyFill="1" applyBorder="1" applyAlignment="1" applyProtection="1">
      <alignment horizontal="center" vertical="center" wrapText="1"/>
      <protection locked="0"/>
    </xf>
    <xf numFmtId="1" fontId="11" fillId="6" borderId="1" xfId="4" applyNumberFormat="1" applyFont="1" applyFill="1" applyBorder="1" applyAlignment="1" applyProtection="1">
      <alignment horizontal="center" vertical="center" wrapText="1"/>
      <protection locked="0"/>
    </xf>
    <xf numFmtId="0" fontId="11" fillId="6" borderId="1" xfId="5" applyFont="1" applyFill="1" applyBorder="1" applyAlignment="1">
      <alignment horizontal="center" vertical="center" wrapText="1"/>
    </xf>
    <xf numFmtId="0" fontId="11" fillId="6" borderId="1" xfId="0" applyFont="1" applyFill="1" applyBorder="1" applyAlignment="1">
      <alignment vertical="center" wrapText="1"/>
    </xf>
    <xf numFmtId="43" fontId="11" fillId="6" borderId="1" xfId="2" applyFont="1" applyFill="1" applyBorder="1" applyAlignment="1" applyProtection="1">
      <alignment horizontal="center" vertical="center" wrapText="1"/>
      <protection locked="0"/>
    </xf>
    <xf numFmtId="1" fontId="2" fillId="6" borderId="1" xfId="2" applyNumberFormat="1" applyFont="1" applyFill="1" applyBorder="1" applyAlignment="1" applyProtection="1">
      <alignment horizontal="center" vertical="center" wrapText="1"/>
      <protection locked="0"/>
    </xf>
    <xf numFmtId="1" fontId="11" fillId="6" borderId="1" xfId="2" applyNumberFormat="1" applyFont="1" applyFill="1" applyBorder="1" applyAlignment="1" applyProtection="1">
      <alignment horizontal="center" vertical="center" wrapText="1"/>
      <protection locked="0"/>
    </xf>
    <xf numFmtId="0" fontId="2" fillId="7" borderId="1" xfId="5" applyFont="1" applyFill="1" applyBorder="1" applyAlignment="1" applyProtection="1">
      <alignment horizontal="center" vertical="center" wrapText="1"/>
      <protection locked="0"/>
    </xf>
    <xf numFmtId="0" fontId="12" fillId="7" borderId="1" xfId="5" applyFont="1" applyFill="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11" fillId="6" borderId="1" xfId="0" applyFont="1" applyFill="1" applyBorder="1" applyAlignment="1" applyProtection="1">
      <alignment vertical="center" wrapText="1"/>
      <protection locked="0"/>
    </xf>
    <xf numFmtId="0" fontId="2" fillId="0" borderId="3" xfId="0" applyFont="1" applyBorder="1" applyAlignment="1">
      <alignment vertical="center" wrapText="1"/>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6"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11" fillId="0" borderId="7" xfId="2" applyNumberFormat="1" applyFont="1" applyFill="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 fontId="11" fillId="0" borderId="3" xfId="1" applyNumberFormat="1" applyFont="1" applyFill="1" applyBorder="1" applyAlignment="1" applyProtection="1">
      <alignment horizontal="center" vertical="center" wrapText="1"/>
      <protection locked="0"/>
    </xf>
    <xf numFmtId="0" fontId="12" fillId="6" borderId="1" xfId="5" applyFont="1" applyFill="1" applyBorder="1" applyAlignment="1" applyProtection="1">
      <alignment horizontal="center" vertical="center" wrapText="1"/>
      <protection locked="0"/>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92">
    <dxf>
      <fill>
        <patternFill patternType="solid">
          <fgColor rgb="FFF4B084"/>
          <bgColor rgb="FF000000"/>
        </patternFill>
      </fill>
    </dxf>
    <dxf>
      <fill>
        <patternFill patternType="solid">
          <fgColor rgb="FFF4B084"/>
          <bgColor rgb="FF000000"/>
        </patternFill>
      </fill>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ill>
        <patternFill patternType="solid">
          <fgColor rgb="FFF4B084"/>
          <bgColor rgb="FF000000"/>
        </patternFill>
      </fill>
    </dxf>
    <dxf>
      <numFmt numFmtId="164" formatCode="_-* #,##0_-;\-* #,##0_-;_-* &quot;-&quot;??_-;_-@_-"/>
    </dxf>
    <dxf>
      <numFmt numFmtId="164" formatCode="_-* #,##0_-;\-* #,##0_-;_-* &quot;-&quot;??_-;_-@_-"/>
    </dxf>
    <dxf>
      <numFmt numFmtId="164" formatCode="_-* #,##0_-;\-* #,##0_-;_-* &quot;-&quot;??_-;_-@_-"/>
    </dxf>
    <dxf>
      <numFmt numFmtId="164" formatCode="_-* #,##0_-;\-* #,##0_-;_-* &quot;-&quot;??_-;_-@_-"/>
    </dxf>
    <dxf>
      <fill>
        <patternFill patternType="solid">
          <fgColor rgb="FFF4B084"/>
          <bgColor rgb="FF000000"/>
        </patternFill>
      </fill>
    </dxf>
    <dxf>
      <font>
        <color rgb="FF9C0006"/>
      </font>
      <fill>
        <patternFill>
          <bgColor rgb="FFFFC7CE"/>
        </patternFill>
      </fill>
    </dxf>
    <dxf>
      <numFmt numFmtId="164" formatCode="_-* #,##0_-;\-* #,##0_-;_-* &quot;-&quot;??_-;_-@_-"/>
    </dxf>
    <dxf>
      <numFmt numFmtId="164" formatCode="_-* #,##0_-;\-* #,##0_-;_-* &quot;-&quot;??_-;_-@_-"/>
    </dxf>
    <dxf>
      <numFmt numFmtId="164" formatCode="_-* #,##0_-;\-* #,##0_-;_-* &quot;-&quot;??_-;_-@_-"/>
    </dxf>
    <dxf>
      <numFmt numFmtId="164" formatCode="_-* #,##0_-;\-* #,##0_-;_-* &quot;-&quot;??_-;_-@_-"/>
    </dxf>
    <dxf>
      <font>
        <strike val="0"/>
        <outline val="0"/>
        <shadow val="0"/>
        <u val="none"/>
        <vertAlign val="baseline"/>
        <sz val="11"/>
        <name val="Tahoma"/>
        <family val="2"/>
        <scheme val="none"/>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71.463499652775" createdVersion="8" refreshedVersion="8" minRefreshableVersion="3" recordCount="651" xr:uid="{07007472-D5EB-407B-B0BA-ADE03600D49B}">
  <cacheSource type="worksheet">
    <worksheetSource name="PAA"/>
  </cacheSource>
  <cacheFields count="34">
    <cacheField name="Id Interno" numFmtId="0">
      <sharedItems containsSemiMixedTypes="0" containsString="0" containsNumber="1" containsInteger="1" minValue="20260001" maxValue="20260658"/>
    </cacheField>
    <cacheField name="Objeto de la contratación" numFmtId="0">
      <sharedItems longText="1"/>
    </cacheField>
    <cacheField name="Modalidad de Selección" numFmtId="0">
      <sharedItems/>
    </cacheField>
    <cacheField name="tipo de Contrato (TH talento humano - B/S bienes y/o servicios)" numFmtId="0">
      <sharedItems/>
    </cacheField>
    <cacheField name="Tipo de Contratación" numFmtId="0">
      <sharedItems/>
    </cacheField>
    <cacheField name="Mes estimado de inicio de ejecución" numFmtId="0">
      <sharedItems/>
    </cacheField>
    <cacheField name="plazo ejec Meses" numFmtId="1">
      <sharedItems containsSemiMixedTypes="0" containsString="0" containsNumber="1" containsInteger="1" minValue="0" maxValue="18"/>
    </cacheField>
    <cacheField name="mas plazo ejec Días (si aplica)" numFmtId="1">
      <sharedItems containsSemiMixedTypes="0" containsString="0" containsNumber="1" containsInteger="1" minValue="0" maxValue="365"/>
    </cacheField>
    <cacheField name="Valor apropiacion vigencia actual" numFmtId="164">
      <sharedItems containsString="0" containsBlank="1" containsNumber="1" containsInteger="1" minValue="0" maxValue="6914369000"/>
    </cacheField>
    <cacheField name="¿vigencia futuras?" numFmtId="166">
      <sharedItems/>
    </cacheField>
    <cacheField name="Dependencia Solicitante" numFmtId="0">
      <sharedItems/>
    </cacheField>
    <cacheField name="Responsable del Proceso" numFmtId="0">
      <sharedItems/>
    </cacheField>
    <cacheField name="Proyecto y nombre Asociado" numFmtId="0">
      <sharedItems count="3">
        <s v="8126-Fortalecimiento institucional de la UAECOB para un gobierno confiable Bogotá D.C."/>
        <s v="131- Funcionamiento"/>
        <s v="8173-Modernización de las capacidades del Cuerpo Oficial de Bomberos Bogotá D.C."/>
      </sharedItems>
    </cacheField>
    <cacheField name="Gerente del Proyecto Asociado" numFmtId="0">
      <sharedItems/>
    </cacheField>
    <cacheField name="Fuente de Recursos" numFmtId="0">
      <sharedItems count="4">
        <s v="1-100-I087 VA-Sobretasa Bomberil"/>
        <s v="1-100-F001 VA-Recursos distrito"/>
        <s v="1-601-I037 PAS-Crédito"/>
        <s v="1-100-F039-VA-Crédito"/>
      </sharedItems>
    </cacheField>
    <cacheField name="Código UNSPSC (cada código separado por ;)" numFmtId="1">
      <sharedItems containsMixedTypes="1" containsNumber="1" containsInteger="1" minValue="14111500" maxValue="90121800"/>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7">
        <s v="O23011745992024020711007"/>
        <s v="NANANAN/AN/A"/>
        <s v="O23011745992024020713031"/>
        <s v="O23011745992024020713023"/>
        <s v="O23011745992024020708016"/>
        <s v="O23011745032024025507002"/>
        <s v="O23011745032024025509004"/>
        <s v="O23011745032024025512004"/>
        <s v="O23011745032024025504004"/>
        <s v="O23011745032024025510004"/>
        <s v="O23011745032024025505035"/>
        <s v="O23011745032024025506035"/>
        <s v="O23011745032024025516018"/>
        <s v="O23011745032024025514014"/>
        <s v="O23011745032024025514015"/>
        <s v="O23011745032024025508031_"/>
        <s v="O23011745992024020713019"/>
      </sharedItems>
    </cacheField>
    <cacheField name="codigo PEP" numFmtId="0">
      <sharedItems/>
    </cacheField>
    <cacheField name="POSPRE" numFmtId="164">
      <sharedItems count="33">
        <s v="O232020200991191 Servicios administrativos relacionados con los trabajadores estatales"/>
        <s v="O232020200883132 Servicios de soporte en tecnologías de la información (TI)"/>
        <s v="O232020200883159 Otros servicios de alojamiento y suministro de infraestructura en tecnología de la información (TI)"/>
        <s v="O21202020080383141 Servicios de diseño y desarrollo de aplicaciones en tecnologías de la información (TI)"/>
        <s v="O21202020080484290 Otros servicios de telecomunicaciones vía Internet"/>
        <s v="O21202020080787130 Servicios de mantenimiento y reparación de computa"/>
        <s v="No Aplica"/>
        <s v="O232020200772252 Servicios de arrendamiento de bienes inmuebles no residenciales (vivienda) a comisión o por contrato"/>
        <s v="O2320202010 Viáticos de los funcionarios en comisión"/>
        <s v="O2320202005040554590 Otros servicios especializados de la construcción"/>
        <s v="O23201010030202 Máquinas herramientas y sus partes, piezas y accesorios"/>
        <s v="O232020200992913 Servicios de educación para la formación y el trabajo"/>
        <s v="O2320201003023229906 Libros publicados en fascículos, folletos, hojas sueltas e impresos similares"/>
        <s v="O23202020088714102 Servicio de mantenimiento y reparación de vehículos automóviles"/>
        <s v="O2320201003063611101 Llantas de caucho para automóviles"/>
        <s v="O2320201003053543003 Aditivos para gasolina, aceites minerales y combustible en general"/>
        <s v="O23201010030208 Otra maquinaria para usos especiales y sus partes y piezas"/>
        <s v="O232020200883590 Otros servicios veterinarios"/>
        <s v="O2320201002092929012 Partes y accesorios para artículos de protección personal"/>
        <s v="O232020200663393 Otros servicios de comidas contratadas"/>
        <s v="O23202020088715602 Servicio de mantenimiento y reparación de equipos de fuerza hidráulica y de potencia neumática, bombas, compresores y válvulas"/>
        <s v="O2120201002082823609    Uniformes de trabajo"/>
        <s v="O232020200667230 Servicio de almacenamiento para mercancías voluminosas"/>
        <s v="O232020200888215 Servicios de confección de artículos con materiales textiles"/>
        <s v="O232020200991121 Servicios de la administración pública relacionados con la educación"/>
        <s v="O23202010033899920 Artículos varios de publicidad y propaganda"/>
        <s v="O232020200885250 Servicios de protección (guardas de seguridad)"/>
        <s v="O232020200885330 Servicios de limpieza general"/>
        <s v="O2320101004010102 Muebles del tipo utilizado en la oficina"/>
        <s v="O232020200887151 Servicios de mantenimiento y reparación de electrodomésticos"/>
        <s v="O23201010030401 Motores, generadores y transformadores eléctricos y sus partes y piezas"/>
        <s v="O2320202005040654612 Servicios de instalación de alarmas contra incendios"/>
        <s v="O232020200885961 Servicios de organización y asistencia de convenciones"/>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1">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s v="TH"/>
    <s v="25 - contrato de prestacion de servicios profesionales"/>
    <s v="ENERO"/>
    <n v="12"/>
    <n v="0"/>
    <n v="120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s v="TH"/>
    <s v="25 - contrato de prestacion de servicios profesionales"/>
    <s v="ENERO"/>
    <n v="6"/>
    <n v="0"/>
    <n v="45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s v="TH"/>
    <s v="25 - contrato de prestacion de servicios profesionales"/>
    <s v="ENERO"/>
    <n v="6"/>
    <n v="0"/>
    <n v="33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s v="TH"/>
    <s v="25 - contrato de prestacion de servicios profesionales"/>
    <s v="ENERO"/>
    <n v="6"/>
    <n v="0"/>
    <n v="57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s v="TH"/>
    <s v="25 - contrato de prestacion de servicios profesionales"/>
    <s v="ENERO"/>
    <n v="12"/>
    <n v="0"/>
    <n v="936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s v="TH"/>
    <s v="25 - contrato de prestacion de servicios profesionales"/>
    <s v="ENERO"/>
    <n v="12"/>
    <n v="0"/>
    <n v="605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FEBRERO"/>
    <n v="10"/>
    <n v="0"/>
    <n v="40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6"/>
    <n v="0"/>
    <n v="24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s v="TH"/>
    <s v="25 - contrato de prestacion de servicios profesionales"/>
    <s v="ENERO"/>
    <n v="12"/>
    <n v="0"/>
    <n v="84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s v="TH"/>
    <s v="25 - contrato de prestacion de servicios profesionales"/>
    <s v="FEBRERO"/>
    <n v="10"/>
    <n v="0"/>
    <n v="78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s v="TH"/>
    <s v="25 - contrato de prestacion de servicios profesionales"/>
    <s v="ENERO"/>
    <n v="12"/>
    <n v="0"/>
    <n v="66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s v="TH"/>
    <s v="26 - contrato de prestacion de servicios de apoyo a la gestion"/>
    <s v="ENERO"/>
    <n v="6"/>
    <n v="0"/>
    <n v="282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11"/>
    <n v="0"/>
    <n v="44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s v="TH"/>
    <s v="26 - contrato de prestacion de servicios de apoyo a la gestion"/>
    <s v="ENERO"/>
    <n v="11"/>
    <n v="0"/>
    <n v="44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s v="TH"/>
    <s v="25 - contrato de prestacion de servicios profesionales"/>
    <s v="ENERO"/>
    <n v="10"/>
    <n v="0"/>
    <n v="78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s v="TH"/>
    <s v="25 - contrato de prestacion de servicios profesionales"/>
    <s v="ENERO"/>
    <n v="10"/>
    <n v="0"/>
    <n v="75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s v="TH"/>
    <s v="25 - contrato de prestacion de servicios profesionales"/>
    <s v="FEBRERO"/>
    <n v="10"/>
    <n v="0"/>
    <n v="78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s v="TH"/>
    <s v="25 - contrato de prestacion de servicios profesionales"/>
    <s v="FEBRERO"/>
    <n v="11"/>
    <n v="0"/>
    <n v="55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s v="TH"/>
    <s v="25 - contrato de prestacion de servicios profesionales"/>
    <s v="FEBRERO"/>
    <n v="6"/>
    <n v="0"/>
    <n v="30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s v="TH"/>
    <s v="26 - contrato de prestacion de servicios de apoyo a la gestion"/>
    <s v="ENERO"/>
    <n v="10"/>
    <n v="0"/>
    <n v="40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s v="TH"/>
    <s v="25 - contrato de prestacion de servicios profesionales"/>
    <s v="FEBRERO"/>
    <n v="6"/>
    <n v="0"/>
    <n v="60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s v="TH"/>
    <s v="25 - contrato de prestacion de servicios profesionales"/>
    <s v="ENERO"/>
    <n v="10"/>
    <n v="0"/>
    <n v="745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s v="TH"/>
    <s v="25 - contrato de prestacion de servicios profesionales"/>
    <s v="ENERO"/>
    <n v="11"/>
    <n v="0"/>
    <n v="924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1"/>
    <n v="0"/>
    <n v="858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s v="TH"/>
    <s v="25 - contrato de prestacion de servicios profesionales"/>
    <s v="ENERO"/>
    <n v="10"/>
    <n v="0"/>
    <n v="78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s v="TH"/>
    <s v="25 - contrato de prestacion de servicios profesionales"/>
    <s v="ENERO"/>
    <n v="10"/>
    <n v="0"/>
    <n v="55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s v="TH"/>
    <s v="25 - contrato de prestacion de servicios profesionales"/>
    <s v="ENERO"/>
    <n v="10"/>
    <n v="0"/>
    <n v="75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17 - acuerdo marco de precios"/>
    <s v="BS"/>
    <s v="03 - contrato de prestacion de servicios"/>
    <s v="ABRIL"/>
    <n v="9"/>
    <n v="0"/>
    <n v="103000000"/>
    <s v="NO"/>
    <s v="Dirección Tic"/>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32-BS-8126-4-Contratar la prestación del servicio de monitoreo, control y seguimiento satelital a los vehículos de propiedad de la U.A.E. Cuerpo Oficial de Bomberos de Bogotá - TIC"/>
  </r>
  <r>
    <n v="20260033"/>
    <s v="Adquisición, actualización y configuración de la plataforma de comunicaciones de Voz IP compatible con la solución actual con la que cuenta la entidad."/>
    <s v="02 - selec. abrev. menor cuantía"/>
    <s v="BS"/>
    <s v="03 - contrato de prestacion de servicios"/>
    <s v="OCTUBRE"/>
    <n v="6"/>
    <n v="0"/>
    <n v="64173914"/>
    <s v="NO"/>
    <s v="Dirección Tic"/>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33-BS-8126-5-Adquisición, actualización y configuración de la plataforma de comunicaciones de Voz IP compatible con la solución actual con la que cuenta la entidad."/>
  </r>
  <r>
    <n v="20260034"/>
    <s v="Adquisición de un certificado digital servidor seguro SSL para múltiples subdominios y aplicaciones para los sistemas misionales de la UAE cuerpo oficial de bomberos de Bogotá"/>
    <s v="04 - contratación mínima cuantía"/>
    <s v="BS"/>
    <s v="06 - contrato de compraventa"/>
    <s v="OCTUBRE"/>
    <n v="12"/>
    <n v="0"/>
    <n v="10000000"/>
    <s v="NO"/>
    <s v="Dirección Tic"/>
    <s v="Paula Ximena Henao Escobar"/>
    <x v="0"/>
    <s v="Subdirector@ de Gestión Corporativa"/>
    <x v="0"/>
    <s v="43191500_x000a_43221500_x000a_43222800_x000a_81161700_x000a_7215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34-BS-8126-4-Adquisición de un certificado digital servidor seguro SSL para múltiples subdominios y aplicaciones para los sistemas misionales de la UAE cuerpo oficial de bomberos de Bogotá"/>
  </r>
  <r>
    <n v="20260035"/>
    <s v="Contratar la renovación del licenciamiento y soporte de las plataformas de seguridad perimetral Fortinet, firewalls y WAF del edificio comando y estaciones para la U.A.E. Cuerpo Oficial de Bomberos de Bogotá - TIC"/>
    <s v="04 - contratación mínima cuantía"/>
    <s v="BS"/>
    <s v="22 - contrato de adquisicion de bienes"/>
    <s v="JUNIO"/>
    <n v="12"/>
    <n v="0"/>
    <n v="300000000"/>
    <s v="NO"/>
    <s v="Dirección Tic"/>
    <s v="Paula Ximena Henao Escobar"/>
    <x v="0"/>
    <s v="Subdirector@ de Gestión Corporativa"/>
    <x v="0"/>
    <s v="43233200;432225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35-BS-8126-7-Contratar la renovación del licenciamiento y soporte de las plataformas de seguridad perimetral Fortinet, firewalls y WAF del edificio comando y estaciones para la U.A.E. Cuerpo Oficial de Bomberos de Bogotá - TIC"/>
  </r>
  <r>
    <n v="20260036"/>
    <s v="Contratar el alquiler de equipos tecnológicos, periféricos y servicios complementarios para la U.A.E. Cuerpo Oficial de Bomberos de Bogotá. - TIC"/>
    <s v="04 - contratación mínima cuantía"/>
    <s v="BS"/>
    <s v="23 - contrato de alquiler"/>
    <s v="ABRIL"/>
    <n v="9"/>
    <n v="0"/>
    <n v="30000000"/>
    <s v="NO"/>
    <s v="Dirección Tic"/>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36-BS-8126-5-Contratar el alquiler de equipos tecnológicos, periféricos y servicios complementarios para la U.A.E. Cuerpo Oficial de Bomberos de Bogotá. - TIC"/>
  </r>
  <r>
    <n v="20260037"/>
    <s v="Contratar la adquisición de dispositivos para el fortalecimiento y modernización de la infraestructura tecnológica de la U.A.E. Cuerpo Oficial de Bomberos de Bogotá."/>
    <s v="17 - acuerdo marco de precios"/>
    <s v="BS"/>
    <s v="24 - contrato de servicio"/>
    <s v="MAYO"/>
    <n v="12"/>
    <n v="0"/>
    <n v="200000000"/>
    <s v="NO"/>
    <s v="Dirección Tic"/>
    <s v="Paula Ximena Henao Escobar"/>
    <x v="0"/>
    <s v="Subdirector@ de Gestión Corporativa"/>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s v="BS"/>
    <s v="03 - contrato de prestacion de servicios"/>
    <s v="MARZO"/>
    <n v="12"/>
    <n v="0"/>
    <n v="100000000"/>
    <s v="NO"/>
    <s v="Dirección Tic"/>
    <s v="Paula Ximena Henao Escobar"/>
    <x v="0"/>
    <s v="Subdirector@ de Gestión Corporativa"/>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s v="BS"/>
    <s v="03 - contrato de prestacion de servicios"/>
    <s v="MARZO"/>
    <n v="12"/>
    <n v="0"/>
    <n v="100000000"/>
    <s v="NO"/>
    <s v="Dirección Tic"/>
    <s v="Paula Ximena Henao Escobar"/>
    <x v="0"/>
    <s v="Subdirector@ de Gestión Corporativa"/>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0"/>
    <s v="Contratar el servicio de actualización y soporte de licenciamiento ArcGIS para la U.A.E. Cuerpo Oficial de Bomberos de Bogotá.- TIC"/>
    <s v="09 - contratación directa"/>
    <s v="BS"/>
    <s v="19 - contrato de renovacion de licencias"/>
    <s v="NOVIEMBRE"/>
    <n v="12"/>
    <n v="0"/>
    <n v="100000000"/>
    <s v="NO"/>
    <s v="Dirección Tic"/>
    <s v="Paula Ximena Henao Escobar"/>
    <x v="0"/>
    <s v="Subdirector@ de Gestión Corporativa"/>
    <x v="0"/>
    <n v="81112217"/>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0-BS-8126-4-Contratar el servicio de actualización y soporte de licenciamiento ArcGIS para la U.A.E. Cuerpo Oficial de Bomberos de Bogotá.- TIC"/>
  </r>
  <r>
    <n v="20260041"/>
    <s v="Contratar la adquisición de tarjetas de comunicación satelital de voz, para la U.A.E. Cuerpo Oficial de Bomberos de Bogotá. "/>
    <s v="04 - contratación mínima cuantía"/>
    <s v="BS"/>
    <s v="03 - contrato de prestacion de servicios"/>
    <s v="AGOSTO"/>
    <n v="12"/>
    <n v="0"/>
    <n v="15000000"/>
    <s v="NO"/>
    <s v="Dirección Tic"/>
    <s v="Paula Ximena Henao Escobar"/>
    <x v="0"/>
    <s v="Subdirector@ de Gestión Corporativa"/>
    <x v="0"/>
    <s v="83121700;83111600;4322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1-BS-8126-5-Contratar la adquisición de tarjetas de comunicación satelital de voz, para la U.A.E. Cuerpo Oficial de Bomberos de Bogotá. "/>
  </r>
  <r>
    <n v="20260042"/>
    <s v="Contratar la renovación de garantía y soporte de fabrica de los equipos activos que hacen parte de la infraestructura tecnológica de la U.A.E. Cuerpo Oficial de Bomberos de Bogotá."/>
    <s v="03 - selec. abrev. subasta inversa"/>
    <s v="BS"/>
    <s v="19 - contrato de renovacion de licencias"/>
    <s v="OCTUBRE"/>
    <n v="12"/>
    <n v="0"/>
    <n v="100000000"/>
    <s v="NO"/>
    <s v="Dirección Tic"/>
    <s v="Paula Ximena Henao Escobar"/>
    <x v="0"/>
    <s v="Subdirector@ de Gestión Corporativa"/>
    <x v="0"/>
    <n v="43222635"/>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2-BS-8126-5-Contratar la renovación de garantía y soporte de fabrica de los equipos activos que hacen parte de la infraestructura tecnológica de la U.A.E. Cuerpo Oficial de Bomberos de Bogotá."/>
  </r>
  <r>
    <n v="20260043"/>
    <s v="Actualización y renovación para ASMS( Aranda service manangment suite), soporte y mantenimiento del licenciamiento Software Aranda para la U.A.E. Cuerpo Oficial de Bomberos Bogota - TIC"/>
    <s v="09 - contratación directa"/>
    <s v="BS"/>
    <s v="19 - contrato de renovacion de licencias"/>
    <s v="ABRIL"/>
    <n v="12"/>
    <n v="0"/>
    <n v="30000000"/>
    <s v="NO"/>
    <s v="Dirección Tic"/>
    <s v="Paula Ximena Henao Escobar"/>
    <x v="0"/>
    <s v="Subdirector@ de Gestión Corporativa"/>
    <x v="0"/>
    <s v="81112222_x000a_81111811_x000a_43231501_x000a_43231513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3-BS-8126-4-Actualización y renovación para ASMS( Aranda service manangment suite), soporte y mantenimiento del licenciamiento Software Aranda para la U.A.E. Cuerpo Oficial de Bomberos Bogota - TIC"/>
  </r>
  <r>
    <n v="20260044"/>
    <s v="Contratar el servicio de mantenimiento, soporte técnico y actualización del aplicativo PCT, utilizado por la UAE Cuerpo Oficial de Bomberos de Bogota - TIC"/>
    <s v="09 - contratación directa"/>
    <s v="BS"/>
    <s v="24 - contrato de servicio"/>
    <s v="ENERO"/>
    <n v="12"/>
    <n v="0"/>
    <n v="25000000"/>
    <s v="NO"/>
    <s v="Dirección Tic"/>
    <s v="Paula Ximena Henao Escobar"/>
    <x v="0"/>
    <s v="Subdirector@ de Gestión Corporativa"/>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4-BS-8126-4-Contratar el servicio de mantenimiento, soporte técnico y actualización del aplicativo PCT, utilizado por la UAE Cuerpo Oficial de Bomberos de Bogota - TIC"/>
  </r>
  <r>
    <n v="20260045"/>
    <s v="Contratar la renovación , servicio de actualización y soporte de licenciamiento Oracle para Base de Datos,  y Web Logic para la U.A.E. Cuerpo Oficial de Bomberos de Bogotá - TIC"/>
    <s v="09 - contratación directa"/>
    <s v="BS"/>
    <s v="19 - contrato de renovacion de licencias"/>
    <s v="JUNIO"/>
    <n v="12"/>
    <n v="0"/>
    <n v="200000000"/>
    <s v="NO"/>
    <s v="Dirección Tic"/>
    <s v="Paula Ximena Henao Escobar"/>
    <x v="0"/>
    <s v="Subdirector@ de Gestión Corporativa"/>
    <x v="0"/>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5-BS-8126-4-Contratar la renovación , servicio de actualización y soporte de licenciamiento Oracle para Base de Datos,  y Web Logic para la U.A.E. Cuerpo Oficial de Bomberos de Bogotá - TIC"/>
  </r>
  <r>
    <n v="20260046"/>
    <s v="Modernización y mantenimiento de la solución de control de acceso con reconocimiento facial para la U.A.E. Cuerpo Oficial Bomberos de Bogotá"/>
    <s v="03 - selec. abrev. subasta inversa"/>
    <s v="BS"/>
    <s v="03 - contrato de prestacion de servicios"/>
    <s v="FEBRERO"/>
    <n v="12"/>
    <n v="0"/>
    <n v="50000000"/>
    <s v="NO"/>
    <s v="Dirección Tic"/>
    <s v="Paula Ximena Henao Escobar"/>
    <x v="0"/>
    <s v="Subdirector@ de Gestión Corporativa"/>
    <x v="0"/>
    <s v="46171619, 81111805 ,81112208 "/>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6-BS-8126-5-Modernización y mantenimiento de la solución de control de acceso con reconocimiento facial para la U.A.E. Cuerpo Oficial Bomberos de Bogotá"/>
  </r>
  <r>
    <n v="20260047"/>
    <s v="Contratar el servicios de mantenimiento para el sistema de atención de turnos de la U.A.E. Cuerpo Ofical de Bomberos de Bogotá - TIC"/>
    <s v="03 - selec. abrev. subasta inversa"/>
    <s v="BS"/>
    <s v="27 - contrato de prestacion de servicios de mantenimiento"/>
    <s v="JUNIO"/>
    <n v="12"/>
    <n v="0"/>
    <n v="10000000"/>
    <s v="NO"/>
    <s v="Dirección Tic"/>
    <s v="Paula Ximena Henao Escobar"/>
    <x v="0"/>
    <s v="Subdirector@ de Gestión Corporativa"/>
    <x v="0"/>
    <s v="32131023;39121011;432323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7-BS-8126-4-Contratar el servicios de mantenimiento para el sistema de atención de turnos de la U.A.E. Cuerpo Ofical de Bomberos de Bogotá - TIC"/>
  </r>
  <r>
    <n v="20260048"/>
    <s v="Modernizacion y soporte sala de auditorio sede Principal "/>
    <s v="01 - licitación pública"/>
    <s v="BS"/>
    <s v="03 - contrato de prestacion de servicios"/>
    <s v="MARZO"/>
    <n v="12"/>
    <n v="0"/>
    <n v="307000000"/>
    <s v="NO"/>
    <s v="Dirección Tic"/>
    <s v="Paula Ximena Henao Escobar"/>
    <x v="0"/>
    <s v="Subdirector@ de Gestión Corporativa"/>
    <x v="0"/>
    <s v="43222600_x000a_45111700_x000a_45111800_x000a_521615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48-BS-8126-5-Modernizacion y soporte sala de auditorio sede Principal "/>
  </r>
  <r>
    <n v="20260049"/>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2 - selec. abrev. menor cuantía"/>
    <s v="BS"/>
    <s v="06 - contrato de compraventa"/>
    <s v="OCTUBRE"/>
    <n v="6"/>
    <n v="0"/>
    <n v="198089314"/>
    <s v="NO"/>
    <s v="Dirección Tic"/>
    <s v="Paula Ximena Henao Escobar"/>
    <x v="0"/>
    <s v="Subdirector@ de Gestión Corporativa"/>
    <x v="0"/>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r>
  <r>
    <n v="20260050"/>
    <s v="Contratar la renovación tecnologica y fortalecimiento para la infraestructura de seguridad perimetral del edificio comando y estaciones para la U.A.E. Cuerpo Oficial de Bomberos de Bogotá - TIC"/>
    <s v="03 - selec. abrev. subasta inversa"/>
    <s v="BS"/>
    <s v="06 - contrato de compraventa"/>
    <s v="MARZO"/>
    <n v="12"/>
    <n v="0"/>
    <n v="300000000"/>
    <s v="NO"/>
    <s v="Dirección Tic"/>
    <s v="Paula Ximena Henao Escobar"/>
    <x v="0"/>
    <s v="Subdirector@ de Gestión Corporativa"/>
    <x v="0"/>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50-BS-8126-5-Contratar la renovación tecnologica y fortalecimiento para la infraestructura de seguridad perimetral del edificio comando y estaciones para la U.A.E. Cuerpo Oficial de Bomberos de Bogotá - TIC"/>
  </r>
  <r>
    <n v="20260051"/>
    <s v="Contratar la adquisición, renovación y  suscripciones de licencia Microsoft y modulos de seguridad y vulnerabilidad para la U.A.E. Cuerpo Oficial de Bomberos de Bogotá - TIC"/>
    <s v="17 - acuerdo marco de precios"/>
    <s v="BS"/>
    <s v="03 - contrato de prestacion de servicios"/>
    <s v="MAYO"/>
    <n v="12"/>
    <n v="0"/>
    <n v="920050000"/>
    <s v="NO"/>
    <s v="Dirección Tic"/>
    <s v="Paula Ximena Henao Escobar"/>
    <x v="0"/>
    <s v="Subdirector@ de Gestión Corporativa"/>
    <x v="0"/>
    <s v="43231512;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51-BS-8126-4-Contratar la adquisición, renovación y  suscripciones de licencia Microsoft y modulos de seguridad y vulnerabilidad para la U.A.E. Cuerpo Oficial de Bomberos de Bogotá - TIC"/>
  </r>
  <r>
    <n v="20260052"/>
    <s v="Contratar  la suscripción de licencias Suite Adobe para la UAE Cuerpo Oficial de Bomberos de Bogotá-TIC"/>
    <s v="17 - acuerdo marco de precios"/>
    <s v="BS"/>
    <s v="19 - contrato de renovacion de licencias"/>
    <s v="SEPTIEMBRE"/>
    <n v="12"/>
    <n v="0"/>
    <n v="50000000"/>
    <s v="NO"/>
    <s v="Dirección Tic"/>
    <s v="Paula Ximena Henao Escobar"/>
    <x v="1"/>
    <s v="Subdirector@ de Gestión Corporativa"/>
    <x v="1"/>
    <s v="81112501;43232102;43232103;43231512"/>
    <s v="No aplica"/>
    <s v="No a"/>
    <s v="l"/>
    <s v="NA"/>
    <s v="NA"/>
    <s v="NA"/>
    <s v="N/A"/>
    <s v="N/A"/>
    <s v="N/A-N/A"/>
    <s v="N/A"/>
    <s v="N/A"/>
    <s v="N/A_N/A"/>
    <s v="N/A-N/A N/A_N/A"/>
    <x v="1"/>
    <s v="N/A"/>
    <x v="3"/>
    <s v="Si Secop "/>
    <s v="20260052-BS-No a-l-Contratar  la suscripción de licencias Suite Adobe para la UAE Cuerpo Oficial de Bomberos de Bogotá-TIC"/>
  </r>
  <r>
    <n v="20260053"/>
    <s v="Contratar los servicios de canales de datos dedicados para la UAE Cuerpo Oficial de Bomberos de Bogotá-TIC"/>
    <s v="17 - acuerdo marco de precios"/>
    <s v="BS"/>
    <s v="24 - contrato de servicio"/>
    <s v="ABRIL"/>
    <n v="12"/>
    <n v="0"/>
    <n v="508870000"/>
    <s v="NO"/>
    <s v="Dirección Tic"/>
    <s v="Paula Ximena Henao Escobar"/>
    <x v="1"/>
    <s v="Subdirector@ de Gestión Corporativa"/>
    <x v="1"/>
    <n v="81112100"/>
    <s v="No aplica"/>
    <s v="No a"/>
    <s v="l"/>
    <s v="NA"/>
    <s v="NA"/>
    <s v="NA"/>
    <s v="N/A"/>
    <s v="N/A"/>
    <s v="N/A-N/A"/>
    <s v="N/A"/>
    <s v="N/A"/>
    <s v="N/A_N/A"/>
    <s v="N/A-N/A N/A_N/A"/>
    <x v="1"/>
    <s v="N/A"/>
    <x v="4"/>
    <s v="Si Secop "/>
    <s v="20260053-BS-No a-l-Contratar los servicios de canales de datos dedicados para la UAE Cuerpo Oficial de Bomberos de Bogotá-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s v="BS"/>
    <s v="27 - contrato de prestacion de servicios de mantenimiento"/>
    <s v="ABRIL"/>
    <n v="12"/>
    <n v="0"/>
    <n v="100000000"/>
    <s v="NO"/>
    <s v="Dirección Tic"/>
    <s v="Paula Ximena Henao Escobar"/>
    <x v="1"/>
    <s v="Subdirector@ de Gestión Corporativa"/>
    <x v="1"/>
    <s v="81111811;72151600; 43223300;_x000a_39131700"/>
    <s v="No aplica"/>
    <s v="No a"/>
    <s v="l"/>
    <s v="NA"/>
    <s v="NA"/>
    <s v="NA"/>
    <s v="N/A"/>
    <s v="N/A"/>
    <s v="N/A-N/A"/>
    <s v="N/A"/>
    <s v="N/A"/>
    <s v="N/A_N/A"/>
    <s v="N/A-N/A N/A_N/A"/>
    <x v="1"/>
    <s v="N/A"/>
    <x v="5"/>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Contratar la modernización integral  tecnológica, soporte y mantenimiento preventivo y correctivo con repuestos, para los sistemas de video vigilancia de la U.A.E. Cuerpo Oficial de Bomberos de Bogotá - TIC."/>
    <s v="03 - selec. abrev. subasta inversa"/>
    <s v="BS"/>
    <s v="24 - contrato de servicio"/>
    <s v="JUNIO"/>
    <n v="12"/>
    <n v="0"/>
    <n v="100000000"/>
    <s v="NO"/>
    <s v="Dirección Tic"/>
    <s v="Paula Ximena Henao Escobar"/>
    <x v="1"/>
    <s v="Subdirector@ de Gestión Corporativa"/>
    <x v="1"/>
    <s v="43233200; 72151700;  43233200; 81112200; 72151700; 45121600"/>
    <s v="No aplica"/>
    <s v="No a"/>
    <s v="l"/>
    <s v="NA"/>
    <s v="NA"/>
    <s v="NA"/>
    <s v="N/A"/>
    <s v="N/A"/>
    <s v="N/A-N/A"/>
    <s v="N/A"/>
    <s v="N/A"/>
    <s v="N/A_N/A"/>
    <s v="N/A-N/A N/A_N/A"/>
    <x v="1"/>
    <s v="N/A"/>
    <x v="6"/>
    <s v="Si Secop "/>
    <s v="20260055-BS-No a-l-Contratar la modernización integral  tecnológica, soporte y mantenimiento preventivo y correctivo con repuestos, para los sistemas de video vigilancia de la U.A.E. Cuerpo Oficial de Bomberos de Bogotá - TIC."/>
  </r>
  <r>
    <n v="20260056"/>
    <s v="Contratar la adquisición de firma digital (token) para la U.A.E. Cuerpo Oficial de Bomberos de Bogotá - TIC"/>
    <s v="04 - contratación mínima cuantía"/>
    <s v="BS"/>
    <s v="19 - contrato de renovacion de licencias"/>
    <s v="MARZO"/>
    <n v="12"/>
    <n v="0"/>
    <n v="27600000"/>
    <s v="NO"/>
    <s v="Dirección Tic"/>
    <s v="Paula Ximena Henao Escobar"/>
    <x v="1"/>
    <s v="Subdirector@ de Gestión Corporativa"/>
    <x v="1"/>
    <n v="43233205"/>
    <s v="No aplica"/>
    <s v="No a"/>
    <s v="l"/>
    <s v="NA"/>
    <s v="NA"/>
    <s v="NA"/>
    <s v="N/A"/>
    <s v="N/A"/>
    <s v="N/A-N/A"/>
    <s v="N/A"/>
    <s v="N/A"/>
    <s v="N/A_N/A"/>
    <s v="N/A-N/A N/A_N/A"/>
    <x v="1"/>
    <s v="N/A"/>
    <x v="6"/>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s v="TH"/>
    <s v="26 - contrato de prestacion de servicios de apoyo a la gestion"/>
    <s v="ENERO"/>
    <n v="12"/>
    <n v="0"/>
    <n v="45042216"/>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s v="TH"/>
    <s v="25 - contrato de prestacion de servicios profesionales"/>
    <s v="ENERO"/>
    <n v="6"/>
    <n v="0"/>
    <n v="390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s v="TH"/>
    <s v="26 - contrato de prestacion de servicios de apoyo a la gestion"/>
    <s v="ENERO"/>
    <n v="12"/>
    <n v="0"/>
    <n v="53889792"/>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s v="TH"/>
    <s v="25 - contrato de prestacion de servicios profesionales"/>
    <s v="ENERO"/>
    <n v="11"/>
    <n v="0"/>
    <n v="110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s v="TH"/>
    <s v="25 - contrato de prestacion de servicios profesionales"/>
    <s v="ENERO"/>
    <n v="6"/>
    <n v="0"/>
    <n v="4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s v="TH"/>
    <s v="25 - contrato de prestacion de servicios profesionales"/>
    <s v="ENERO"/>
    <n v="12"/>
    <n v="0"/>
    <n v="96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s v="TH"/>
    <s v="25 - contrato de prestacion de servicios profesionales"/>
    <s v="ENERO"/>
    <n v="12"/>
    <n v="0"/>
    <n v="108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s v="TH"/>
    <s v="25 - contrato de prestacion de servicios profesionales"/>
    <s v="ENERO"/>
    <n v="12"/>
    <n v="0"/>
    <n v="900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s v="TH"/>
    <s v="25 - contrato de prestacion de servicios profesionales"/>
    <s v="ENERO"/>
    <n v="8"/>
    <n v="0"/>
    <n v="336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s v="TH"/>
    <s v="25 - contrato de prestacion de servicios profesionales"/>
    <s v="ENERO"/>
    <n v="11"/>
    <n v="0"/>
    <n v="9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s v="TH"/>
    <s v="25 - contrato de prestacion de servicios profesionales"/>
    <s v="ENERO"/>
    <n v="11"/>
    <n v="0"/>
    <n v="88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s v="TH"/>
    <s v="25 - contrato de prestacion de servicios profesionales"/>
    <s v="ENERO"/>
    <n v="6"/>
    <n v="0"/>
    <n v="4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s v="TH"/>
    <s v="25 - contrato de prestacion de servicios profesionales"/>
    <s v="ENERO"/>
    <n v="12"/>
    <n v="0"/>
    <n v="126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s v="TH"/>
    <s v="25 - contrato de prestacion de servicios profesionales"/>
    <s v="ENERO"/>
    <n v="6"/>
    <n v="0"/>
    <n v="4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s v="TH"/>
    <s v="25 - contrato de prestacion de servicios profesionales"/>
    <s v="ENERO"/>
    <n v="11"/>
    <n v="0"/>
    <n v="101200000"/>
    <s v="NO"/>
    <s v="Oficina Asesora de Planeación"/>
    <s v="Manuel Eduardo Castillo Guzman"/>
    <x v="0"/>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s v="TH"/>
    <s v="25 - contrato de prestacion de servicios profesionales"/>
    <s v="ENERO"/>
    <n v="8"/>
    <n v="0"/>
    <n v="5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s v="TH"/>
    <s v="25 - contrato de prestacion de servicios profesionales"/>
    <s v="ENERO"/>
    <n v="6"/>
    <n v="0"/>
    <n v="3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s v="TH"/>
    <s v="25 - contrato de prestacion de servicios profesionales"/>
    <s v="ENERO"/>
    <n v="6"/>
    <n v="0"/>
    <n v="600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s v="TH"/>
    <s v="25 - contrato de prestacion de servicios profesionales"/>
    <s v="ENERO"/>
    <n v="6"/>
    <n v="0"/>
    <n v="402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s v="TH"/>
    <s v="25 - contrato de prestacion de servicios profesionales"/>
    <s v="ENERO"/>
    <n v="6"/>
    <n v="0"/>
    <n v="3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s v="TH"/>
    <s v="26 - contrato de prestacion de servicios de apoyo a la gestion"/>
    <s v="ENERO"/>
    <n v="8"/>
    <n v="0"/>
    <n v="35926528"/>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s v="TH"/>
    <s v="25 - contrato de prestacion de servicios profesionales"/>
    <s v="ENERO"/>
    <n v="8"/>
    <n v="0"/>
    <n v="56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s v="TH"/>
    <s v="26 - contrato de prestacion de servicios de apoyo a la gestion"/>
    <s v="ENERO"/>
    <n v="7"/>
    <n v="0"/>
    <n v="4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s v="TH"/>
    <s v="25 - contrato de prestacion de servicios profesionales"/>
    <s v="ENERO"/>
    <n v="7"/>
    <n v="0"/>
    <n v="4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s v="TH"/>
    <s v="25 - contrato de prestacion de servicios profesionales"/>
    <s v="FEBRERO"/>
    <n v="10"/>
    <n v="0"/>
    <n v="78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s v="TH"/>
    <s v="25 - contrato de prestacion de servicios profesionales"/>
    <s v="FEBRERO"/>
    <n v="10"/>
    <n v="0"/>
    <n v="85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s v="TH"/>
    <s v="25 - contrato de prestacion de servicios profesionales"/>
    <s v="FEBRERO"/>
    <n v="10"/>
    <n v="0"/>
    <n v="8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s v="TH"/>
    <s v="25 - contrato de prestacion de servicios profesionales"/>
    <s v="FEBRERO"/>
    <n v="10"/>
    <n v="0"/>
    <n v="55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s v="TH"/>
    <s v="26 - contrato de prestacion de servicios de apoyo a la gestion"/>
    <s v="FEBRERO"/>
    <n v="10"/>
    <n v="0"/>
    <n v="36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s v="TH"/>
    <s v="26 - contrato de prestacion de servicios de apoyo a la gestion"/>
    <s v="FEBRERO"/>
    <n v="10"/>
    <n v="0"/>
    <n v="26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s v="TH"/>
    <s v="25 - contrato de prestacion de servicios profesionales"/>
    <s v="FEBRERO"/>
    <n v="10"/>
    <n v="0"/>
    <n v="6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s v="TH"/>
    <s v="25 - contrato de prestacion de servicios profesionales"/>
    <s v="ENERO"/>
    <n v="11"/>
    <n v="0"/>
    <n v="85158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s v="TH"/>
    <s v="25 - contrato de prestacion de servicios profesionales"/>
    <s v="ENERO"/>
    <n v="11"/>
    <n v="0"/>
    <n v="85158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s v="TH"/>
    <s v="25 - contrato de prestacion de servicios profesionales"/>
    <s v="ENERO"/>
    <n v="11"/>
    <n v="0"/>
    <n v="85158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s v="TH"/>
    <s v="25 - contrato de prestacion de servicios profesionales"/>
    <s v="ENERO"/>
    <n v="11"/>
    <n v="0"/>
    <n v="51424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s v="TH"/>
    <s v="26 - contrato de prestacion de servicios de apoyo a la gestion"/>
    <s v="ENERO"/>
    <n v="11"/>
    <n v="0"/>
    <n v="43102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s v="TH"/>
    <s v="25 - contrato de prestacion de servicios profesionales"/>
    <s v="FEBRERO"/>
    <n v="9"/>
    <n v="0"/>
    <n v="90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s v="TH"/>
    <s v="25 - contrato de prestacion de servicios profesionales"/>
    <s v="FEBRERO"/>
    <n v="8"/>
    <n v="0"/>
    <n v="7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s v="TH"/>
    <s v="25 - contrato de prestacion de servicios profesionales"/>
    <s v="FEBRERO"/>
    <n v="8"/>
    <n v="0"/>
    <n v="296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s v="TH"/>
    <s v="25 - contrato de prestacion de servicios profesionales"/>
    <s v="FEBRERO"/>
    <n v="8"/>
    <n v="0"/>
    <n v="5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67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4"/>
    <n v="0"/>
    <n v="24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s v="TH"/>
    <s v="25 - contrato de prestacion de servicios profesionales"/>
    <s v="FEBRERO"/>
    <n v="9"/>
    <n v="0"/>
    <n v="94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s v="TH"/>
    <s v="25 - contrato de prestacion de servicios profesionales"/>
    <s v="FEBRERO"/>
    <n v="8"/>
    <n v="0"/>
    <n v="772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s v="TH"/>
    <s v="25 - contrato de prestacion de servicios profesionales"/>
    <s v="FEBRERO"/>
    <n v="8"/>
    <n v="0"/>
    <n v="5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s v="TH"/>
    <s v="25 - contrato de prestacion de servicios profesionales"/>
    <s v="FEBRERO"/>
    <n v="6"/>
    <n v="0"/>
    <n v="66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s v="TH"/>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9"/>
    <n v="0"/>
    <n v="603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8"/>
    <n v="0"/>
    <n v="464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s v="TH"/>
    <s v="25 - contrato de prestacion de servicios profesionales"/>
    <s v="FEBRERO"/>
    <n v="8"/>
    <n v="0"/>
    <n v="7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s v="TH"/>
    <s v="25 - contrato de prestacion de servicios profesionales"/>
    <s v="FEBRERO"/>
    <n v="11"/>
    <n v="0"/>
    <n v="37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s v="TH"/>
    <s v="26 - contrato de prestacion de servicios de apoyo a la gestion"/>
    <s v="FEBRERO"/>
    <n v="8"/>
    <n v="0"/>
    <n v="28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s v="TH"/>
    <s v="26 - contrato de prestacion de servicios de apoyo a la gestion"/>
    <s v="FEBRERO"/>
    <n v="8"/>
    <n v="0"/>
    <n v="28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s v="TH"/>
    <s v="26 - contrato de prestacion de servicios de apoyo a la gestion"/>
    <s v="FEBRERO"/>
    <n v="8"/>
    <n v="0"/>
    <n v="28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s v="TH"/>
    <s v="25 - contrato de prestacion de servicios profesionales"/>
    <s v="FEBRERO"/>
    <n v="8"/>
    <n v="0"/>
    <n v="6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s v="TH"/>
    <s v="25 - contrato de prestacion de servicios profesionales"/>
    <s v="FEBRERO"/>
    <n v="8"/>
    <n v="0"/>
    <n v="461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s v="TH"/>
    <s v="25 - contrato de prestacion de servicios profesionales"/>
    <s v="FEBRERO"/>
    <n v="8"/>
    <n v="0"/>
    <n v="60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s v="TH"/>
    <s v="25 - contrato de prestacion de servicios profesionales"/>
    <s v="FEBRERO"/>
    <n v="8"/>
    <n v="0"/>
    <n v="6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s v="TH"/>
    <s v="25 - contrato de prestacion de servicios profesionales"/>
    <s v="FEBRERO"/>
    <n v="8"/>
    <n v="0"/>
    <n v="6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s v="TH"/>
    <s v="25 - contrato de prestacion de servicios profesionales"/>
    <s v="FEBRERO"/>
    <n v="8"/>
    <n v="0"/>
    <n v="5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s v="TH"/>
    <s v="25 - contrato de prestacion de servicios profesionales"/>
    <s v="ENERO"/>
    <n v="8"/>
    <n v="0"/>
    <n v="64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s v="TH"/>
    <s v="26 - contrato de prestacion de servicios de apoyo a la gestion"/>
    <s v="ENERO"/>
    <n v="11"/>
    <n v="0"/>
    <n v="462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11"/>
    <n v="0"/>
    <n v="41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s v="TH"/>
    <s v="26 - contrato de prestacion de servicios de apoyo a la gestion"/>
    <s v="ENERO"/>
    <n v="7"/>
    <n v="0"/>
    <n v="28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s v="TH"/>
    <s v="25 - contrato de prestacion de servicios profesionales"/>
    <s v="ENERO"/>
    <n v="3"/>
    <n v="15"/>
    <n v="29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s v="TH"/>
    <s v="25 - contrato de prestacion de servicios profesionales"/>
    <s v="ENERO"/>
    <n v="5"/>
    <n v="0"/>
    <n v="295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s v="TH"/>
    <s v="25 - contrato de prestacion de servicios profesionales"/>
    <s v="ENERO"/>
    <n v="10"/>
    <n v="0"/>
    <n v="67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s v="TH"/>
    <s v="26 - contrato de prestacion de servicios de apoyo a la gestion"/>
    <s v="ENERO"/>
    <n v="10"/>
    <n v="0"/>
    <n v="36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s v="TH"/>
    <s v="25 - contrato de prestacion de servicios profesionales"/>
    <s v="ENERO"/>
    <n v="7"/>
    <n v="0"/>
    <n v="50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s v="TH"/>
    <s v="25 - contrato de prestacion de servicios profesionales"/>
    <s v="ENERO"/>
    <n v="7"/>
    <n v="0"/>
    <n v="50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s v="TH"/>
    <s v="25 - contrato de prestacion de servicios profesionales"/>
    <s v="ENERO"/>
    <n v="7"/>
    <n v="0"/>
    <n v="385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s v="TH"/>
    <s v="25 - contrato de prestacion de servicios profesionales"/>
    <s v="ENERO"/>
    <n v="10"/>
    <n v="0"/>
    <n v="69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s v="TH"/>
    <s v="26 - contrato de prestacion de servicios de apoyo a la gestion"/>
    <s v="ENERO"/>
    <n v="7"/>
    <n v="0"/>
    <n v="28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s v="TH"/>
    <s v="25 - contrato de prestacion de servicios profesionales"/>
    <s v="ENERO"/>
    <n v="7"/>
    <n v="0"/>
    <n v="4508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s v="TH"/>
    <s v="25 - contrato de prestacion de servicios profesionales"/>
    <s v="ENERO"/>
    <n v="11"/>
    <n v="0"/>
    <n v="539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s v="TH"/>
    <s v="26 - contrato de prestacion de servicios de apoyo a la gestion"/>
    <s v="ENERO"/>
    <n v="8"/>
    <n v="0"/>
    <n v="32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s v="TH"/>
    <s v="25 - contrato de prestacion de servicios profesionales"/>
    <s v="ENERO"/>
    <n v="7"/>
    <n v="0"/>
    <n v="40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s v="TH"/>
    <s v="25 - contrato de prestacion de servicios profesionales"/>
    <s v="ENERO"/>
    <n v="11"/>
    <n v="0"/>
    <n v="671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s v="TH"/>
    <s v="26 - contrato de prestacion de servicios de apoyo a la gestion"/>
    <s v="ENERO"/>
    <n v="7"/>
    <n v="0"/>
    <n v="28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s v="TH"/>
    <s v="25 - contrato de prestacion de servicios profesionales"/>
    <s v="ENERO"/>
    <n v="7"/>
    <n v="0"/>
    <n v="343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s v="TH"/>
    <s v="25 - contrato de prestacion de servicios profesionales"/>
    <s v="ENERO"/>
    <n v="7"/>
    <n v="0"/>
    <n v="36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s v="TH"/>
    <s v="25 - contrato de prestacion de servicios profesionales"/>
    <s v="ENERO"/>
    <n v="11"/>
    <n v="0"/>
    <n v="77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s v="TH"/>
    <s v="25 - contrato de prestacion de servicios profesionales"/>
    <s v="ENERO"/>
    <n v="10"/>
    <n v="0"/>
    <n v="64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s v="TH"/>
    <s v="25 - contrato de prestacion de servicios profesionales"/>
    <s v="ENERO"/>
    <n v="11"/>
    <n v="0"/>
    <n v="77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s v="TH"/>
    <s v="25 - contrato de prestacion de servicios profesionales"/>
    <s v="ENERO"/>
    <n v="10"/>
    <n v="0"/>
    <n v="65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s v="TH"/>
    <s v="25 - contrato de prestacion de servicios profesionales"/>
    <s v="ENERO"/>
    <n v="7"/>
    <n v="0"/>
    <n v="51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s v="TH"/>
    <s v="25 - contrato de prestacion de servicios profesionales"/>
    <s v="ENERO"/>
    <n v="7"/>
    <n v="0"/>
    <n v="64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s v="TH"/>
    <s v="26 - contrato de prestacion de servicios de apoyo a la gestion"/>
    <s v="ENERO"/>
    <n v="7"/>
    <n v="0"/>
    <n v="252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s v="TH"/>
    <s v="25 - contrato de prestacion de servicios profesionales"/>
    <s v="ENERO"/>
    <n v="7"/>
    <n v="0"/>
    <n v="413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s v="TH"/>
    <s v="25 - contrato de prestacion de servicios profesionales"/>
    <s v="ENERO"/>
    <n v="8"/>
    <n v="0"/>
    <n v="57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s v="TH"/>
    <s v="25 - contrato de prestacion de servicios profesionales"/>
    <s v="ENERO"/>
    <n v="5"/>
    <n v="0"/>
    <n v="46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s v="TH"/>
    <s v="25 - contrato de prestacion de servicios profesionales"/>
    <s v="ENERO"/>
    <n v="7"/>
    <n v="0"/>
    <n v="50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s v="TH"/>
    <s v="25 - contrato de prestacion de servicios profesionales"/>
    <s v="ENERO"/>
    <n v="7"/>
    <n v="0"/>
    <n v="609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s v="TH"/>
    <s v="25 - contrato de prestacion de servicios profesionales"/>
    <s v="ENERO"/>
    <n v="7"/>
    <n v="0"/>
    <n v="623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s v="TH"/>
    <s v="25 - contrato de prestacion de servicios profesionales"/>
    <s v="ENERO"/>
    <n v="10"/>
    <n v="0"/>
    <n v="83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s v="TH"/>
    <s v="25 - contrato de prestacion de servicios profesionales"/>
    <s v="ENERO"/>
    <n v="11"/>
    <n v="0"/>
    <n v="92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s v="TH"/>
    <s v="25 - contrato de prestacion de servicios profesionales"/>
    <s v="ENERO"/>
    <n v="8"/>
    <n v="0"/>
    <n v="66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s v="TH"/>
    <s v="25 - contrato de prestacion de servicios profesionales"/>
    <s v="ENERO"/>
    <n v="11"/>
    <n v="0"/>
    <n v="605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s v="TH"/>
    <s v="25 - contrato de prestacion de servicios profesionales"/>
    <s v="ENERO"/>
    <n v="7"/>
    <n v="0"/>
    <n v="37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s v="TH"/>
    <s v="25 - contrato de prestacion de servicios profesionales"/>
    <s v="ENERO"/>
    <n v="7"/>
    <n v="0"/>
    <n v="37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s v="TH"/>
    <s v="25 - contrato de prestacion de servicios profesionales"/>
    <s v="ENERO"/>
    <n v="10"/>
    <n v="0"/>
    <n v="82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s v="TH"/>
    <s v="25 - contrato de prestacion de servicios profesionales"/>
    <s v="ENERO"/>
    <n v="11"/>
    <n v="0"/>
    <n v="572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s v="TH"/>
    <s v="25 - contrato de prestacion de servicios profesionales"/>
    <s v="ENERO"/>
    <n v="10"/>
    <n v="0"/>
    <n v="72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s v="TH"/>
    <s v="26 - contrato de prestacion de servicios de apoyo a la gestion"/>
    <s v="ENERO"/>
    <n v="11"/>
    <n v="0"/>
    <n v="407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s v="TH"/>
    <s v="25 - contrato de prestacion de servicios profesionales"/>
    <s v="ENERO"/>
    <n v="11"/>
    <n v="0"/>
    <n v="814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s v="TH"/>
    <s v="25 - contrato de prestacion de servicios profesionales"/>
    <s v="ENERO"/>
    <n v="11"/>
    <n v="0"/>
    <n v="847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s v="TH"/>
    <s v="25 - contrato de prestacion de servicios profesionales"/>
    <s v="ENERO"/>
    <n v="10"/>
    <n v="0"/>
    <n v="55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s v="TH"/>
    <s v="26 - contrato de prestacion de servicios de apoyo a la gestion"/>
    <s v="ENERO"/>
    <n v="8"/>
    <n v="0"/>
    <n v="26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s v="TH"/>
    <s v="25 - contrato de prestacion de servicios profesionales"/>
    <s v="ENERO"/>
    <n v="11"/>
    <n v="0"/>
    <n v="1001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s v="TH"/>
    <s v="25 - contrato de prestacion de servicios profesionales"/>
    <s v="ENERO"/>
    <n v="11"/>
    <n v="0"/>
    <n v="935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s v="TH"/>
    <s v="25 - contrato de prestacion de servicios profesionales"/>
    <s v="ENERO"/>
    <n v="11"/>
    <n v="0"/>
    <n v="9152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s v="TH"/>
    <s v="25 - contrato de prestacion de servicios profesionales"/>
    <s v="ENERO"/>
    <n v="11"/>
    <n v="0"/>
    <n v="1144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5"/>
    <s v="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s v="09 - contratación directa"/>
    <s v="BS"/>
    <s v="07 - contrato de arrendamiento"/>
    <s v="FEBRERO"/>
    <n v="11"/>
    <n v="0"/>
    <n v="0"/>
    <s v="NO"/>
    <s v="Sub. Gestión Humana"/>
    <s v="Jose Andres Ponce Caicedo"/>
    <x v="2"/>
    <s v="Subdirector@ de Gestión del Riesgo"/>
    <x v="0"/>
    <s v="80131502, 80131505"/>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7"/>
    <s v="Si Secop "/>
    <s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r>
  <r>
    <n v="20260186"/>
    <s v="SGH - Garantizar los recursos para movilización efectiva del personal operativo en la atención de emergencias"/>
    <s v="91 - n/a acto administrativo (resolución, decreto, acuerdo, etc.)"/>
    <s v="BS"/>
    <s v="03 - contrato de prestacion de servicios"/>
    <s v="FEBRERO"/>
    <n v="11"/>
    <n v="0"/>
    <n v="80000000"/>
    <s v="NO"/>
    <s v="Sub. Gestión Humana"/>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8"/>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s v="BS"/>
    <s v="03 - contrato de prestacion de servicios"/>
    <s v="FEBRERO"/>
    <n v="11"/>
    <n v="0"/>
    <n v="180000000"/>
    <s v="NO"/>
    <s v="Sub. Gestión Humana"/>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8"/>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s v="BS"/>
    <s v="06 - contrato de compraventa"/>
    <s v="MARZO"/>
    <n v="4"/>
    <n v="0"/>
    <n v="300000000"/>
    <s v="NO"/>
    <s v="Sub. Gestión Humana"/>
    <s v="Jose Andres Ponce Caicedo"/>
    <x v="2"/>
    <s v="Subdirector@ de Gestión del Riesgo"/>
    <x v="0"/>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9"/>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2 - selec. abrev. menor cuantía"/>
    <s v="BS"/>
    <s v="06 - contrato de compraventa"/>
    <s v="MARZO"/>
    <n v="6"/>
    <n v="0"/>
    <n v="200000000"/>
    <s v="NO"/>
    <s v="Sub. Gestión Humana"/>
    <s v="Jose Andres Ponce Caicedo"/>
    <x v="2"/>
    <s v="Subdirector@ de Gestión del Riesgo"/>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0"/>
    <s v="Si Secop "/>
    <s v="20260189-BS-8173-9-SGH - Adquisición de Equipos y Herramientas para los procesos de Capacitación a cargo de la Academia de la UAE Cuerpo Oficial de Bomberos de Bogotá"/>
  </r>
  <r>
    <n v="20260190"/>
    <s v="SGH - Prestar los servicios  de capacitación y entrenamiento para el fortalecimiento de las capacidades de los instructores, que hacen parte de la academia de la UAE Cuerpo Oficial de Bomberos de Bogotá"/>
    <s v="02 - selec. abrev. menor cuantía"/>
    <s v="BS"/>
    <s v="03 - contrato de prestacion de servicios"/>
    <s v="MARZO"/>
    <n v="6"/>
    <n v="0"/>
    <n v="200000000"/>
    <s v="NO"/>
    <s v="Sub. Gestión Humana"/>
    <s v="Jose Andres Ponce Caicedo"/>
    <x v="2"/>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1"/>
    <s v="Si Secop "/>
    <s v="20260190-BS-8173-9-SGH - Prestar los servicios  de capacitación y entrenamiento para el fortalecimiento de las capacidades de los instructores, que hacen parte de la academia de la UAE Cuerpo Oficial de Bomberos de Bogotá"/>
  </r>
  <r>
    <n v="20260191"/>
    <s v="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s v="01 - licitación pública"/>
    <s v="BS"/>
    <s v="03 - contrato de prestacion de servicios"/>
    <s v="MARZO"/>
    <n v="6"/>
    <n v="0"/>
    <n v="1091270000"/>
    <s v="NO"/>
    <s v="Sub. Gestión Humana"/>
    <s v="Jose Andres Ponce Caicedo"/>
    <x v="2"/>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1"/>
    <s v="Si Secop "/>
    <s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r>
  <r>
    <n v="20260192"/>
    <s v="SGH- Adquisición de material bibliográfico de consulta para estudio y capacitación, que servirá como base de la biblioteca para la academia de la UAE Cuerpo Oficial de Bomberos de Bogotá"/>
    <s v="04 - contratación mínima cuantía"/>
    <s v="BS"/>
    <s v="06 - contrato de compraventa"/>
    <s v="MARZO"/>
    <n v="4"/>
    <n v="0"/>
    <n v="40000000"/>
    <s v="NO"/>
    <s v="Sub. Gestión Humana"/>
    <s v="Jose Andres Ponce Caicedo"/>
    <x v="2"/>
    <s v="Subdirector@ de Gestión del Riesgo"/>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2"/>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s v="BS"/>
    <s v="03 - contrato de prestacion de servicios"/>
    <s v="MARZO"/>
    <n v="6"/>
    <n v="0"/>
    <n v="500000000"/>
    <s v="NO"/>
    <s v="Sub. Gestión Humana"/>
    <s v="Jose Andres Ponce Caicedo"/>
    <x v="1"/>
    <s v="Subdirector@ de Gestión Corporativa"/>
    <x v="1"/>
    <s v="85121503;85121603;85121604;85121608;85121610;85121611;85121612;85121702;85122201"/>
    <s v="No aplica"/>
    <s v="No a"/>
    <s v="l"/>
    <s v="NA"/>
    <s v="NA"/>
    <s v="NA"/>
    <s v="N/A"/>
    <s v="N/A"/>
    <s v="N/A-N/A"/>
    <s v="N/A"/>
    <s v="N/A"/>
    <s v="N/A_N/A"/>
    <s v="N/A-N/A N/A_N/A"/>
    <x v="1"/>
    <s v="N/A"/>
    <x v="6"/>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s v="BS"/>
    <s v="03 - contrato de prestacion de servicios"/>
    <s v="ENERO"/>
    <n v="10"/>
    <n v="0"/>
    <n v="1620000000"/>
    <s v="NO"/>
    <s v="Sub. Gestión Humana"/>
    <s v="Jose Andres Ponce Caicedo"/>
    <x v="1"/>
    <s v="Subdirector@ de Gestión Corporativa"/>
    <x v="1"/>
    <s v="90101600;90111600;90141700;90151700"/>
    <s v="No aplica"/>
    <s v="No a"/>
    <s v="l"/>
    <s v="NA"/>
    <s v="NA"/>
    <s v="NA"/>
    <s v="N/A"/>
    <s v="N/A"/>
    <s v="N/A-N/A"/>
    <s v="N/A"/>
    <s v="N/A"/>
    <s v="N/A_N/A"/>
    <s v="N/A-N/A N/A_N/A"/>
    <x v="1"/>
    <s v="N/A"/>
    <x v="6"/>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4 - contratación mínima cuantía"/>
    <s v="BS"/>
    <s v="06 - contrato de compraventa"/>
    <s v="MARZO"/>
    <n v="4"/>
    <n v="0"/>
    <n v="62000000"/>
    <s v="NO"/>
    <s v="Sub. Gestión Humana"/>
    <s v="Jose Andres Ponce Caicedo"/>
    <x v="1"/>
    <s v="Subdirector@ de Gestión Corporativa"/>
    <x v="1"/>
    <s v="46181900;46181901"/>
    <s v="No aplica"/>
    <s v="No a"/>
    <s v="l"/>
    <s v="NA"/>
    <s v="NA"/>
    <s v="NA"/>
    <s v="N/A"/>
    <s v="N/A"/>
    <s v="N/A-N/A"/>
    <s v="N/A"/>
    <s v="N/A"/>
    <s v="N/A_N/A"/>
    <s v="N/A-N/A N/A_N/A"/>
    <x v="1"/>
    <s v="N/A"/>
    <x v="6"/>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s v="BS"/>
    <s v="17 - contrato de mantenimiento"/>
    <s v="ENERO"/>
    <n v="12"/>
    <n v="0"/>
    <n v="6689476699"/>
    <s v="SI"/>
    <s v="Sub. Logística"/>
    <s v="Omer Mauricio Rivera Ruiz"/>
    <x v="2"/>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3"/>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de llantas y  prestación del servicio de instalación, alineación, balanceo y conexos a los vehículos del parque automotor de la U.A.E. Cuerpo Oficial de Bomberos de Bogotá - SBLG"/>
    <s v="03 - selec. abrev. subasta inversa"/>
    <s v="BS"/>
    <s v="03 - contrato de prestacion de servicios"/>
    <s v="MAYO"/>
    <n v="12"/>
    <n v="0"/>
    <n v="25000000"/>
    <s v="NO"/>
    <s v="Sub. Logística"/>
    <s v="Omer Mauricio Rivera Ruiz"/>
    <x v="2"/>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4"/>
    <s v="Si Secop "/>
    <s v="20260197-BS-8173-4-Suministro de llantas y  prestación del servicio de instalación, alineación, balanceo y conexos a los vehículos del parque automotor de la U.A.E. Cuerpo Oficial de Bomberos de Bogotá - SBLG"/>
  </r>
  <r>
    <n v="20260198"/>
    <s v="Prestación de servicios profesionales apoyando el control legal de los procesos y acciones, especialmente la gestión contractual para el desarrollo de las estrategías de la Subdirección Logística - SBLG"/>
    <s v="09 - contratación directa"/>
    <s v="TH"/>
    <s v="25 - contrato de prestacion de servicios profesionales"/>
    <s v="ENERO"/>
    <n v="10"/>
    <n v="0"/>
    <n v="90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25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s v="TH"/>
    <s v="25 - contrato de prestacion de servicios profesionales"/>
    <s v="ENERO"/>
    <n v="8"/>
    <n v="0"/>
    <n v="64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s v="TH"/>
    <s v="25 - contrato de prestacion de servicios profesionales"/>
    <s v="ENERO"/>
    <n v="9"/>
    <n v="0"/>
    <n v="72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s v="TH"/>
    <s v="25 - contrato de prestacion de servicios profesionales"/>
    <s v="ENERO"/>
    <n v="9"/>
    <n v="0"/>
    <n v="4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s v="TH"/>
    <s v="25 - contrato de prestacion de servicios profesionales"/>
    <s v="ENERO"/>
    <n v="11"/>
    <n v="0"/>
    <n v="120917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s v="TH"/>
    <s v="25 - contrato de prestacion de servicios profesionales"/>
    <s v="ENERO"/>
    <n v="9"/>
    <n v="0"/>
    <n v="405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s v="TH"/>
    <s v="25 - contrato de prestacion de servicios profesionales"/>
    <s v="ENERO"/>
    <n v="7"/>
    <n v="15"/>
    <n v="4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s v="TH"/>
    <s v="26 - contrato de prestacion de servicios de apoyo a la gestion"/>
    <s v="ENERO"/>
    <n v="7"/>
    <n v="15"/>
    <n v="30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s v="TH"/>
    <s v="25 - contrato de prestacion de servicios profesionales"/>
    <s v="ENERO"/>
    <n v="10"/>
    <n v="0"/>
    <n v="68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10"/>
    <n v="0"/>
    <n v="93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9"/>
    <n v="0"/>
    <n v="72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s v="TH"/>
    <s v="25 - contrato de prestacion de servicios profesionales"/>
    <s v="ENERO"/>
    <n v="7"/>
    <n v="0"/>
    <n v="525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s v="TH"/>
    <s v="25 - contrato de prestacion de servicios profesionales"/>
    <s v="ENERO"/>
    <n v="10"/>
    <n v="0"/>
    <n v="80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s v="TH"/>
    <s v="25 - contrato de prestacion de servicios profesionales"/>
    <s v="ENERO"/>
    <n v="9"/>
    <n v="0"/>
    <n v="405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s v="TH"/>
    <s v="26 - contrato de prestacion de servicios de apoyo a la gestion"/>
    <s v="ENERO"/>
    <n v="5"/>
    <n v="0"/>
    <n v="16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s v="TH"/>
    <s v="26 - contrato de prestacion de servicios de apoyo a la gestion"/>
    <s v="ENERO"/>
    <n v="8"/>
    <n v="0"/>
    <n v="288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s v="TH"/>
    <s v="26 - contrato de prestacion de servicios de apoyo a la gestion"/>
    <s v="ENERO"/>
    <n v="9"/>
    <n v="0"/>
    <n v="32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s v="TH"/>
    <s v="25 - contrato de prestacion de servicios profesionales"/>
    <s v="ENERO"/>
    <n v="11"/>
    <n v="0"/>
    <n v="99000000"/>
    <s v="NO"/>
    <s v="Sub. Logística"/>
    <s v="Omer Mauricio Rivera Ruiz"/>
    <x v="2"/>
    <s v="Subdirector@ de Gestión del Riesgo"/>
    <x v="1"/>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s v="TH"/>
    <s v="26 - contrato de prestacion de servicios de apoyo a la gestion"/>
    <s v="ENERO"/>
    <n v="4"/>
    <n v="0"/>
    <n v="1312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s v="TH"/>
    <s v="25 - contrato de prestacion de servicios profesionales"/>
    <s v="ENERO"/>
    <n v="8"/>
    <n v="0"/>
    <n v="36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s v="TH"/>
    <s v="26 - contrato de prestacion de servicios de apoyo a la gestion"/>
    <s v="ENERO"/>
    <n v="5"/>
    <n v="0"/>
    <n v="206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s v="TH"/>
    <s v="26 - contrato de prestacion de servicios de apoyo a la gestion"/>
    <s v="ENERO"/>
    <n v="8"/>
    <n v="0"/>
    <n v="28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s v="TH"/>
    <s v="25 - contrato de prestacion de servicios profesionales"/>
    <s v="ENERO"/>
    <n v="10"/>
    <n v="0"/>
    <n v="5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s v="TH"/>
    <s v="25 - contrato de prestacion de servicios profesionales"/>
    <s v="ENERO"/>
    <n v="6"/>
    <n v="0"/>
    <n v="33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s v="TH"/>
    <s v="25 - contrato de prestacion de servicios profesionales"/>
    <s v="ENERO"/>
    <n v="9"/>
    <n v="0"/>
    <n v="4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s v="TH"/>
    <s v="26 - contrato de prestacion de servicios de apoyo a la gestion"/>
    <s v="ENERO"/>
    <n v="9"/>
    <n v="0"/>
    <n v="29565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5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s v="TH"/>
    <s v="26 - contrato de prestacion de servicios de apoyo a la gestion"/>
    <s v="ENERO"/>
    <n v="8"/>
    <n v="0"/>
    <n v="32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s v="TH"/>
    <s v="25 - contrato de prestacion de servicios profesionales"/>
    <s v="ENERO"/>
    <n v="9"/>
    <n v="0"/>
    <n v="81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s v="TH"/>
    <s v="26 - contrato de prestacion de servicios de apoyo a la gestion"/>
    <s v="ENERO"/>
    <n v="6"/>
    <n v="0"/>
    <n v="216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s v="TH"/>
    <s v="25 - contrato de prestacion de servicios profesionales"/>
    <s v="ENERO"/>
    <n v="6"/>
    <n v="0"/>
    <n v="3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s v="TH"/>
    <s v="25 - contrato de prestacion de servicios profesionales"/>
    <s v="ENERO"/>
    <n v="8"/>
    <n v="0"/>
    <n v="52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s v="TH"/>
    <s v="25 - contrato de prestacion de servicios profesionales"/>
    <s v="ENERO"/>
    <n v="10"/>
    <n v="0"/>
    <n v="90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10"/>
    <n v="0"/>
    <n v="36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9"/>
    <n v="0"/>
    <n v="32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6"/>
    <n v="0"/>
    <n v="42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s v="TH"/>
    <s v="26 - contrato de prestacion de servicios de apoyo a la gestion"/>
    <s v="ENERO"/>
    <n v="9"/>
    <n v="0"/>
    <n v="32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9"/>
    <n v="0"/>
    <n v="495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7"/>
    <n v="0"/>
    <n v="252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s v="TH"/>
    <s v="25 - contrato de prestacion de servicios profesionales"/>
    <s v="ENERO"/>
    <n v="7"/>
    <n v="15"/>
    <n v="60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s v="TH"/>
    <s v="25 - contrato de prestacion de servicios profesionales"/>
    <s v="ENERO"/>
    <n v="7"/>
    <n v="0"/>
    <n v="315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s v="TH"/>
    <s v="25 - contrato de prestacion de servicios profesionales"/>
    <s v="ENERO"/>
    <n v="8"/>
    <n v="0"/>
    <n v="48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el parque automotor y los equipos especializados de la U.A.E. Cuerpo Oficial de Bomberos Bogotá, dentro y fuera del perímetro del Distrito Capital – SBLG."/>
    <s v="17 - acuerdo marco de precios"/>
    <s v="BS"/>
    <s v="08 - contrato de suministro"/>
    <s v="MARZO"/>
    <n v="10"/>
    <n v="0"/>
    <n v="111000000"/>
    <s v="NO"/>
    <s v="Sub. Logística"/>
    <s v="Omer Mauricio Rivera Ruiz"/>
    <x v="2"/>
    <s v="Subdirector@ de Gestión del Riesgo"/>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5"/>
    <s v="Si Secop "/>
    <s v="20260244-BS-8173-4-Suministrar combustible para el parque automotor y los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s v="BS"/>
    <s v="03 - contrato de prestacion de servicios"/>
    <s v="MARZO"/>
    <n v="10"/>
    <n v="0"/>
    <n v="25000000"/>
    <s v="NO"/>
    <s v="Sub. Logística"/>
    <s v="Omer Mauricio Rivera Ruiz"/>
    <x v="2"/>
    <s v="Subdirector@ de Gestión del Riesgo"/>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s v="BS"/>
    <s v="08 - contrato de suministro"/>
    <s v="ABRIL"/>
    <n v="8"/>
    <n v="0"/>
    <n v="25000000"/>
    <s v="NO"/>
    <s v="Sub. Logística"/>
    <s v="Omer Mauricio Rivera Ruiz"/>
    <x v="2"/>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7"/>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s v="BS"/>
    <s v="08 - contrato de suministro"/>
    <s v="MAYO"/>
    <n v="8"/>
    <n v="0"/>
    <n v="10000000"/>
    <s v="NO"/>
    <s v="Sub. Logística"/>
    <s v="Omer Mauricio Rivera Ruiz"/>
    <x v="2"/>
    <s v="Subdirector@ de Gestión del Riesgo"/>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8"/>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s v="BS"/>
    <s v="08 - contrato de suministro"/>
    <s v="MAYO"/>
    <n v="8"/>
    <n v="0"/>
    <n v="75000000"/>
    <s v="NO"/>
    <s v="Sub. Logística"/>
    <s v="Omer Mauricio Rivera Ruiz"/>
    <x v="2"/>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9"/>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s v="BS"/>
    <s v="03 - contrato de prestacion de servicios"/>
    <s v="MAYO"/>
    <n v="8"/>
    <n v="0"/>
    <n v="25000000"/>
    <s v="NO"/>
    <s v="Sub. Logística"/>
    <s v="Omer Mauricio Rivera Ruiz"/>
    <x v="2"/>
    <s v="Subdirector@ de Gestión del Riesgo"/>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7"/>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s v="BS"/>
    <s v="08 - contrato de suministro"/>
    <s v="MAYO"/>
    <n v="8"/>
    <n v="0"/>
    <n v="20000000"/>
    <s v="NO"/>
    <s v="Sub. Logística"/>
    <s v="Omer Mauricio Rivera Ruiz"/>
    <x v="2"/>
    <s v="Subdirector@ de Gestión del Riesgo"/>
    <x v="0"/>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20"/>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s v="BS"/>
    <s v="03 - contrato de prestacion de servicios"/>
    <s v="MAYO"/>
    <n v="8"/>
    <n v="0"/>
    <n v="3419000"/>
    <s v="NO"/>
    <s v="Sub. Logística"/>
    <s v="Omer Mauricio Rivera Ruiz"/>
    <x v="2"/>
    <s v="Subdirector@ de Gestión del Riesgo"/>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s v="BS"/>
    <s v="03 - contrato de prestacion de servicios"/>
    <s v="SEPTIEMBRE"/>
    <n v="8"/>
    <n v="0"/>
    <n v="20000000"/>
    <s v="NO"/>
    <s v="Sub. Logística"/>
    <s v="Omer Mauricio Rivera Ruiz"/>
    <x v="2"/>
    <s v="Subdirector@ de Gestión del Riesgo"/>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20"/>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3"/>
    <s v="Suministrar los repuestos, accesorios e insumos de los equipos de rescate vehicular liviano y pesado marca LUKAS-  SBLG"/>
    <s v="09 - contratación directa"/>
    <s v="BS"/>
    <s v="08 - contrato de suministro"/>
    <s v="SEPTIEMBRE"/>
    <n v="5"/>
    <n v="0"/>
    <n v="5000000"/>
    <s v="NO"/>
    <s v="Sub. Logística"/>
    <s v="Omer Mauricio Rivera Ruiz"/>
    <x v="2"/>
    <s v="Subdirector@ de Gestión del Riesgo"/>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s v="BS"/>
    <s v="27 - contrato de prestacion de servicios de mantenimiento"/>
    <s v="SEPTIEMBRE"/>
    <n v="6"/>
    <n v="0"/>
    <n v="20000000"/>
    <s v="NO"/>
    <s v="Sub. Logística"/>
    <s v="Omer Mauricio Rivera Ruiz"/>
    <x v="2"/>
    <s v="Subdirector@ de Gestión del Riesgo"/>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Adición al contrato 622-2025 cuyo objeto es: ¨Prestación del servicio de mantenimiento preventivo y correctivo de los equipos de respiración autónoma interspiro propiedad de la UAECOB, incluido el suministro de repuestos, insumos mano de obra especializada –_x000a_SBLG"/>
    <s v="09 - contratación directa"/>
    <s v="BS"/>
    <s v="03 - contrato de prestacion de servicios"/>
    <s v="MARZO"/>
    <n v="4"/>
    <n v="0"/>
    <n v="26104301"/>
    <s v="NO"/>
    <s v="Sub. Logística"/>
    <s v="Omer Mauricio Rivera Ruiz"/>
    <x v="2"/>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5-BS-8173-4-Adición al contrato 622-2025 cuyo objeto es: ¨Prestación del servicio de mantenimiento preventivo y correctivo de los equipos de respiración autónoma interspiro propiedad de la UAECOB, incluido el suministro de repuestos, insumos mano de obra especializada –_x000a_SBLG"/>
  </r>
  <r>
    <n v="20260256"/>
    <s v="Prestar el servicio de mantenimiento preventivo y correctivo de los Equipos de Rescate Vehicular HOLMATRO propiedad de la UAECOB, incluido el suministro de repuestos, insumos y mano de obra especializada -  SBLG"/>
    <s v="09 - contratación directa"/>
    <s v="BS"/>
    <s v="08 - contrato de suministro"/>
    <s v="OCTUBRE"/>
    <n v="5"/>
    <n v="0"/>
    <n v="20000000"/>
    <s v="NO"/>
    <s v="Sub. Logística"/>
    <s v="Omer Mauricio Rivera Ruiz"/>
    <x v="2"/>
    <s v="Subdirector@ de Gestión del Riesgo"/>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s v="BS"/>
    <s v="03 - contrato de prestacion de servicios"/>
    <s v="MARZO"/>
    <n v="12"/>
    <n v="0"/>
    <n v="49000000"/>
    <s v="NO"/>
    <s v="Sub. Logística"/>
    <s v="Omer Mauricio Rivera Ruiz"/>
    <x v="1"/>
    <s v="Subdirector@ de Gestión Corporativa"/>
    <x v="1"/>
    <n v="78181505"/>
    <s v="No aplica"/>
    <s v="No a"/>
    <s v="l"/>
    <s v="NA"/>
    <s v="NA"/>
    <s v="NA"/>
    <s v="N/A"/>
    <s v="N/A"/>
    <s v="N/A-N/A"/>
    <s v="N/A"/>
    <s v="N/A"/>
    <s v="N/A_N/A"/>
    <s v="N/A-N/A N/A_N/A"/>
    <x v="1"/>
    <s v="N/A"/>
    <x v="6"/>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s v="TH"/>
    <s v="26 - contrato de prestacion de servicios de apoyo a la gestion"/>
    <s v="ENERO"/>
    <n v="9"/>
    <n v="0"/>
    <n v="296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s v="TH"/>
    <s v="26 - contrato de prestacion de servicios de apoyo a la gestion"/>
    <s v="ENERO"/>
    <n v="3"/>
    <n v="15"/>
    <n v="154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s v="TH"/>
    <s v="25 - contrato de prestacion de servicios profesionales"/>
    <s v="ENERO"/>
    <n v="5"/>
    <n v="15"/>
    <n v="522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s v="TH"/>
    <s v="25 - contrato de prestacion de servicios profesionales"/>
    <s v="ENERO"/>
    <n v="10"/>
    <n v="0"/>
    <n v="80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s v="TH"/>
    <s v="25 - contrato de prestacion de servicios profesionales"/>
    <s v="ENERO"/>
    <n v="10"/>
    <n v="0"/>
    <n v="49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s v="TH"/>
    <s v="25 - contrato de prestacion de servicios profesionales"/>
    <s v="ENERO"/>
    <n v="7"/>
    <n v="0"/>
    <n v="47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s v="TH"/>
    <s v="25 - contrato de prestacion de servicios profesionales"/>
    <s v="JULIO"/>
    <n v="6"/>
    <n v="0"/>
    <n v="432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s v="TH"/>
    <s v="25 - contrato de prestacion de servicios profesionales"/>
    <s v="ENERO"/>
    <n v="8"/>
    <n v="0"/>
    <n v="412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s v="TH"/>
    <s v="25 - contrato de prestacion de servicios profesionales"/>
    <s v="ENERO"/>
    <n v="10"/>
    <n v="0"/>
    <n v="6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s v="TH"/>
    <s v="25 - contrato de prestacion de servicios profesionales"/>
    <s v="ENERO"/>
    <n v="8"/>
    <n v="0"/>
    <n v="65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s v="TH"/>
    <s v="25 - contrato de prestacion de servicios profesionales"/>
    <s v="ENERO"/>
    <n v="10"/>
    <n v="0"/>
    <n v="9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s v="TH"/>
    <s v="25 - contrato de prestacion de servicios profesionales"/>
    <s v="ENERO"/>
    <n v="5"/>
    <n v="0"/>
    <n v="32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s v="TH"/>
    <s v="25 - contrato de prestacion de servicios profesionales"/>
    <s v="ENERO"/>
    <n v="4"/>
    <n v="15"/>
    <n v="427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s v="TH"/>
    <s v="25 - contrato de prestacion de servicios profesionales"/>
    <s v="ENERO"/>
    <n v="4"/>
    <n v="15"/>
    <n v="427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s v="TH"/>
    <s v="25 - contrato de prestacion de servicios profesionales"/>
    <s v="ENERO"/>
    <n v="3"/>
    <n v="0"/>
    <n v="2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s v="TH"/>
    <s v="25 - contrato de prestacion de servicios profesionales"/>
    <s v="ENERO"/>
    <n v="8"/>
    <n v="0"/>
    <n v="72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s v="TH"/>
    <s v="25 - contrato de prestacion de servicios profesionales"/>
    <s v="ENERO"/>
    <n v="10"/>
    <n v="0"/>
    <n v="9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s v="TH"/>
    <s v="25 - contrato de prestacion de servicios profesionales"/>
    <s v="ENERO"/>
    <n v="8"/>
    <n v="0"/>
    <n v="37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s v="TH"/>
    <s v="25 - contrato de prestacion de servicios profesionales"/>
    <s v="ENERO"/>
    <n v="10"/>
    <n v="0"/>
    <n v="9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s v="TH"/>
    <s v="25 - contrato de prestacion de servicios profesionales"/>
    <s v="ENERO"/>
    <n v="8"/>
    <n v="0"/>
    <n v="448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s v="TH"/>
    <s v="25 - contrato de prestacion de servicios profesionales"/>
    <s v="ENERO"/>
    <n v="9"/>
    <n v="0"/>
    <n v="297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s v="TH"/>
    <s v="25 - contrato de prestacion de servicios profesionales"/>
    <s v="ENERO"/>
    <n v="10"/>
    <n v="0"/>
    <n v="6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s v="TH"/>
    <s v="25 - contrato de prestacion de servicios profesionales"/>
    <s v="ENERO"/>
    <n v="10"/>
    <n v="0"/>
    <n v="6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s v="TH"/>
    <s v="25 - contrato de prestacion de servicios profesionales"/>
    <s v="ENERO"/>
    <n v="4"/>
    <n v="15"/>
    <n v="292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s v="TH"/>
    <s v="25 - contrato de prestacion de servicios profesionales"/>
    <s v="ENERO"/>
    <n v="4"/>
    <n v="15"/>
    <n v="31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s v="TH"/>
    <s v="25 - contrato de prestacion de servicios profesionales"/>
    <s v="ENERO"/>
    <n v="8"/>
    <n v="0"/>
    <n v="57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s v="TH"/>
    <s v="25 - contrato de prestacion de servicios profesionales"/>
    <s v="ENERO"/>
    <n v="4"/>
    <n v="15"/>
    <n v="31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s v="TH"/>
    <s v="25 - contrato de prestacion de servicios profesionales"/>
    <s v="ENERO"/>
    <n v="5"/>
    <n v="0"/>
    <n v="40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67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s v="TH"/>
    <s v="25 - contrato de prestacion de servicios profesionales"/>
    <s v="ENERO"/>
    <n v="5"/>
    <n v="0"/>
    <n v="47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s v="TH"/>
    <s v="25 - contrato de prestacion de servicios profesionales"/>
    <s v="ENERO"/>
    <n v="5"/>
    <n v="0"/>
    <n v="35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80715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s v="BS"/>
    <s v="12 - resolucion"/>
    <s v="ENERO"/>
    <n v="12"/>
    <n v="0"/>
    <n v="6914369000"/>
    <s v="NO"/>
    <s v="Sub. Operativa"/>
    <s v="Yenire Yohansy Lozano Ascanio"/>
    <x v="2"/>
    <s v="Subdirector@ de Gestión del Riesgo"/>
    <x v="2"/>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16"/>
    <s v="No Secop"/>
    <s v="20260317-BS-8173-3-Pago pasivo exigible Subdirección Operativa"/>
  </r>
  <r>
    <n v="20260318"/>
    <s v="Adquisición de equipos de protección personal (E.P.P.)  para el personal uniformado de la UAE Cuerpo Oficial de Bomberos de Bogota, S.O."/>
    <s v="01 - licitación pública"/>
    <s v="BS"/>
    <s v="06 - contrato de compraventa"/>
    <s v="ENERO"/>
    <n v="12"/>
    <n v="0"/>
    <n v="59989966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8"/>
    <s v="Si Secop "/>
    <s v="20260318-BS-8173-2-Adquisición de equipos de protección personal (E.P.P.)  para el personal uniformado de la UAE Cuerpo Oficial de Bomberos de Bogota, S.O."/>
  </r>
  <r>
    <n v="20260319"/>
    <s v="Adquisición de equipos, herramientas y accesorios (E.H.A.)  para la atención de emergencias de la UAE Cuerpo Oficial de Bomberos de Bogota, S.O."/>
    <s v="01 - licitación pública"/>
    <s v="BS"/>
    <s v="06 - contrato de compraventa"/>
    <s v="ENERO"/>
    <n v="12"/>
    <n v="0"/>
    <n v="500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6"/>
    <s v="Si Secop "/>
    <s v="20260319-BS-8173-2-Adquisición de equipos, herramientas y accesorios (E.H.A.)  para la atención de emergencias de la UAE Cuerpo Oficial de Bomberos de Bogota, S.O."/>
  </r>
  <r>
    <n v="20260320"/>
    <s v="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s v="09 - contratación directa"/>
    <s v="TH"/>
    <s v="26 - contrato de prestacion de servicios de apoyo a la gestion"/>
    <s v="JULIO"/>
    <n v="5"/>
    <n v="15"/>
    <n v="24915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de la Subdirección Operativa."/>
    <s v="09 - contratación directa"/>
    <s v="TH"/>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s v="TH"/>
    <s v="25 - contrato de prestacion de servicios profesionales"/>
    <s v="JULIO"/>
    <n v="4"/>
    <n v="0"/>
    <n v="264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s v="TH"/>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de la Subdirección Operativa-S.O."/>
    <s v="09 - contratación directa"/>
    <s v="TH"/>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4-TH-8173-2-Prestación de servicios profesionales jurídicos para  realizar el seguimiento y control de las actividades de gestión propias de los procesos y procedimientos, para el acompañamiento de los programas de la Subdirección Operativa-S.O."/>
  </r>
  <r>
    <n v="20260325"/>
    <s v="Prestación de servicios profesionales jurídicos para  realizar el seguimiento y control de las actividades de gestión propias de los procesos y procedimientos, para el acompañamiento de los programas de la subdirección operativa y de las respuestas a Entes de control-S.O."/>
    <s v="09 - contratación directa"/>
    <s v="TH"/>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s v="09 - contratación directa"/>
    <s v="TH"/>
    <s v="25 - contrato de prestacion de servicios profesionales"/>
    <s v="JULIO"/>
    <n v="5"/>
    <n v="0"/>
    <n v="33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s v="09 - contratación directa"/>
    <s v="TH"/>
    <s v="25 - contrato de prestacion de servicios profesionales"/>
    <s v="JULIO"/>
    <n v="5"/>
    <n v="0"/>
    <n v="36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s v="TH"/>
    <s v="25 - contrato de prestacion de servicios profesionales"/>
    <s v="JULIO"/>
    <n v="5"/>
    <n v="0"/>
    <n v="42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s v="TH"/>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s v="TH"/>
    <s v="26 - contrato de prestacion de servicios de apoyo a la gestion"/>
    <s v="JULIO"/>
    <n v="6"/>
    <n v="0"/>
    <n v="189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s v="BS"/>
    <s v="06 - contrato de compraventa"/>
    <s v="ENERO"/>
    <n v="6"/>
    <n v="0"/>
    <n v="300000000"/>
    <s v="NO"/>
    <s v="Sub. Operativa"/>
    <s v="Yenire Yohansy Lozano Ascanio"/>
    <x v="1"/>
    <s v="Subdirector@ de Gestión Corporativa"/>
    <x v="1"/>
    <n v="53102710"/>
    <s v="No aplica"/>
    <s v="No a"/>
    <s v="l"/>
    <s v="NA"/>
    <s v="NA"/>
    <s v="NA"/>
    <s v="N/A"/>
    <s v="N/A"/>
    <s v="N/A-N/A"/>
    <s v="N/A"/>
    <s v="N/A"/>
    <s v="N/A_N/A"/>
    <s v="N/A-N/A N/A_N/A"/>
    <x v="1"/>
    <s v="N/A"/>
    <x v="21"/>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s v="TH"/>
    <s v="25 - contrato de prestacion de servicios profesionales"/>
    <s v="JULIO"/>
    <n v="3"/>
    <n v="0"/>
    <n v="21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s v="TH"/>
    <s v="26 - contrato de prestacion de servicios de apoyo a la gestion"/>
    <s v="ENERO"/>
    <n v="10"/>
    <n v="0"/>
    <n v="375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s v="TH"/>
    <s v="25 - contrato de prestacion de servicios profesionales"/>
    <s v="ENERO"/>
    <n v="10"/>
    <n v="0"/>
    <n v="6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s v="TH"/>
    <s v="25 - contrato de prestacion de servicios profesionales"/>
    <s v="ENERO"/>
    <n v="8"/>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s v="TH"/>
    <s v="26 - contrato de prestacion de servicios de apoyo a la gestion"/>
    <s v="ENERO"/>
    <n v="8"/>
    <n v="0"/>
    <n v="32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s v="TH"/>
    <s v="25 - contrato de prestacion de servicios profesionales"/>
    <s v="ENERO"/>
    <n v="7"/>
    <n v="15"/>
    <n v="536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s v="TH"/>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s v="TH"/>
    <s v="25 - contrato de prestacion de servicios profesionales"/>
    <s v="ENERO"/>
    <n v="8"/>
    <n v="0"/>
    <n v="728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s v="TH"/>
    <s v="25 - contrato de prestacion de servicios profesionales"/>
    <s v="ENERO"/>
    <n v="10"/>
    <n v="0"/>
    <n v="5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s v="TH"/>
    <s v="25 - contrato de prestacion de servicios profesionales"/>
    <s v="ENERO"/>
    <n v="9"/>
    <n v="0"/>
    <n v="454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s v="TH"/>
    <s v="25 - contrato de prestacion de servicios profesionales"/>
    <s v="ENERO"/>
    <n v="8"/>
    <n v="0"/>
    <n v="4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s v="TH"/>
    <s v="25 - contrato de prestacion de servicios profesionales"/>
    <s v="ENERO"/>
    <n v="8"/>
    <n v="0"/>
    <n v="4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s v="TH"/>
    <s v="25 - contrato de prestacion de servicios profesionales"/>
    <s v="ENERO"/>
    <n v="8"/>
    <n v="0"/>
    <n v="4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5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7"/>
    <n v="0"/>
    <n v="49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s v="TH"/>
    <s v="25 - contrato de prestacion de servicios profesionales"/>
    <s v="ENERO"/>
    <n v="10"/>
    <n v="0"/>
    <n v="55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s v="TH"/>
    <s v="25 - contrato de prestacion de servicios profesionales"/>
    <s v="ENERO"/>
    <n v="10"/>
    <n v="0"/>
    <n v="8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s v="TH"/>
    <s v="25 - contrato de prestacion de servicios profesionales"/>
    <s v="ENERO"/>
    <n v="10"/>
    <n v="0"/>
    <n v="6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s v="TH"/>
    <s v="25 - contrato de prestacion de servicios profesionales"/>
    <s v="ENERO"/>
    <n v="10"/>
    <n v="0"/>
    <n v="6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s v="TH"/>
    <s v="25 - contrato de prestacion de servicios profesionales"/>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s v="TH"/>
    <s v="25 - contrato de prestacion de servicios profesionales"/>
    <s v="ENERO"/>
    <n v="10"/>
    <n v="0"/>
    <n v="375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s v="TH"/>
    <s v="25 - contrato de prestacion de servicios profesionales"/>
    <s v="ENERO"/>
    <n v="10"/>
    <n v="0"/>
    <n v="3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s v="TH"/>
    <s v="25 - contrato de prestacion de servicios profesionales"/>
    <s v="ENERO"/>
    <n v="8"/>
    <n v="0"/>
    <n v="64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s v="TH"/>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s v="TH"/>
    <s v="25 - contrato de prestacion de servicios profesionales"/>
    <s v="ENERO"/>
    <n v="10"/>
    <n v="0"/>
    <n v="70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s v="TH"/>
    <s v="25 - contrato de prestacion de servicios profesionales"/>
    <s v="ENERO"/>
    <n v="8"/>
    <n v="0"/>
    <n v="728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s v="TH"/>
    <s v="25 - contrato de prestacion de servicios profesionales"/>
    <s v="ENERO"/>
    <n v="10"/>
    <n v="0"/>
    <n v="55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s v="TH"/>
    <s v="25 - contrato de prestacion de servicios profesionales"/>
    <s v="ENERO"/>
    <n v="10"/>
    <n v="0"/>
    <n v="60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s v="TH"/>
    <s v="26 - contrato de prestacion de servicios de apoyo a la gestion"/>
    <s v="ENERO"/>
    <n v="10"/>
    <n v="0"/>
    <n v="40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s v="TH"/>
    <s v="25 - contrato de prestacion de servicios profesionales"/>
    <s v="ENERO"/>
    <n v="8"/>
    <n v="0"/>
    <n v="728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s v="TH"/>
    <s v="25 - contrato de prestacion de servicios profesionales"/>
    <s v="ENERO"/>
    <n v="10"/>
    <n v="0"/>
    <n v="80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s v="TH"/>
    <s v="25 - contrato de prestacion de servicios profesionales"/>
    <s v="ENERO"/>
    <n v="8"/>
    <n v="0"/>
    <n v="48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s v="TH"/>
    <s v="25 - contrato de prestacion de servicios profesionales"/>
    <s v="ENERO"/>
    <n v="6"/>
    <n v="0"/>
    <n v="54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10 - licitacion publica"/>
    <s v="BS"/>
    <s v="11 - orden de prestacion de servicios"/>
    <s v="JUNIO "/>
    <n v="8"/>
    <n v="0"/>
    <n v="817611040"/>
    <s v="NO"/>
    <s v="Sub. Gestión Riesgos"/>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2"/>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6 - contrato de compraventa"/>
    <s v="BS"/>
    <s v="06 - contrato de compraventa"/>
    <s v="MARZO"/>
    <n v="3"/>
    <n v="0"/>
    <n v="50000000"/>
    <s v="NO"/>
    <s v="Sub. Gestión Riesgos"/>
    <s v="William Tovar Segura"/>
    <x v="2"/>
    <s v="Subdirector@ de Gestión del Riesgo"/>
    <x v="0"/>
    <s v="60121200;60121000;60121500;_x000a_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3"/>
    <s v="Si Secop "/>
    <s v="20260388-BS-8173-1-Adquisición de suministros y elementos de identificación institucional para el fortalecimiento de los procesos misionales de la Subdirección de Gestión del Riesgo_SGR"/>
  </r>
  <r>
    <n v="20260389"/>
    <s v="Adquisición de materiales y elementos especializados para el desarrollo de actividades de reduccion del riesgo adelantados por la Subdirección de Gestión del Riesgo_SGR"/>
    <s v="06 - contrato de compraventa"/>
    <s v="BS"/>
    <s v="06 - contrato de compraventa"/>
    <s v="MARZO"/>
    <n v="3"/>
    <n v="0"/>
    <n v="50000000"/>
    <s v="NO"/>
    <s v="Sub. Gestión Riesgos"/>
    <s v="William Tovar Segura"/>
    <x v="2"/>
    <s v="Subdirector@ de Gestión del Riesgo"/>
    <x v="0"/>
    <s v="42301500;46191500;46201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4"/>
    <s v="Si Secop "/>
    <s v="20260389-BS-8173-1-Adquisición de materiales y elementos especializados para el desarrollo de actividades de reduccion del riesgo adelantados por la Subdirección de Gestión del Riesgo_SGR"/>
  </r>
  <r>
    <n v="20260390"/>
    <s v="Adquisición de insumos y materias primas para la producción de materiales impresos en artes gráficas_ SGR."/>
    <s v="06 - contrato de compraventa"/>
    <s v="BS"/>
    <s v="08 - contrato de suministro"/>
    <s v="MARZO"/>
    <n v="3"/>
    <n v="0"/>
    <n v="50000000"/>
    <s v="NO"/>
    <s v="Sub. Gestión Riesgos"/>
    <s v="William Tovar Segura"/>
    <x v="2"/>
    <s v="Subdirector@ de Gestión del Riesgo"/>
    <x v="0"/>
    <n v="1411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5"/>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6 - contrato de compraventa"/>
    <s v="BS"/>
    <s v="06 - contrato de compraventa"/>
    <s v="MARZO"/>
    <n v="3"/>
    <n v="0"/>
    <n v="50000000"/>
    <s v="NO"/>
    <s v="Sub. Gestión Riesgos"/>
    <s v="William Tovar Segura"/>
    <x v="2"/>
    <s v="Subdirector@ de Gestión del Riesgo"/>
    <x v="0"/>
    <s v="53103100;53102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16"/>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447882000"/>
    <s v="SI"/>
    <s v="Sub. Gestión Corporativa"/>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6"/>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s v="BS"/>
    <s v="05 - contrato de obra"/>
    <s v="ENERO"/>
    <n v="18"/>
    <n v="0"/>
    <n v="4336206000"/>
    <s v="SI"/>
    <s v="Sub. Gestión Corporativa"/>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s v="BS"/>
    <s v="14 - contrato de interventoria"/>
    <s v="ENERO"/>
    <n v="18"/>
    <n v="0"/>
    <n v="831592000"/>
    <s v="SI"/>
    <s v="Sub. Gestión Corporativa"/>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s v="TH"/>
    <s v="25 - contrato de prestacion de servicios profesionales"/>
    <s v="ENERO"/>
    <n v="11"/>
    <n v="0"/>
    <n v="81104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s v="TH"/>
    <s v="25 - contrato de prestacion de servicios profesionales"/>
    <s v="ENERO"/>
    <n v="11"/>
    <n v="0"/>
    <n v="56772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s v="TH"/>
    <s v="25 - contrato de prestacion de servicios profesionales"/>
    <s v="ENERO"/>
    <n v="10"/>
    <n v="0"/>
    <n v="70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s v="TH"/>
    <s v="25 - contrato de prestacion de servicios profesionales"/>
    <s v="ENERO"/>
    <n v="11"/>
    <n v="0"/>
    <n v="1002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s v="TH"/>
    <s v="25 - contrato de prestacion de servicios profesionales"/>
    <s v="ENERO"/>
    <n v="11"/>
    <n v="0"/>
    <n v="88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s v="TH"/>
    <s v="26 - contrato de prestacion de servicios de apoyo a la gestion"/>
    <s v="ENERO"/>
    <n v="11"/>
    <n v="0"/>
    <n v="4718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s v="TH"/>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s v="TH"/>
    <s v="25 - contrato de prestacion de servicios profesionales"/>
    <s v="ENERO"/>
    <n v="4"/>
    <n v="0"/>
    <n v="29491924"/>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s v="TH"/>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s v="TH"/>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s v="TH"/>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s v="TH"/>
    <s v="25 - contrato de prestacion de servicios profesionales"/>
    <s v="ENERO"/>
    <n v="11"/>
    <n v="0"/>
    <n v="10203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s v="TH"/>
    <s v="25 - contrato de prestacion de servicios profesionales"/>
    <s v="ENERO"/>
    <n v="11"/>
    <n v="0"/>
    <n v="8239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s v="TH"/>
    <s v="25 - contrato de prestacion de servicios profesionales"/>
    <s v="ENERO"/>
    <n v="11"/>
    <n v="0"/>
    <n v="7520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s v="TH"/>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s v="TH"/>
    <s v="26 - contrato de prestacion de servicios de apoyo a la gestion"/>
    <s v="ENERO"/>
    <n v="11"/>
    <n v="0"/>
    <n v="40551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s v="TH"/>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s v="TH"/>
    <s v="26 - contrato de prestacion de servicios de apoyo a la gestion"/>
    <s v="ENERO"/>
    <n v="11"/>
    <n v="0"/>
    <n v="341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s v="TH"/>
    <s v="25 - contrato de prestacion de servicios profesionales"/>
    <s v="ENERO"/>
    <n v="11"/>
    <n v="0"/>
    <n v="7520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s v="TH"/>
    <s v="26 - contrato de prestacion de servicios de apoyo a la gestion"/>
    <s v="ENERO"/>
    <n v="11"/>
    <n v="0"/>
    <n v="3806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s v="TH"/>
    <s v="25 - contrato de prestacion de servicios profesionales"/>
    <s v="ENERO"/>
    <n v="11"/>
    <n v="0"/>
    <n v="7520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s v="TH"/>
    <s v="25 - contrato de prestacion de servicios profesionales"/>
    <s v="ENERO"/>
    <n v="11"/>
    <n v="0"/>
    <n v="8110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s v="TH"/>
    <s v="25 - contrato de prestacion de servicios profesionales"/>
    <s v="ENERO"/>
    <n v="11"/>
    <n v="0"/>
    <n v="102035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s v="TH"/>
    <s v="25 - contrato de prestacion de servicios profesionales"/>
    <s v="ENERO"/>
    <n v="11"/>
    <n v="0"/>
    <n v="7520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s v="TH"/>
    <s v="25 - contrato de prestacion de servicios profesionales"/>
    <s v="ENERO"/>
    <n v="11"/>
    <n v="0"/>
    <n v="7520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s v="TH"/>
    <s v="25 - contrato de prestacion de servicios profesionales"/>
    <s v="ENERO"/>
    <n v="11"/>
    <n v="0"/>
    <n v="10203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s v="TH"/>
    <s v="25 - contrato de prestacion de servicios profesionales"/>
    <s v="ENERO"/>
    <n v="11"/>
    <n v="0"/>
    <n v="8110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s v="TH"/>
    <s v="25 - contrato de prestacion de servicios profesionales"/>
    <s v="ENERO"/>
    <n v="10"/>
    <n v="0"/>
    <n v="51611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s v="TH"/>
    <s v="26 - contrato de prestacion de servicios de apoyo a la gestion"/>
    <s v="ENERO"/>
    <n v="11"/>
    <n v="0"/>
    <n v="3806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s v="TH"/>
    <s v="25 - contrato de prestacion de servicios profesionales"/>
    <s v="ENERO"/>
    <n v="11"/>
    <n v="0"/>
    <n v="6635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s v="TH"/>
    <s v="25 - contrato de prestacion de servicios profesionales"/>
    <s v="ENERO"/>
    <n v="11"/>
    <n v="0"/>
    <n v="6635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s v="TH"/>
    <s v="26 - contrato de prestacion de servicios de apoyo a la gestion"/>
    <s v="ENERO"/>
    <n v="11"/>
    <n v="0"/>
    <n v="49399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s v="TH"/>
    <s v="25 - contrato de prestacion de servicios profesionales"/>
    <s v="ENERO"/>
    <n v="11"/>
    <n v="0"/>
    <n v="6635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s v="TH"/>
    <s v="25 - contrato de prestacion de servicios profesionales"/>
    <s v="ENERO"/>
    <n v="11"/>
    <n v="0"/>
    <n v="10203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s v="TH"/>
    <s v="25 - contrato de prestacion de servicios profesionales"/>
    <s v="ENERO"/>
    <n v="11"/>
    <n v="0"/>
    <n v="572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s v="TH"/>
    <s v="25 - contrato de prestacion de servicios profesionales"/>
    <s v="ENERO"/>
    <n v="10"/>
    <n v="0"/>
    <n v="60324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s v="TH"/>
    <s v="25 - contrato de prestacion de servicios profesionales"/>
    <s v="ENERO"/>
    <n v="11"/>
    <n v="0"/>
    <n v="10203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s v="TH"/>
    <s v="25 - contrato de prestacion de servicios profesionales"/>
    <s v="ENERO"/>
    <n v="10"/>
    <n v="0"/>
    <n v="7373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s v="TH"/>
    <s v="25 - contrato de prestacion de servicios profesionales"/>
    <s v="ENERO"/>
    <n v="11"/>
    <n v="0"/>
    <n v="10203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s v="TH"/>
    <s v="26 - contrato de prestacion de servicios de apoyo a la gestion"/>
    <s v="ENERO"/>
    <n v="10"/>
    <n v="0"/>
    <n v="4289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s v="TH"/>
    <s v="25 - contrato de prestacion de servicios profesionales"/>
    <s v="ENERO"/>
    <n v="11"/>
    <n v="0"/>
    <n v="100272000"/>
    <s v="NO"/>
    <s v="Sub. Gestión Corporativa"/>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0"/>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s v="TH"/>
    <s v="25 - contrato de prestacion de servicios profesionales"/>
    <s v="ENERO"/>
    <n v="10"/>
    <n v="0"/>
    <n v="6032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s v="TH"/>
    <s v="26 - contrato de prestacion de servicios de apoyo a la gestion"/>
    <s v="ENERO"/>
    <n v="11"/>
    <n v="0"/>
    <n v="4718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s v="TH"/>
    <s v="25 - contrato de prestacion de servicios profesionales"/>
    <s v="ENERO"/>
    <n v="10"/>
    <n v="0"/>
    <n v="7373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s v="TH"/>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s v="TH"/>
    <s v="25 - contrato de prestacion de servicios profesionales"/>
    <s v="ENERO"/>
    <n v="11"/>
    <n v="0"/>
    <n v="75204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s v="TH"/>
    <s v="25 - contrato de prestacion de servicios profesionales"/>
    <s v="ENERO"/>
    <n v="11"/>
    <n v="0"/>
    <n v="75204000"/>
    <s v="NO"/>
    <s v="Sub. Gestión Corporativa"/>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0"/>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s v="TH"/>
    <s v="25 - contrato de prestacion de servicios profesionales"/>
    <s v="ENERO"/>
    <n v="11"/>
    <n v="0"/>
    <n v="75204000"/>
    <s v="NO"/>
    <s v="Sub. Gestión Corporativa"/>
    <s v="Fatima Veronica Quintero Nuñez"/>
    <x v="2"/>
    <s v="Subdirector@ de Gestión del Riesgo"/>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s v="PM/0131/0108/45030310255"/>
    <x v="0"/>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66357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s v="TH"/>
    <s v="25 - contrato de prestacion de servicios profesionales"/>
    <s v="ENERO"/>
    <n v="11"/>
    <n v="0"/>
    <n v="825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s v="TH"/>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s v="TH"/>
    <s v="26 - contrato de prestacion de servicios de apoyo a la gestion"/>
    <s v="ENERO"/>
    <n v="10"/>
    <n v="0"/>
    <n v="28151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s v="TH"/>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s v="TH"/>
    <s v="26 - contrato de prestacion de servicios de apoyo a la gestion"/>
    <s v="ENERO"/>
    <n v="11"/>
    <n v="0"/>
    <n v="4202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s v="TH"/>
    <s v="26 - contrato de prestacion de servicios de apoyo a la gestion"/>
    <s v="ENERO"/>
    <n v="11"/>
    <n v="0"/>
    <n v="3096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s v="TH"/>
    <s v="26 - contrato de prestacion de servicios de apoyo a la gestion"/>
    <s v="ENERO"/>
    <n v="11"/>
    <n v="0"/>
    <n v="4718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s v="TH"/>
    <s v="25 - contrato de prestacion de servicios profesionales"/>
    <s v="ENERO"/>
    <n v="11"/>
    <n v="0"/>
    <n v="100273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s v="TH"/>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s v="TH"/>
    <s v="26 - contrato de prestacion de servicios de apoyo a la gestion"/>
    <s v="ENERO"/>
    <n v="10"/>
    <n v="0"/>
    <n v="38205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s v="TH"/>
    <s v="25 - contrato de prestacion de servicios profesionales"/>
    <s v="ENERO"/>
    <n v="11"/>
    <n v="0"/>
    <n v="77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56772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s v="TH"/>
    <s v="25 - contrato de prestacion de servicios profesionales"/>
    <s v="ENERO"/>
    <n v="6"/>
    <n v="0"/>
    <n v="42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s v="TH"/>
    <s v="25 - contrato de prestacion de servicios profesionales"/>
    <s v="ENERO"/>
    <n v="6"/>
    <n v="0"/>
    <n v="42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s v="BS"/>
    <s v="03 - contrato de prestacion de servicios"/>
    <s v="FEBRERO"/>
    <n v="10"/>
    <n v="0"/>
    <n v="35500000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Si Secop "/>
    <s v="20260495-BS-8126-8-Contratar la prestación del servicio de aseo y cafetería incluido insumos para la Unidad Administrativa Especial Cuerpo Oficial de Bomberos Bogotá -SGC"/>
  </r>
  <r>
    <n v="20260496"/>
    <s v="Prestar el servicio y mantenimiento de equipos de higienización, desodorización y aromatización para la Unidad Administrativa Especial Cuerpo Oficial de Bomberos Bogotá-SGC"/>
    <s v="04 - contratación mínima cuantía"/>
    <s v="BS"/>
    <s v="08 - contrato de suministro"/>
    <s v="MAYO"/>
    <n v="8"/>
    <n v="0"/>
    <n v="16000000"/>
    <s v="NO"/>
    <s v="Sub. Gestión Corporativa"/>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Si Secop "/>
    <s v="20260496-BS-8126-8-Prestar el servicio y mantenimiento de equipos de higienización, desodorización y aromatización para la Unidad Administrativa Especial Cuerpo Oficial de Bomberos Bogotá-SGC"/>
  </r>
  <r>
    <n v="20260497"/>
    <s v="Mantenimiento preventivo y/o correctivo, y suministros de repuestos de los equipos gasodomésticos y solares y adecuaciones de las redes de gas natural para las Estaciones de la Unidad Administrativa Especial Cuerpo Oficial de Bomberos Bogotá -SGC"/>
    <s v="02 - selec. abrev. menor cuantía"/>
    <s v="BS"/>
    <s v="17 - contrato de mantenimiento"/>
    <s v="MAYO"/>
    <n v="8"/>
    <n v="0"/>
    <n v="50000000"/>
    <s v="NO"/>
    <s v="Sub. Gestión Corporativa"/>
    <s v="Fatima Veronica Quintero Nuñez"/>
    <x v="0"/>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2 - selec. abrev. menor cuantía"/>
    <s v="BS"/>
    <s v="17 - contrato de mantenimiento"/>
    <s v="MAYO"/>
    <n v="8"/>
    <n v="0"/>
    <n v="50000000"/>
    <s v="NO"/>
    <s v="Sub. Gestión Corporativa"/>
    <s v="Fatima Veronica Quintero Nuñez"/>
    <x v="0"/>
    <s v="Subdirector@ de Gestión Corporativa"/>
    <x v="0"/>
    <n v="7215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s v="BS"/>
    <s v="22 - contrato de adquisicion de bienes"/>
    <s v="MAYO"/>
    <n v="4"/>
    <n v="0"/>
    <n v="670000000"/>
    <s v="NO"/>
    <s v="Sub. Gestión Corporativa"/>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28"/>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s v="BS"/>
    <s v="17 - contrato de mantenimiento"/>
    <s v="MAYO"/>
    <n v="11"/>
    <n v="0"/>
    <n v="20000000"/>
    <s v="NO"/>
    <s v="Sub. Gestión Corporativa"/>
    <s v="Fatima Veronica Quintero Nuñez"/>
    <x v="0"/>
    <s v="Subdirector@ de Gestión Corporativa"/>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9"/>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s v="BS"/>
    <s v="17 - contrato de mantenimiento"/>
    <s v="MARZO"/>
    <n v="11"/>
    <n v="0"/>
    <n v="120000000"/>
    <s v="NO"/>
    <s v="Sub. Gestión Corporativa"/>
    <s v="Fatima Veronica Quintero Nuñez"/>
    <x v="0"/>
    <s v="Subdirector@ de Gestión Corporativa"/>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30"/>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s v="BS"/>
    <s v="17 - contrato de mantenimiento"/>
    <s v="ABRIL"/>
    <n v="10"/>
    <n v="0"/>
    <n v="180000000"/>
    <s v="NO"/>
    <s v="Sub. Gestión Corporativa"/>
    <s v="Fatima Veronica Quintero Nuñez"/>
    <x v="0"/>
    <s v="Subdirector@ de Gestión Corporativa"/>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0"/>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de las estaciones de bomberos de la  Unidad Administrativa Especial Cuerpo Oficial de Bomberos Bogotá -SGC"/>
    <s v="02 - selec. abrev. menor cuantía"/>
    <s v="BS"/>
    <s v="17 - contrato de mantenimiento"/>
    <s v="MARZO"/>
    <n v="10"/>
    <n v="0"/>
    <n v="180000000"/>
    <s v="NO"/>
    <s v="Sub. Gestión Corporativa"/>
    <s v="Fatima Veronica Quintero Nuñez"/>
    <x v="0"/>
    <s v="Subdirector@ de Gestión Corporativa"/>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31"/>
    <s v="Si Secop "/>
    <s v="20260503-BS-8126-8-Mantenimiento preventivo y correctivo de la red contraincendios  y sistemas de detención de alarmas contra incendios de las estaciones de bomberos de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s v="BS"/>
    <s v="05 - contrato de obra"/>
    <s v="MAYO"/>
    <n v="10"/>
    <n v="0"/>
    <n v="800472500"/>
    <s v="NO"/>
    <s v="Sub. Gestión Corporativa"/>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9"/>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s v="BS"/>
    <s v="14 - contrato de interventoria"/>
    <s v="MAYO"/>
    <n v="10"/>
    <n v="0"/>
    <n v="200000000"/>
    <s v="NO"/>
    <s v="Sub. Gestión Corporativa"/>
    <s v="Fatima Veronica Quintero Nuñez"/>
    <x v="0"/>
    <s v="Subdirector@ de Gestión Corporativa"/>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9"/>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s v="BS"/>
    <s v="17 - contrato de mantenimiento"/>
    <s v="ABRIL"/>
    <n v="10"/>
    <n v="0"/>
    <n v="127000000"/>
    <s v="NO"/>
    <s v="Sub. Gestión Corporativa"/>
    <s v="Fatima Veronica Quintero Nuñez"/>
    <x v="0"/>
    <s v="Subdirector@ de Gestión Corporativa"/>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9"/>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s v="BS"/>
    <s v="12 - resolucion"/>
    <s v="MAYO"/>
    <n v="0"/>
    <n v="0"/>
    <n v="60990220"/>
    <s v="NO"/>
    <s v="Sub. Gestión Corporativa"/>
    <s v="Fatima Veronica Quintero Nuñez"/>
    <x v="0"/>
    <s v="Subdirector@ de Gestión Corporativa"/>
    <x v="0"/>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509-BS-8126-8-Proceso para amparar el Pago de Pasivos exigibles "/>
  </r>
  <r>
    <n v="20260510"/>
    <s v="Realizar el mantenimiento preventivo, correctivo de puertas automatizadas para las salas de máquinas de las estaciones de la UAE Cuerpo Oficial de Bomberos-SGC"/>
    <s v="02 - selec. abrev. menor cuantía"/>
    <s v="BS"/>
    <s v="17 - contrato de mantenimiento"/>
    <s v="JUNIO"/>
    <n v="9"/>
    <n v="0"/>
    <n v="250000000"/>
    <s v="NO"/>
    <s v="Sub. Gestión Corporativa"/>
    <s v="Fatima Veronica Quintero Nuñez"/>
    <x v="0"/>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Si Secop "/>
    <s v="20260510-BS-8126-8-Realizar el mantenimiento preventivo, correctivo de puertas automatizadas para las salas de máquinas de las estaciones de la UAE Cuerpo Oficial de Bomberos-SGC"/>
  </r>
  <r>
    <n v="20260511"/>
    <s v="Construcción de la estación  Ferias  B-7  UAE Cuerpo Oficial de Bomberos de Bogotá – SGC"/>
    <s v="01 - licitación pública"/>
    <s v="BS"/>
    <s v="05 - contrato de obra"/>
    <s v="JULIO"/>
    <n v="15"/>
    <n v="0"/>
    <n v="2865426930"/>
    <s v="NO"/>
    <s v="Sub. Gestión Corporativa"/>
    <s v="Fatima Veronica Quintero Nuñez"/>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1-BS-8173-7-Construcción de la estación  Ferias  B-7  UAE Cuerpo Oficial de Bomberos de Bogotá – SGC"/>
  </r>
  <r>
    <n v="20260512"/>
    <s v="Construcción de la estación  Ferias  B-7  UAE Cuerpo Oficial de Bomberos de Bogotá – SGC"/>
    <s v="01 - licitación pública"/>
    <s v="BS"/>
    <s v="05 - contrato de obra"/>
    <s v="JULIO"/>
    <n v="15"/>
    <n v="0"/>
    <n v="279202000"/>
    <s v="NO"/>
    <s v="Sub. Gestión Corporativa"/>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2-BS-8173-7-Construcción de la estación  Ferias  B-7  UAE Cuerpo Oficial de Bomberos de Bogotá – SGC"/>
  </r>
  <r>
    <n v="20260513"/>
    <s v="Interventoría técnica, administrativa, financiera, contable, jurídica y ambiental para la construcción de la estación de bomberos Ferias B7 UAE Cuerpo Oficial de Bomberos de Bogotá – SGC"/>
    <s v="06 - concurso de méritos abierto"/>
    <s v="BS"/>
    <s v="14 - contrato de interventoria"/>
    <s v="JULIO"/>
    <n v="15"/>
    <n v="0"/>
    <n v="303000000"/>
    <s v="NO"/>
    <s v="Sub. Gestión Corporativa"/>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3-BS-8173-7-Interventoría técnica, administrativa, financiera, contable, jurídica y ambiental para la construcción de la estación de bomberos Ferias B7 UAE Cuerpo Oficial de Bomberos de Bogotá – SGC"/>
  </r>
  <r>
    <n v="20260514"/>
    <s v="Adecuación de la estación Nueva Estación de la UAE Cuerpo Oficial de Bomberos de Bogotá – SGC"/>
    <s v="01 - licitación pública"/>
    <s v="BS"/>
    <s v="05 - contrato de obra"/>
    <s v="JULIO"/>
    <n v="10"/>
    <n v="0"/>
    <n v="900000000"/>
    <s v="NO"/>
    <s v="Sub. Gestión Corporativa"/>
    <s v="Fatima Veronica Quintero Nuñez"/>
    <x v="2"/>
    <s v="Subdirector@ de Gestión del Riesgo"/>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9"/>
    <s v="Si Secop "/>
    <s v="20260514-BS-8173-8-Adecuación de la estación Nueva Estación de la UAE Cuerpo Oficial de Bomberos de Bogotá – SGC"/>
  </r>
  <r>
    <n v="20260515"/>
    <s v="Interventoría técnica, administrativa, financiera, contable, jurídica y ambiental para la Adecuación de la Nueva Estación de bomberos de la UAE Cuerpo Oficial de Bomberos de Bogotá – SGC"/>
    <s v="06 - concurso de méritos abierto"/>
    <s v="BS"/>
    <s v="14 - contrato de interventoria"/>
    <s v="JULIO"/>
    <n v="10"/>
    <n v="0"/>
    <n v="225000000"/>
    <s v="NO"/>
    <s v="Sub. Gestión Corporativa"/>
    <s v="Fatima Veronica Quintero Nuñez"/>
    <x v="2"/>
    <s v="Subdirector@ de Gestión del Riesgo"/>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9"/>
    <s v="Si Secop "/>
    <s v="20260515-BS-8173-8-Interventoría técnica, administrativa, financiera, contable, jurídica y ambiental para la Adecuación de la Nueva Estación de bomberos de la UAE Cuerpo Oficial de Bomberos de Bogotá – SGC"/>
  </r>
  <r>
    <n v="20260516"/>
    <s v="Adecuación de la estación de Bomberos Chapinero B1- de la UAE Cuerpo Oficial de Bomberos de Bogotá – SGC"/>
    <s v="01 - licitación pública"/>
    <s v="BS"/>
    <s v="05 - contrato de obra"/>
    <s v="JULIO"/>
    <n v="15"/>
    <n v="0"/>
    <n v="900000000"/>
    <s v="NO"/>
    <s v="Sub. Gestión Corporativa"/>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6-BS-8173-7-Adecuación de la estación de Bomberos Chapinero B1- de la UAE Cuerpo Oficial de Bomberos de Bogotá – SGC"/>
  </r>
  <r>
    <n v="20260517"/>
    <s v="Interventoría técnica, administrativa, financiera, contable, jurídica y ambiental para la Adecuación de la estación de Bomberos Chapinero B1- de la UAE Cuerpo Oficial de Bomberos de Bogotá – SGC"/>
    <s v="06 - concurso de méritos abierto"/>
    <s v="BS"/>
    <s v="14 - contrato de interventoria"/>
    <s v="JULIO"/>
    <n v="15"/>
    <n v="0"/>
    <n v="225000000"/>
    <s v="NO"/>
    <s v="Sub. Gestión Corporativa"/>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7-BS-8173-7-Interventoría técnica, administrativa, financiera, contable, jurídica y ambiental para la Adecuación de la estación de Bomberos Chapinero B1- de la UAE Cuerpo Oficial de Bomberos de Bogotá – SGC"/>
  </r>
  <r>
    <n v="20260518"/>
    <s v="Contratar el servicio de saneamiento ambiental, corte de césped, jardinería, poda y tala de árboles para las sedes (predios y/o estaciones) de la Unidad Administrativa Especial Cuerpo Oficial de Bomberos de Bogotá – SGC"/>
    <s v="02 - selec. abrev. menor cuantía"/>
    <s v="BS"/>
    <s v="03 - contrato de prestacion de servicios"/>
    <s v="ABRIL"/>
    <n v="11"/>
    <n v="0"/>
    <n v="297000000"/>
    <s v="NO"/>
    <s v="Sub. Gestión Corporativa"/>
    <s v="Fatima Veronica Quintero Nuñez"/>
    <x v="1"/>
    <s v="Subdirector@ de Gestión Corporativa"/>
    <x v="1"/>
    <s v="70111500;_x000a_72102100 ;_x000a_72102104;_x000a_76101503;_x000a_72154055;_x000a_70111703;_x000a_70111706;_x000a_70111503;_x000a_72153204;"/>
    <s v="No aplica"/>
    <s v="No a"/>
    <s v="l"/>
    <s v="NA"/>
    <s v="NA"/>
    <s v="NA"/>
    <s v="N/A"/>
    <s v="N/A"/>
    <s v="N/A-N/A"/>
    <s v="N/A"/>
    <s v="N/A"/>
    <s v="N/A_N/A"/>
    <s v="N/A-N/A N/A_N/A"/>
    <x v="1"/>
    <s v="N/A"/>
    <x v="6"/>
    <s v="Si Secop "/>
    <s v="20260518-BS-No a-l-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s v="BS"/>
    <s v="03 - contrato de prestacion de servicios"/>
    <s v="MAYO"/>
    <n v="8"/>
    <n v="0"/>
    <n v="30000000"/>
    <s v="NO"/>
    <s v="Sub. Gestión Corporativa"/>
    <s v="Fatima Veronica Quintero Nuñez"/>
    <x v="1"/>
    <s v="Subdirector@ de Gestión Corporativa"/>
    <x v="1"/>
    <s v="81141807;_x000a_40151517;_x000a_76121701;_x000a_83101506;"/>
    <s v="No aplica"/>
    <s v="No a"/>
    <s v="l"/>
    <s v="NA"/>
    <s v="NA"/>
    <s v="NA"/>
    <s v="N/A"/>
    <s v="N/A"/>
    <s v="N/A-N/A"/>
    <s v="N/A"/>
    <s v="N/A"/>
    <s v="N/A_N/A"/>
    <s v="N/A-N/A N/A_N/A"/>
    <x v="1"/>
    <s v="N/A"/>
    <x v="6"/>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s v="BS"/>
    <s v="27 - contrato de prestacion de servicios de mantenimiento"/>
    <s v="ABRIL"/>
    <n v="10"/>
    <n v="0"/>
    <n v="24000000"/>
    <s v="NO"/>
    <s v="Sub. Gestión Corporativa"/>
    <s v="Fatima Veronica Quintero Nuñez"/>
    <x v="1"/>
    <s v="Subdirector@ de Gestión Corporativa"/>
    <x v="1"/>
    <s v="91111602;_x000a_72154302;_x000a_47101568;_x000a_49241712;"/>
    <s v="No aplica"/>
    <s v="No a"/>
    <s v="l"/>
    <s v="NA"/>
    <s v="NA"/>
    <s v="NA"/>
    <s v="N/A"/>
    <s v="N/A"/>
    <s v="N/A-N/A"/>
    <s v="N/A"/>
    <s v="N/A"/>
    <s v="N/A_N/A"/>
    <s v="N/A-N/A N/A_N/A"/>
    <x v="1"/>
    <s v="N/A"/>
    <x v="6"/>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ENERO"/>
    <n v="1"/>
    <n v="0"/>
    <n v="17698013"/>
    <s v="NO"/>
    <s v="Sub. Gestión Corporativa"/>
    <s v="Fatima Veronica Quintero Nuñez"/>
    <x v="1"/>
    <s v="Subdirector@ de Gestión Corporativa"/>
    <x v="1"/>
    <s v="78102206;"/>
    <s v="No aplica"/>
    <s v="No a"/>
    <s v="l"/>
    <s v="NA"/>
    <s v="NA"/>
    <s v="NA"/>
    <s v="N/A"/>
    <s v="N/A"/>
    <s v="N/A-N/A"/>
    <s v="N/A"/>
    <s v="N/A"/>
    <s v="N/A_N/A"/>
    <s v="N/A-N/A N/A_N/A"/>
    <x v="1"/>
    <s v="N/A"/>
    <x v="6"/>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MARZO"/>
    <n v="8"/>
    <n v="0"/>
    <n v="88070951"/>
    <s v="NO"/>
    <s v="Sub. Gestión Corporativa"/>
    <s v="Fatima Veronica Quintero Nuñez"/>
    <x v="1"/>
    <s v="Subdirector@ de Gestión Corporativa"/>
    <x v="1"/>
    <s v="78102206;"/>
    <s v="No aplica"/>
    <s v="No a"/>
    <s v="l"/>
    <s v="NA"/>
    <s v="NA"/>
    <s v="NA"/>
    <s v="N/A"/>
    <s v="N/A"/>
    <s v="N/A-N/A"/>
    <s v="N/A"/>
    <s v="N/A"/>
    <s v="N/A_N/A"/>
    <s v="N/A-N/A N/A_N/A"/>
    <x v="1"/>
    <s v="N/A"/>
    <x v="6"/>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s v="BS"/>
    <s v="03 - contrato de prestacion de servicios"/>
    <s v="FEBRERO"/>
    <n v="10"/>
    <n v="0"/>
    <n v="755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x v="1"/>
    <s v="N/A"/>
    <x v="6"/>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s v="BS"/>
    <s v="03 - contrato de prestacion de servicios"/>
    <s v="FEBRERO"/>
    <n v="10"/>
    <n v="0"/>
    <n v="388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x v="1"/>
    <s v="N/A"/>
    <x v="6"/>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s v="BS"/>
    <s v="08 - contrato de suministro"/>
    <s v="ABRIL"/>
    <n v="8"/>
    <n v="0"/>
    <n v="85000000"/>
    <s v="NO"/>
    <s v="Sub. Gestión Corporativa"/>
    <s v="Fatima Veronica Quintero Nuñez"/>
    <x v="1"/>
    <s v="Subdirector@ de Gestión Corporativa"/>
    <x v="1"/>
    <s v="14111500;_x000a_14111800;_x000a_44121700; _x000a_44121800; _x000a_44122000; _x000a_44122100;_x000a_44121600;_x000a_60101900;_x000a_27112300;_x000a_60105700;"/>
    <s v="No aplica"/>
    <s v="No a"/>
    <s v="l"/>
    <s v="NA"/>
    <s v="NA"/>
    <s v="NA"/>
    <s v="N/A"/>
    <s v="N/A"/>
    <s v="N/A-N/A"/>
    <s v="N/A"/>
    <s v="N/A"/>
    <s v="N/A_N/A"/>
    <s v="N/A-N/A N/A_N/A"/>
    <x v="1"/>
    <s v="N/A"/>
    <x v="6"/>
    <s v="Si Secop "/>
    <s v="20260525-BS-No a-l-Suministro  de implementos  de  papelería y oficina para las dependencias  para la Unidad Administrativa Especial Cuerpo Oficial de Bomberos Bogotá -SGC"/>
  </r>
  <r>
    <n v="20260526"/>
    <s v="Suministro de insumos para las impresoras de las dependencias  para la Unidad Administrativa Especial Cuerpo Oficial de Bomberos Bogotá -SGC"/>
    <s v="03 - selec. abrev. subasta inversa"/>
    <s v="BS"/>
    <s v="08 - contrato de suministro"/>
    <s v="ABRIL"/>
    <n v="8"/>
    <n v="0"/>
    <n v="205000000"/>
    <s v="NO"/>
    <s v="Sub. Gestión Corporativa"/>
    <s v="Fatima Veronica Quintero Nuñez"/>
    <x v="1"/>
    <s v="Subdirector@ de Gestión Corporativa"/>
    <x v="1"/>
    <s v="14111500; _x000a_24112400; _x000a_44111500; _x000a_44121800; _x000a_31201500; _x000a_27112300; _x000a_44121700; _x000a_44121600"/>
    <s v="No aplica"/>
    <s v="No a"/>
    <s v="l"/>
    <s v="NA"/>
    <s v="NA"/>
    <s v="NA"/>
    <s v="N/A"/>
    <s v="N/A"/>
    <s v="N/A-N/A"/>
    <s v="N/A"/>
    <s v="N/A"/>
    <s v="N/A_N/A"/>
    <s v="N/A-N/A N/A_N/A"/>
    <x v="1"/>
    <s v="N/A"/>
    <x v="6"/>
    <s v="Si Secop "/>
    <s v="20260526-BS-No a-l-Suministro de insumos para las impresoras de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000000000"/>
    <s v="NO"/>
    <s v="Sub. Gestión Corporativa"/>
    <s v="Fatima Veronica Quintero Nuñez"/>
    <x v="1"/>
    <s v="Subdirector@ de Gestión Corporativa"/>
    <x v="1"/>
    <s v="92121500;"/>
    <s v="No aplica"/>
    <s v="No a"/>
    <s v="l"/>
    <s v="NA"/>
    <s v="NA"/>
    <s v="NA"/>
    <s v="N/A"/>
    <s v="N/A"/>
    <s v="N/A-N/A"/>
    <s v="N/A"/>
    <s v="N/A"/>
    <s v="N/A_N/A"/>
    <s v="N/A-N/A N/A_N/A"/>
    <x v="1"/>
    <s v="N/A"/>
    <x v="6"/>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s v="BS"/>
    <s v="08 - contrato de suministro"/>
    <s v="MARZO"/>
    <n v="7"/>
    <n v="0"/>
    <n v="48900000"/>
    <s v="NO"/>
    <s v="Sub. Gestión Corporativa"/>
    <s v="Fatima Veronica Quintero Nuñez"/>
    <x v="1"/>
    <s v="Subdirector@ de Gestión Corporativa"/>
    <x v="1"/>
    <s v="56101500; _x000a_56101700; _x000a_56101900; _x000a_56111500; _x000a_48101800;_x000a_48101915;_x000a_24112601;_x000a_49121509;"/>
    <s v="No aplica"/>
    <s v="No a"/>
    <s v="l"/>
    <s v="NA"/>
    <s v="NA"/>
    <s v="NA"/>
    <s v="N/A"/>
    <s v="N/A"/>
    <s v="N/A-N/A"/>
    <s v="N/A"/>
    <s v="N/A"/>
    <s v="N/A_N/A"/>
    <s v="N/A-N/A N/A_N/A"/>
    <x v="1"/>
    <s v="N/A"/>
    <x v="6"/>
    <s v="Si Secop "/>
    <s v="20260528-BS-No a-l-Suministro de insumos para lavandería-SGC"/>
  </r>
  <r>
    <n v="20260529"/>
    <s v="Arrendamiento de instalaciones estación Ferias-SGC"/>
    <s v="09 - contratación directa"/>
    <s v="BS"/>
    <s v="07 - contrato de arrendamiento"/>
    <s v="ENERO"/>
    <n v="12"/>
    <n v="0"/>
    <n v="178000000"/>
    <s v="NO"/>
    <s v="Sub. Gestión Corporativa"/>
    <s v="Fatima Veronica Quintero Nuñez"/>
    <x v="1"/>
    <s v="Subdirector@ de Gestión Corporativa"/>
    <x v="1"/>
    <s v="80131502;"/>
    <s v="No aplica"/>
    <s v="No a"/>
    <s v="l"/>
    <s v="NA"/>
    <s v="NA"/>
    <s v="NA"/>
    <s v="N/A"/>
    <s v="N/A"/>
    <s v="N/A-N/A"/>
    <s v="N/A"/>
    <s v="N/A"/>
    <s v="N/A_N/A"/>
    <s v="N/A-N/A N/A_N/A"/>
    <x v="1"/>
    <s v="N/A"/>
    <x v="6"/>
    <s v="Si Secop "/>
    <s v="20260529-BS-No a-l-Arrendamiento de instalaciones estación Ferias-SGC"/>
  </r>
  <r>
    <n v="20260530"/>
    <s v="Adición y prórroga No. 1 al contrato 491 de 2025 que tiene como objeto “Mantenimiento ascensor nueva Estación de Bomberos de Fontibón-SGC"/>
    <s v="09 - contratación directa"/>
    <s v="BS"/>
    <s v="17 - contrato de mantenimiento"/>
    <s v="MAYO"/>
    <n v="2"/>
    <n v="0"/>
    <n v="2200000"/>
    <s v="NO"/>
    <s v="Sub. Gestión Corporativa"/>
    <s v="Fatima Veronica Quintero Nuñez"/>
    <x v="1"/>
    <s v="Subdirector@ de Gestión Corporativa"/>
    <x v="1"/>
    <s v="72101506;_x000a_72154010;"/>
    <s v="No aplica"/>
    <s v="No a"/>
    <s v="l"/>
    <s v="NA"/>
    <s v="NA"/>
    <s v="NA"/>
    <s v="N/A"/>
    <s v="N/A"/>
    <s v="N/A-N/A"/>
    <s v="N/A"/>
    <s v="N/A"/>
    <s v="N/A_N/A"/>
    <s v="N/A-N/A N/A_N/A"/>
    <x v="1"/>
    <s v="N/A"/>
    <x v="6"/>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s v="BS"/>
    <s v="17 - contrato de mantenimiento"/>
    <s v="AGOSTO"/>
    <n v="6"/>
    <n v="0"/>
    <n v="11700000"/>
    <s v="NO"/>
    <s v="Sub. Gestión Corporativa"/>
    <s v="Fatima Veronica Quintero Nuñez"/>
    <x v="1"/>
    <s v="Subdirector@ de Gestión Corporativa"/>
    <x v="1"/>
    <s v="72101506;_x000a_72154010;"/>
    <s v="No aplica"/>
    <s v="No a"/>
    <s v="l"/>
    <s v="NA"/>
    <s v="NA"/>
    <s v="NA"/>
    <s v="N/A"/>
    <s v="N/A"/>
    <s v="N/A-N/A"/>
    <s v="N/A"/>
    <s v="N/A"/>
    <s v="N/A_N/A"/>
    <s v="N/A-N/A N/A_N/A"/>
    <x v="1"/>
    <s v="N/A"/>
    <x v="6"/>
    <s v="Si Secop "/>
    <s v="20260531-BS-No a-l-Mantenimiento correctivo y preventivo con suministro de repuestos para el ascensor estación de bomberos Fontibón B6 -SGC"/>
  </r>
  <r>
    <n v="20260532"/>
    <s v="Adición y prórroga No. 1 al contrato 586 de 2025 que tiene como objeto “Mantenimiento correctivo y preventivo con suministro de repuestos para los ascensores edificio comando-SGC"/>
    <s v="09 - contratación directa"/>
    <s v="BS"/>
    <s v="17 - contrato de mantenimiento"/>
    <s v="ABRIL"/>
    <n v="2"/>
    <n v="0"/>
    <n v="9235000"/>
    <s v="NO"/>
    <s v="Sub. Gestión Corporativa"/>
    <s v="Fatima Veronica Quintero Nuñez"/>
    <x v="1"/>
    <s v="Subdirector@ de Gestión Corporativa"/>
    <x v="1"/>
    <s v="72101506;_x000a_72154010;"/>
    <s v="No aplica"/>
    <s v="No a"/>
    <s v="l"/>
    <s v="NA"/>
    <s v="NA"/>
    <s v="NA"/>
    <s v="N/A"/>
    <s v="N/A"/>
    <s v="N/A-N/A"/>
    <s v="N/A"/>
    <s v="N/A"/>
    <s v="N/A_N/A"/>
    <s v="N/A-N/A N/A_N/A"/>
    <x v="1"/>
    <s v="N/A"/>
    <x v="6"/>
    <s v="No Secop"/>
    <s v="20260532-BS-No a-l-Adición y prórroga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s v="BS"/>
    <s v="17 - contrato de mantenimiento"/>
    <s v="AGOSTO"/>
    <n v="7"/>
    <n v="0"/>
    <n v="21565000"/>
    <s v="NO"/>
    <s v="Sub. Gestión Corporativa"/>
    <s v="Fatima Veronica Quintero Nuñez"/>
    <x v="1"/>
    <s v="Subdirector@ de Gestión Corporativa"/>
    <x v="1"/>
    <s v="72101506;_x000a_72154010;"/>
    <s v="No aplica"/>
    <s v="No a"/>
    <s v="l"/>
    <s v="NA"/>
    <s v="NA"/>
    <s v="NA"/>
    <s v="N/A"/>
    <s v="N/A"/>
    <s v="N/A-N/A"/>
    <s v="N/A"/>
    <s v="N/A"/>
    <s v="N/A_N/A"/>
    <s v="N/A-N/A N/A_N/A"/>
    <x v="1"/>
    <s v="N/A"/>
    <x v="6"/>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s v="BS"/>
    <s v="17 - contrato de mantenimiento"/>
    <s v="ABRIL"/>
    <n v="2"/>
    <n v="0"/>
    <n v="3000000"/>
    <s v="NO"/>
    <s v="Sub. Gestión Corporativa"/>
    <s v="Fatima Veronica Quintero Nuñez"/>
    <x v="1"/>
    <s v="Subdirector@ de Gestión Corporativa"/>
    <x v="1"/>
    <s v="72101506;_x000a_72154010;"/>
    <s v="No aplica"/>
    <s v="No a"/>
    <s v="l"/>
    <s v="NA"/>
    <s v="NA"/>
    <s v="NA"/>
    <s v="N/A"/>
    <s v="N/A"/>
    <s v="N/A-N/A"/>
    <s v="N/A"/>
    <s v="N/A"/>
    <s v="N/A_N/A"/>
    <s v="N/A-N/A N/A_N/A"/>
    <x v="1"/>
    <s v="N/A"/>
    <x v="6"/>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s v="BS"/>
    <s v="17 - contrato de mantenimiento"/>
    <s v="AGOSTO"/>
    <n v="7"/>
    <n v="0"/>
    <n v="10800000"/>
    <s v="NO"/>
    <s v="Sub. Gestión Corporativa"/>
    <s v="Fatima Veronica Quintero Nuñez"/>
    <x v="1"/>
    <s v="Subdirector@ de Gestión Corporativa"/>
    <x v="1"/>
    <s v="72101506;_x000a_72154010;"/>
    <s v="No aplica"/>
    <s v="No a"/>
    <s v="l"/>
    <s v="NA"/>
    <s v="NA"/>
    <s v="NA"/>
    <s v="N/A"/>
    <s v="N/A"/>
    <s v="N/A-N/A"/>
    <s v="N/A"/>
    <s v="N/A"/>
    <s v="N/A_N/A"/>
    <s v="N/A-N/A N/A_N/A"/>
    <x v="1"/>
    <s v="N/A"/>
    <x v="6"/>
    <s v="Si Secop "/>
    <s v="20260535-BS-No a-l-Mantenimiento correctivo y preventivo con suministro de repuestos ascensor estación de bomberos Bellavista B-9 - SGC"/>
  </r>
  <r>
    <n v="20260536"/>
    <s v="Prestación del servicio para inspección y certificación correspondientes a los sistemas de transporte vertical (ascensores) a cargo de la Unidad Administrativa Especial Cuerpo Oficial de Bomberos Bogotá D.C – SGC"/>
    <s v="04 - contratación mínima cuantía"/>
    <s v="BS"/>
    <s v="03 - contrato de prestacion de servicios"/>
    <s v="SEPTIEMBRE"/>
    <n v="2"/>
    <n v="0"/>
    <n v="1500000"/>
    <s v="NO"/>
    <s v="Sub. Gestión Corporativa"/>
    <s v="Fatima Veronica Quintero Nuñez"/>
    <x v="1"/>
    <s v="Subdirector@ de Gestión Corporativa"/>
    <x v="1"/>
    <s v="81141503;_x000a_81141804;"/>
    <s v="No aplica"/>
    <s v="No a"/>
    <s v="l"/>
    <s v="NA"/>
    <s v="NA"/>
    <s v="NA"/>
    <s v="N/A"/>
    <s v="N/A"/>
    <s v="N/A-N/A"/>
    <s v="N/A"/>
    <s v="N/A"/>
    <s v="N/A_N/A"/>
    <s v="N/A-N/A N/A_N/A"/>
    <x v="1"/>
    <s v="N/A"/>
    <x v="6"/>
    <s v="Si Secop "/>
    <s v="20260536-BS-No a-l-Prestación del servicio para inspección y certificación correspondientes a los sistemas de transporte vertical (ascensores) a cargo de la Unidad Administrativa Especial Cuerpo Oficial de Bomberos Bogotá D.C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s v="BS"/>
    <s v="15 - contrato de seguros"/>
    <s v="ABRIL"/>
    <n v="12"/>
    <n v="0"/>
    <n v="6415727800"/>
    <s v="NO"/>
    <s v="Sub. Gestión Corporativa"/>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s v="N/A"/>
    <x v="6"/>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6 - contrato de compraventa"/>
    <s v="BS"/>
    <s v="04 - contratación mínima cuantía"/>
    <s v="MARZO"/>
    <n v="3"/>
    <n v="0"/>
    <n v="62000000"/>
    <s v="NO"/>
    <s v="Sub. Gestión Corporativa"/>
    <s v="Fatima Veronica Quintero Nuñez"/>
    <x v="2"/>
    <s v="Subdirector@ de Gestión del Riesgo"/>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16"/>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s v="TH"/>
    <s v="25 - contrato de prestacion de servicios profesionales"/>
    <s v="FEBRERO"/>
    <n v="11"/>
    <n v="0"/>
    <n v="616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s v="TH"/>
    <s v="25 - contrato de prestacion de servicios profesionales"/>
    <s v="FEBRERO"/>
    <n v="11"/>
    <n v="0"/>
    <n v="88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s v="TH"/>
    <s v="25 - contrato de prestacion de servicios profesionales"/>
    <s v="FEBRERO"/>
    <n v="11"/>
    <n v="0"/>
    <n v="557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s v="TH"/>
    <s v="25 - contrato de prestacion de servicios profesionales"/>
    <s v="FEBRERO"/>
    <n v="11"/>
    <n v="0"/>
    <n v="1111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s v="TH"/>
    <s v="25 - contrato de prestacion de servicios profesionales"/>
    <s v="FEBRERO"/>
    <n v="11"/>
    <n v="0"/>
    <n v="616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s v="TH"/>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s v="TH"/>
    <s v="26 - contrato de prestacion de servicios de apoyo a la gestion"/>
    <s v="FEBRERO"/>
    <n v="11"/>
    <n v="0"/>
    <n v="506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s v="TH"/>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s v="TH"/>
    <s v="26 - contrato de prestacion de servicios de apoyo a la gestion"/>
    <s v="FEBRERO"/>
    <n v="11"/>
    <n v="0"/>
    <n v="434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s v="TH"/>
    <s v="25 - contrato de prestacion de servicios profesionales"/>
    <s v="FEBRERO"/>
    <n v="10"/>
    <n v="0"/>
    <n v="36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s v="TH"/>
    <s v="25 - contrato de prestacion de servicios profesionales"/>
    <s v="FEBRERO"/>
    <n v="11"/>
    <n v="0"/>
    <n v="1012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s v="TH"/>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s v="TH"/>
    <s v="25 - contrato de prestacion de servicios profesionales"/>
    <s v="FEBRERO"/>
    <n v="11"/>
    <n v="0"/>
    <n v="110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s v="TH"/>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s v="TH"/>
    <s v="25 - contrato de prestacion de servicios profesionales"/>
    <s v="FEBRERO"/>
    <n v="10"/>
    <n v="0"/>
    <n v="783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s v="TH"/>
    <s v="25 - contrato de prestacion de servicios profesionales"/>
    <s v="FEBRERO"/>
    <n v="10"/>
    <n v="0"/>
    <n v="107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5-TH-8126-1-Prestar servicios profesionales especializados en la Dirección General de la UAECOB en la organización y liderazgo de los asuntos relacionados con comunicaciones de conformidad a la misionalidad de la entidad."/>
  </r>
  <r>
    <n v="20260556"/>
    <s v="Prestación de servicios profesionales en la Dirección en comunicaciones y prensa, para apoyar la difusión de la información al público interno y externo de la UAECOB."/>
    <s v="09 - contratación directa"/>
    <s v="TH"/>
    <s v="25 - contrato de prestacion de servicios profesionales"/>
    <s v="FEBRERO"/>
    <n v="10"/>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6-TH-8126-1-Prestación de servicios profesionales en la Dirección en comunicaciones y prensa, para apoyar la difusión de la información al público interno y externo de la UAECOB."/>
  </r>
  <r>
    <n v="20260557"/>
    <s v="Prestar servicios de apoyo para la gestión en asuntos de comunicaciones y prensa en la Dirección General, y demás acciones encaminadas al cumplimiento de las estrategias comunicacionales de la UAECOB"/>
    <s v="09 - contratación directa"/>
    <s v="TH"/>
    <s v="26 - contrato de prestacion de servicios de apoyo a la gestion"/>
    <s v="FEBRERO"/>
    <n v="10"/>
    <n v="0"/>
    <n v="23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s v="TH"/>
    <s v="25 - contrato de prestacion de servicios profesionales"/>
    <s v="FEBRERO"/>
    <n v="10"/>
    <n v="0"/>
    <n v="70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s v="TH"/>
    <s v="25 - contrato de prestacion de servicios profesionales"/>
    <s v="FEBRERO"/>
    <n v="10"/>
    <n v="0"/>
    <n v="82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s v="TH"/>
    <s v="25 - contrato de prestacion de servicios profesionales"/>
    <s v="FEBRERO"/>
    <n v="10"/>
    <n v="0"/>
    <n v="65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s v="TH"/>
    <s v="25 - contrato de prestacion de servicios profesionales"/>
    <s v="FEBRERO"/>
    <n v="10"/>
    <n v="0"/>
    <n v="62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s v="TH"/>
    <s v="25 - contrato de prestacion de servicios profesionales"/>
    <s v="FEBRERO"/>
    <n v="10"/>
    <n v="0"/>
    <n v="65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s v="TH"/>
    <s v="26 - contrato de prestacion de servicios de apoyo a la gestion"/>
    <s v="FEBRERO"/>
    <n v="10"/>
    <n v="0"/>
    <n v="23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s v="TH"/>
    <s v="25 - contrato de prestacion de servicios profesionales"/>
    <s v="FEBRERO"/>
    <n v="10"/>
    <n v="0"/>
    <n v="100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s v="TH"/>
    <s v="25 - contrato de prestacion de servicios profesionales"/>
    <s v="FEBRERO"/>
    <n v="10"/>
    <n v="0"/>
    <n v="54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s v="TH"/>
    <s v="25 - contrato de prestacion de servicios profesionales"/>
    <s v="FEBRERO"/>
    <n v="10"/>
    <n v="0"/>
    <n v="54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s v="TH"/>
    <s v="26 - contrato de prestacion de servicios de apoyo a la gestion"/>
    <s v="FEBRERO"/>
    <n v="10"/>
    <n v="0"/>
    <n v="21775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7-TH-8126-1-Prestar servicios a la Dirección General en la conducción, traslado y movilización de personal, equipos y materiales, garantizando el cumplimiento de las operaciones logísticas y misionales del Cuerpo Oficial de Bomberos de Bogotá"/>
  </r>
  <r>
    <n v="20260568"/>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s v="TH"/>
    <s v="25 - contrato de prestacion de servicios profesionales"/>
    <s v="FEBRERO"/>
    <n v="10"/>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569"/>
    <s v="Prestación de servicios profesionales en la Dirección para el acompañamiento en las labores de gestión administrativa, en asuntos propios de comunicaciones y prensa de la UAECOB"/>
    <s v="09 - contratación directa"/>
    <s v="TH"/>
    <s v="25 - contrato de prestacion de servicios profesionales"/>
    <s v="JULIO"/>
    <n v="7"/>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9-TH-8126-1-Prestación de servicios profesionales en la Dirección para el acompañamiento en las labores de gestión administrativa, en asuntos propios de comunicaciones y prensa de la UAECOB"/>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s v="TH"/>
    <s v="25 - contrato de prestacion de servicios profesionales"/>
    <s v="FEBRERO"/>
    <n v="6"/>
    <n v="0"/>
    <n v="552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s v="BS"/>
    <s v="24 - contrato de servicio"/>
    <s v="ABRIL"/>
    <n v="10"/>
    <n v="0"/>
    <n v="400000000"/>
    <s v="NO"/>
    <s v="Dirección"/>
    <s v="Paula Ximena Henao Escobar"/>
    <x v="0"/>
    <s v="Subdirector@ de Gestión Corporativa"/>
    <x v="0"/>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32"/>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s v="TH"/>
    <s v="25 - contrato de prestacion de servicios profesionales"/>
    <s v="ENERO"/>
    <n v="6"/>
    <n v="0"/>
    <n v="30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s v="TH"/>
    <s v="25 - contrato de prestacion de servicios profesionales"/>
    <s v="ENERO"/>
    <n v="6"/>
    <n v="0"/>
    <n v="36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s v="TH"/>
    <s v="25 - contrato de prestacion de servicios profesionales"/>
    <s v="ENERO"/>
    <n v="6"/>
    <n v="0"/>
    <n v="546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s v="TH"/>
    <s v="25 - contrato de prestacion de servicios profesionales"/>
    <s v="ENERO"/>
    <n v="8"/>
    <n v="0"/>
    <n v="56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s v="TH"/>
    <s v="25 - contrato de prestacion de servicios profesionales"/>
    <s v="FEBRERO"/>
    <n v="6"/>
    <n v="0"/>
    <n v="408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s v="TH"/>
    <s v="26 - contrato de prestacion de servicios de apoyo a la gestion"/>
    <s v="ENERO"/>
    <n v="6"/>
    <n v="0"/>
    <n v="216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s v="TH"/>
    <s v="26 - contrato de prestacion de servicios de apoyo a la gestion"/>
    <s v="ENERO"/>
    <n v="5"/>
    <n v="0"/>
    <n v="16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s v="TH"/>
    <s v="26 - contrato de prestacion de servicios de apoyo a la gestion"/>
    <s v="ENERO"/>
    <n v="5"/>
    <n v="0"/>
    <n v="21388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s v="TH"/>
    <s v="26 - contrato de prestacion de servicios de apoyo a la gestion"/>
    <s v="ENERO"/>
    <n v="6"/>
    <n v="0"/>
    <n v="1968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s v="TH"/>
    <s v="26 - contrato de prestacion de servicios de apoyo a la gestion"/>
    <s v="ENERO"/>
    <n v="6"/>
    <n v="0"/>
    <n v="1968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s v="TH"/>
    <s v="25 - contrato de prestacion de servicios profesionales"/>
    <s v="ENERO"/>
    <n v="6"/>
    <n v="0"/>
    <n v="33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s v="TH"/>
    <s v="26 - contrato de prestacion de servicios de apoyo a la gestion"/>
    <s v="ENERO"/>
    <n v="6"/>
    <n v="0"/>
    <n v="24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7"/>
    <n v="0"/>
    <n v="217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584-TH-8173-2-Prestación de servicios de apoyo al proceso de comunicaciones en emergencias del centro de coordinación y comunicaciones (c.c.c.), para el desarrollo de los programas a cargo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s v="TH"/>
    <s v="25 - contrato de prestacion de servicios profesionales"/>
    <s v="ENERO"/>
    <n v="11"/>
    <n v="0"/>
    <n v="66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s v="TH"/>
    <s v="25 - contrato de prestacion de servicios profesionales"/>
    <s v="ENERO"/>
    <n v="6"/>
    <n v="0"/>
    <n v="36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s v="TH"/>
    <s v="25 - contrato de prestacion de servicios profesionales"/>
    <s v="ENERO"/>
    <n v="6"/>
    <n v="0"/>
    <n v="36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s v="BS"/>
    <s v="08 - contrato de suministro"/>
    <s v="MARZO"/>
    <n v="1"/>
    <n v="12"/>
    <n v="2386600"/>
    <s v="NO"/>
    <s v="Sub. Gestión Corporativa"/>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s v="TH"/>
    <s v="25 - contrato de prestacion de servicios profesionales"/>
    <s v="ENERO"/>
    <n v="10"/>
    <n v="0"/>
    <n v="5161087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6"/>
    <n v="0"/>
    <n v="19705968"/>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s v="TH"/>
    <s v="26 - contrato de prestacion de servicios de apoyo a la gestion"/>
    <s v="ENERO"/>
    <n v="6"/>
    <n v="0"/>
    <n v="19705968"/>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s v="TH"/>
    <s v="25 - contrato de prestacion de servicios profesionales"/>
    <s v="ENERO"/>
    <n v="10"/>
    <n v="0"/>
    <n v="5161087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94-TH-8126-9-Prestación de servicios profesionales, en temas jurídicos de la gestión administrativa a cargo de la Subdirección de Gestión Corporativa.- SGC"/>
  </r>
  <r>
    <n v="20260595"/>
    <s v="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s v="03 - selec. abrev. subasta inversa"/>
    <s v="BS"/>
    <s v="17 - contrato de mantenimiento"/>
    <s v="FEBRERO"/>
    <n v="0"/>
    <n v="0"/>
    <n v="20000000"/>
    <s v="NO"/>
    <s v="Sub. Gestión Corporativa"/>
    <s v="Fatima Veronica Quintero Nuñez"/>
    <x v="0"/>
    <s v="Subdirector@ de Gestión Corporativa"/>
    <x v="0"/>
    <s v="72151001;_x000a_72101503;_x000a_72101504;_x000a_ 72101506; _x000a_72153208;_x000a_ 7215401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No Secop"/>
    <s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s v="BS"/>
    <s v="15 - contrato de seguros"/>
    <s v="ABRIL"/>
    <n v="3"/>
    <n v="12"/>
    <n v="2066812200"/>
    <s v="NO"/>
    <s v="Sub. Gestión Corporativa"/>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s v="N/A"/>
    <x v="6"/>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s v="BS"/>
    <s v="15 - contrato de seguros"/>
    <s v="JUNIO"/>
    <n v="0"/>
    <n v="365"/>
    <n v="60000000"/>
    <s v="NO"/>
    <s v="Sub. Gestión Corporativa"/>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s v="N/A"/>
    <x v="6"/>
    <s v="No Secop"/>
    <s v="20260597-BS-No a-l-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x v="1"/>
    <s v="N/A"/>
    <x v="6"/>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25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x v="1"/>
    <s v="N/A"/>
    <x v="6"/>
    <s v="No Secop"/>
    <s v="20260600-BS-No a-l-Adición y prórroga No. 2 al contrato 597 de 2025  que tiene como objeto &quot; Contratar la prestación del servicio de aseo y cafetería incluido insumos para la UAE Cuerpo Oficial de Bomberos -SGC"/>
  </r>
  <r>
    <n v="20260601"/>
    <s v="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s v=" 04 - contratación mínima cuantía "/>
    <s v="BS"/>
    <s v=" 04 - contratación mínima cuantía "/>
    <s v="ENERO"/>
    <n v="0"/>
    <n v="0"/>
    <n v="23000000"/>
    <s v="NO"/>
    <s v="Sub. Gestión Corporativa"/>
    <s v="Fatima Veronica Quintero Nuñez"/>
    <x v="0"/>
    <s v="Subdirector@ de Gestión Corporativa"/>
    <x v="0"/>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9"/>
    <s v="No Secop"/>
    <s v="20260601-BS-8126-8-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4"/>
    <n v="0"/>
    <n v="2203567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s v="BS"/>
    <s v="08 - contrato de suministro"/>
    <s v="MAYO"/>
    <n v="4"/>
    <n v="0"/>
    <n v="30000000"/>
    <s v="NO"/>
    <s v="Sub. Gestión Corporativa"/>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28"/>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s v="TH"/>
    <s v="25 - contrato de prestacion de servicios profesionales"/>
    <s v="FEBRERO"/>
    <n v="10"/>
    <n v="0"/>
    <n v="5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s v="TH"/>
    <s v="25 - contrato de prestacion de servicios profesionales"/>
    <s v="FEBRERO"/>
    <n v="5"/>
    <n v="15"/>
    <n v="539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s v="TH"/>
    <s v="25 - contrato de prestacion de servicios profesionales"/>
    <s v="FEBRERO"/>
    <n v="5"/>
    <n v="0"/>
    <n v="50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s v="TH"/>
    <s v="25 - contrato de prestacion de servicios profesionales"/>
    <s v="FEBRERO"/>
    <n v="5"/>
    <n v="0"/>
    <n v="30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s v="TH"/>
    <s v="25 - contrato de prestacion de servicios profesionales"/>
    <s v="FEBRERO"/>
    <n v="5"/>
    <n v="0"/>
    <n v="22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s v="TH"/>
    <s v="25 - contrato de prestacion de servicios profesionales"/>
    <s v="FEBRERO"/>
    <n v="5"/>
    <n v="0"/>
    <n v="22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s v="TH"/>
    <s v="26 - contrato de prestacion de servicios de apoyo a la gestion"/>
    <s v="FEBRERO"/>
    <n v="5"/>
    <n v="0"/>
    <n v="17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s v="TH"/>
    <s v="25 - contrato de prestacion de servicios profesionales"/>
    <s v="FEBRERO"/>
    <n v="5"/>
    <n v="0"/>
    <n v="26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s v="TH"/>
    <s v="26 - contrato de prestacion de servicios de apoyo a la gestion"/>
    <s v="FEBRERO"/>
    <n v="11"/>
    <n v="0"/>
    <n v="473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s v="BS"/>
    <s v="11 - orden de prestacion de servicios"/>
    <s v="MARZO"/>
    <n v="3"/>
    <n v="0"/>
    <n v="182388960"/>
    <s v="NO"/>
    <s v="Sub. Gestión Riesgos"/>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2"/>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s v="TH"/>
    <s v="25 - contrato de prestacion de servicios profesionales"/>
    <s v="ENERO"/>
    <n v="10"/>
    <n v="0"/>
    <n v="65000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s v="TH"/>
    <s v="25 - contrato de prestacion de servicios profesionales"/>
    <s v="ENERO"/>
    <n v="10"/>
    <n v="0"/>
    <n v="77000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s v="TH"/>
    <s v="26 - contrato de prestacion de servicios de apoyo a la gestion"/>
    <s v="ENERO"/>
    <n v="8"/>
    <n v="0"/>
    <n v="28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s v="TH"/>
    <s v="25 - contrato de prestacion de servicios profesionales"/>
    <s v="ENERO"/>
    <n v="6"/>
    <n v="0"/>
    <n v="48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Adquisición de vehiculos operativos para la atención de emergencias para la UAE Cuerpo Oficial de Bomberos de Bogotá, S.O."/>
    <s v="17 - acuerdo marco de precios"/>
    <s v="BS"/>
    <s v="01 - orden de compra"/>
    <s v="FEBRERO"/>
    <n v="4"/>
    <n v="0"/>
    <n v="269000000"/>
    <s v="SI"/>
    <s v="Sub. Operativa"/>
    <s v="Yenire Yohansy Lozano Ascanio"/>
    <x v="2"/>
    <s v="Subdirector@ de Gestión del Riesgo"/>
    <x v="0"/>
    <n v="80111600"/>
    <s v="8173 3-Desarrollar un programa de renovación de vehículos de la Unidad Administrativa Cuerpo Oficial de Bomberos de Bogotá."/>
    <s v="8173"/>
    <s v="3"/>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6"/>
    <s v="Si Secop "/>
    <s v="20260618-BS-8173-3-Adquisición de vehiculos operativos para la atención de emergencias para la UAE Cuerpo Oficial de Bomberos de Bogotá,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s v="BS"/>
    <s v="01 - orden de compra"/>
    <s v="ENERO"/>
    <n v="2"/>
    <n v="0"/>
    <n v="509334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6"/>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s v="BS"/>
    <s v="12 - resolucion"/>
    <s v="AGOSTO"/>
    <n v="11"/>
    <n v="0"/>
    <n v="180000000"/>
    <s v="NO"/>
    <s v="Sub. Gestión Humana"/>
    <s v="Jose Andres Ponce Caicedo"/>
    <x v="1"/>
    <s v="Subdirector@ de Gestión Corporativa"/>
    <x v="1"/>
    <s v="NA"/>
    <s v="No aplica"/>
    <s v="No a"/>
    <s v="l"/>
    <s v="NA"/>
    <s v="NA"/>
    <s v="NA"/>
    <s v="N/A"/>
    <s v="N/A"/>
    <s v="N/A-N/A"/>
    <s v="N/A"/>
    <s v="N/A"/>
    <s v="N/A_N/A"/>
    <s v="N/A-N/A N/A_N/A"/>
    <x v="1"/>
    <s v="N/A"/>
    <x v="6"/>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s v="TH"/>
    <s v="25 - contrato de prestacion de servicios profesionales"/>
    <s v="ENERO"/>
    <n v="3"/>
    <n v="0"/>
    <n v="29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el parque automotor y los equipos especializados de la U.A.E. Cuerpo Oficial de Bomberos Bogotá, dentro y fuera del perímetro del Distrito Capital – SBLG."/>
    <s v="17 - acuerdo marco de precios"/>
    <s v="BS"/>
    <s v="08 - contrato de suministro"/>
    <s v="MARZO"/>
    <n v="10"/>
    <n v="0"/>
    <n v="800000000"/>
    <s v="NO"/>
    <s v="Sub. Logística"/>
    <s v="Omer Mauricio Rivera Ruiz"/>
    <x v="2"/>
    <s v="Subdirector@ de Gestión del Riesgo"/>
    <x v="0"/>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5"/>
    <s v="Si Secop "/>
    <s v="20260622-BS-8173-4-Suministrar combustible para el parque automotor y los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s v="TH"/>
    <s v="26 - contrato de prestacion de servicios de apoyo a la gestion"/>
    <s v="ENERO"/>
    <n v="6"/>
    <n v="0"/>
    <n v="16890834"/>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s v="TH"/>
    <s v="26 - contrato de prestacion de servicios de apoyo a la gestion"/>
    <s v="ENERO"/>
    <n v="6"/>
    <n v="0"/>
    <n v="22118946"/>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24-TH-8126-9- Prestación de servicios de apoyo a la gestión en la Subdirección de Gestión Corporativa, en las actividades asociadas a los procesos y procedimientos del almacén de la Entidad.- SGC"/>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s v="TH"/>
    <s v="25 - contrato de prestacion de servicios profesionales"/>
    <s v="ENERO"/>
    <n v="7"/>
    <n v="0"/>
    <n v="546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s v="TH"/>
    <s v="26 - contrato de prestacion de servicios de apoyo a la gestion"/>
    <s v="ENERO"/>
    <n v="7"/>
    <n v="0"/>
    <n v="2583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s v="TH"/>
    <s v="26 - contrato de prestacion de servicios de apoyo a la gestion"/>
    <s v="ENERO"/>
    <n v="7"/>
    <n v="0"/>
    <n v="25802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s v="TH"/>
    <s v="26 - contrato de prestacion de servicios de apoyo a la gestion"/>
    <s v="FEBRERO"/>
    <n v="4"/>
    <n v="0"/>
    <n v="13136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s v="TH"/>
    <s v="25 - contrato de prestacion de servicios profesionales"/>
    <s v="ENERO"/>
    <n v="7"/>
    <n v="0"/>
    <n v="49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s v="TH"/>
    <s v="26 - contrato de prestacion de servicios de apoyo a la gestion"/>
    <s v="ENERO"/>
    <n v="7"/>
    <n v="0"/>
    <n v="2625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s v="TH"/>
    <s v="25 - contrato de prestacion de servicios profesionales"/>
    <s v="ENERO"/>
    <n v="6"/>
    <n v="0"/>
    <n v="2175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s v="BS"/>
    <s v="23 - contrato de alquiler"/>
    <s v="FEBRERO"/>
    <n v="2"/>
    <n v="0"/>
    <n v="6664000"/>
    <s v="NO"/>
    <s v="Dirección Tic"/>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s v="BS"/>
    <s v="03 - contrato de prestacion de servicios"/>
    <s v="FEBRERO"/>
    <n v="2"/>
    <n v="0"/>
    <n v="20246686"/>
    <s v="NO"/>
    <s v="Dirección Tic"/>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634"/>
    <s v="Prestar servicio de apoyo a la gestión administrativa y operativa de los mantenimientos requeridos a los equipos menores y/o parque automotor de la Subdirección Logística - SBLG"/>
    <s v="09 - contratación directa"/>
    <s v="TH"/>
    <s v="26 - contrato de prestacion de servicios de apoyo a la gestion"/>
    <s v="ENERO"/>
    <n v="5"/>
    <n v="0"/>
    <n v="16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634-TH-8173-4-Prestar servicio de apoyo a la gestión administrativa y operativa de los mantenimientos requeridos a los equipos menores y/o parque automotor de la Subdirección Logística - SBLG"/>
  </r>
  <r>
    <n v="20260635"/>
    <s v="Adición No. 1 al contrato 629 de 2025 que tiene como objeto “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MAYO"/>
    <n v="0"/>
    <n v="0"/>
    <n v="497000000"/>
    <s v="NO"/>
    <s v="Sub. Gestión Corporativa"/>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6"/>
    <s v="No Secop"/>
    <s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
  </r>
  <r>
    <n v="20260636"/>
    <s v="Congelamiento recursos 5% proyecto 8126"/>
    <s v="09 - contratación directa"/>
    <s v="TH"/>
    <s v="25 - contrato de prestacion de servicios profesionales"/>
    <s v="NO APLICA"/>
    <n v="0"/>
    <n v="0"/>
    <n v="95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No Secop"/>
    <s v="20260636-TH-8126-5-Congelamiento recursos 5% proyecto 8126"/>
  </r>
  <r>
    <n v="20260637"/>
    <s v="Congelamiento recursos 5% proyecto 8126"/>
    <s v="17 - acuerdo marco de precios"/>
    <s v="BS"/>
    <s v="03 - contrato de prestacion de servicios"/>
    <s v="NO APLICA"/>
    <n v="0"/>
    <n v="0"/>
    <n v="65650000"/>
    <s v="NO"/>
    <s v="Dirección Tic"/>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637-BS-8126-4-Congelamiento recursos 5% proyecto 8126"/>
  </r>
  <r>
    <n v="20260638"/>
    <s v="Congelamiento recursos 5% proyecto 8126"/>
    <s v="09 - contratación directa"/>
    <s v="TH"/>
    <s v="25 - contrato de prestacion de servicios profesionales"/>
    <s v="NO APLICA"/>
    <n v="0"/>
    <n v="0"/>
    <n v="386527500"/>
    <s v="NO"/>
    <s v="Sub. Gestión Corporativa"/>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38-TH-8126-9-Congelamiento recursos 5% proyecto 8126"/>
  </r>
  <r>
    <n v="20260639"/>
    <s v="Congelamiento recursos 5% proyecto 8173"/>
    <s v="01 - licitación pública"/>
    <s v="BS"/>
    <s v="05 - contrato de obra"/>
    <s v="NO APLICA"/>
    <n v="0"/>
    <n v="0"/>
    <n v="3760200"/>
    <s v="NO"/>
    <s v="Sub. Gestión Corporativa"/>
    <s v="Paula Ximena Henao Escobar"/>
    <x v="2"/>
    <s v="Subdirector@ de Gestión del Riesgo"/>
    <x v="0"/>
    <s v="72121400; 72151700; 72151700; 81101500"/>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s v="PM/0131/0108/45030310255"/>
    <x v="0"/>
    <s v="No Secop"/>
    <s v="20260639-BS-8173-7-Congelamiento recursos 5% proyecto 8173"/>
  </r>
  <r>
    <n v="20260640"/>
    <s v="Congelamiento recursos 5% proyecto 8126"/>
    <s v="09 - contratación directa"/>
    <s v="TH"/>
    <s v="25 - contrato de prestacion de servicios profesionales"/>
    <s v="NO APLICA"/>
    <n v="0"/>
    <n v="0"/>
    <n v="20296300"/>
    <s v="NO"/>
    <s v="Oficina Asesora de Planeación"/>
    <s v="Paula Ximena Henao Escobar"/>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No Secop"/>
    <s v="20260640-TH-8126-2-Congelamiento recursos 5% proyecto 8126"/>
  </r>
  <r>
    <n v="20260641"/>
    <s v="Congelamiento recursos 5% proyecto 8126"/>
    <s v="09 - contratación directa"/>
    <s v="TH"/>
    <s v="25 - contrato de prestacion de servicios profesionales"/>
    <s v="NO APLICA"/>
    <n v="0"/>
    <n v="0"/>
    <n v="55442250"/>
    <s v="NO"/>
    <s v="Oficina Asesora de Planeación"/>
    <s v="Paula Ximena Henao Escobar"/>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No Secop"/>
    <s v="20260641-TH-8126-1-Congelamiento recursos 5% proyecto 8126"/>
  </r>
  <r>
    <n v="20260642"/>
    <s v="Congelamiento recursos 5% proyecto 8126"/>
    <s v="02 - selec. abrev. menor cuantía"/>
    <s v="BS"/>
    <s v="03 - contrato de prestacion de servicios"/>
    <s v="NO APLICA"/>
    <n v="0"/>
    <n v="0"/>
    <n v="0"/>
    <s v="NO"/>
    <s v="Dirección Tic"/>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No Secop"/>
    <s v="20260642-BS-8126-5-Congelamiento recursos 5% proyecto 8126"/>
  </r>
  <r>
    <n v="20260643"/>
    <s v="Congelamiento recursos 5% proyecto 8126"/>
    <s v="09 - contratación directa"/>
    <s v="TH"/>
    <s v="25 - contrato de prestacion de servicios profesionales"/>
    <s v="NO APLICA"/>
    <n v="0"/>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43-TH-8126-1-Congelamiento recursos 5% proyecto 8126"/>
  </r>
  <r>
    <n v="20260644"/>
    <s v="Congelamiento recursos 5% proyecto 8126"/>
    <s v="09 - contratación directa"/>
    <s v="TH"/>
    <s v="25 - contrato de prestacion de servicios profesionales"/>
    <s v="NO APLICA"/>
    <n v="0"/>
    <n v="0"/>
    <n v="64171317"/>
    <s v="NO"/>
    <s v="Dirección"/>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4-TH-8126-9-Congelamiento recursos 5% proyecto 8126"/>
  </r>
  <r>
    <n v="20260645"/>
    <s v="Congelamiento recursos 5% proyecto 8126"/>
    <s v="09 - contratación directa"/>
    <s v="TH"/>
    <s v="25 - contrato de prestacion de servicios profesionales"/>
    <s v="NO APLICA"/>
    <n v="0"/>
    <n v="0"/>
    <n v="24231997"/>
    <s v="NO"/>
    <s v="Oficina de Control Disciplinario Interno"/>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5-TH-8126-9-Congelamiento recursos 5% proyecto 8126"/>
  </r>
  <r>
    <n v="20260646"/>
    <s v="Congelamiento recursos 5% proyecto 8126"/>
    <s v="09 - contratación directa"/>
    <s v="TH"/>
    <s v="25 - contrato de prestacion de servicios profesionales"/>
    <s v="NO APLICA"/>
    <n v="0"/>
    <n v="0"/>
    <n v="24969186"/>
    <s v="NO"/>
    <s v="Oficina de Control Interno"/>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6-TH-8126-9-Congelamiento recursos 5% proyecto 8126"/>
  </r>
  <r>
    <n v="20260647"/>
    <s v="Congelamiento recursos 5% proyecto 8126"/>
    <s v="09 - contratación directa"/>
    <s v="TH"/>
    <s v="25 - contrato de prestacion de servicios profesionales"/>
    <s v="NO APLICA"/>
    <n v="0"/>
    <n v="0"/>
    <n v="0"/>
    <s v="NO"/>
    <s v="Oficina Juridica"/>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7-TH-8126-9-Congelamiento recursos 5% proyecto 8126"/>
  </r>
  <r>
    <n v="20260648"/>
    <s v="Congelamiento recursos 5% proyecto 8126"/>
    <s v="09 - contratación directa"/>
    <s v="TH"/>
    <s v="25 - contrato de prestacion de servicios profesionales"/>
    <s v="NO APLICA"/>
    <n v="0"/>
    <n v="0"/>
    <m/>
    <s v="NO"/>
    <s v="Sub. Gestión Humana"/>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8-TH-8126-9-Congelamiento recursos 5% proyecto 8126"/>
  </r>
  <r>
    <n v="20260649"/>
    <s v="Congelamiento recursos 5% proyecto 8126"/>
    <s v="02 - selec. abrev. menor cuantía"/>
    <s v="BS"/>
    <s v="17 - contrato de mantenimiento"/>
    <s v="NO APLICA"/>
    <n v="0"/>
    <n v="0"/>
    <n v="0"/>
    <s v="NO"/>
    <s v="Sub. Gestión Corporativa"/>
    <s v="Fatima Veronica Quintero Nuñez"/>
    <x v="0"/>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No Secop"/>
    <s v="20260649-BS-8126-8-Congelamiento recursos 5% proyecto 8126"/>
  </r>
  <r>
    <n v="20260650"/>
    <s v="Congelamiento recursos 5% proyecto 8126"/>
    <s v="01 - licitación pública"/>
    <s v="BS"/>
    <s v="05 - contrato de obra"/>
    <s v="NO APLICA"/>
    <n v="0"/>
    <n v="0"/>
    <n v="0"/>
    <s v="NO"/>
    <s v="Sub. Gestión Corporativa"/>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9"/>
    <s v="No Secop"/>
    <s v="20260650-BS-8126-8-Congelamiento recursos 5% proyecto 8126"/>
  </r>
  <r>
    <n v="20260651"/>
    <s v="Congelamiento recursos 5% proyecto 8126"/>
    <s v="17 - acuerdo marco de precios"/>
    <s v="BS"/>
    <s v="03 - contrato de prestacion de servicios"/>
    <s v="NO APLICA"/>
    <n v="0"/>
    <n v="0"/>
    <n v="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651-BS-8126-8-Congelamiento recursos 5% proyecto 8126"/>
  </r>
  <r>
    <n v="20260652"/>
    <s v="SGH - Prestar servicios profesionales en la Subdirección de Gestión Humana, enfocados en el análisis de datos , estadística, gestión financiera  y apoyo a temas de proyección presupuestal en el marco de la estrategia de fortalecimiento institucional. "/>
    <s v="09 - contratación directa"/>
    <s v="TH"/>
    <s v="25 - contrato de prestacion de servicios profesionales"/>
    <s v="ENERO"/>
    <n v="7"/>
    <n v="0"/>
    <n v="553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652-TH-8173-9-SGH - Prestar servicios profesionales en la Subdirección de Gestión Humana, enfocados en el análisis de datos , estadística, gestión financiera  y apoyo a temas de proyección presupuestal en el marco de la estrategia de fortalecimiento institucional. "/>
  </r>
  <r>
    <n v="20260653"/>
    <s v="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s v="09 - contratación directa"/>
    <s v="TH"/>
    <s v="26 - contrato de prestacion de servicios de apoyo a la gestion"/>
    <s v="ENERO"/>
    <n v="7"/>
    <n v="0"/>
    <n v="28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r>
  <r>
    <n v="20260654"/>
    <s v="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s v="09 - contratación directa"/>
    <s v="TH"/>
    <s v="25 - contrato de prestacion de servicios profesionales"/>
    <s v="ENERO"/>
    <n v="6"/>
    <n v="0"/>
    <n v="45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r>
  <r>
    <n v="20260655"/>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s v="BS"/>
    <s v="11 - orden de prestacion de servicios"/>
    <s v="MARZO"/>
    <n v="3"/>
    <n v="0"/>
    <n v="400000000"/>
    <s v="NO"/>
    <s v="Sub. Gestión Riesgos"/>
    <s v="William Tovar Segura"/>
    <x v="2"/>
    <s v="Subdirector@ de Gestión del Riesgo"/>
    <x v="0"/>
    <s v="80141900_x000a_90111500_x000a_90111600_x000a_80141600_x000a_80161502"/>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32"/>
    <s v="Si Secop "/>
    <s v="20260655-BS-8173-1-Prestación de servicios como operador logístico, relacionados con la organización, administración y ejecución de las diferentes temáticas que fortalezcan la misionalidad de la entidad a través de la protección de la vida, el medio ambiente y el patrimonio"/>
  </r>
  <r>
    <n v="20260656"/>
    <s v="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FEBRERO"/>
    <n v="3"/>
    <n v="20"/>
    <n v="52231036"/>
    <s v="NO"/>
    <s v="Sub. Gestión Corporativa"/>
    <s v="Fatima Veronica Quintero Nuñez"/>
    <x v="1"/>
    <s v="Subdirector@ de Gestión Corporativa"/>
    <x v="1"/>
    <s v="78102206;"/>
    <s v="No aplica"/>
    <s v="No a"/>
    <s v="l"/>
    <s v="NA"/>
    <s v="NA"/>
    <s v="NA"/>
    <s v="N/A"/>
    <s v="N/A"/>
    <s v="N/A-N/A"/>
    <s v="N/A"/>
    <s v="N/A"/>
    <s v="N/A_N/A"/>
    <s v="N/A-N/A N/A_N/A"/>
    <x v="1"/>
    <s v="N/A"/>
    <x v="6"/>
    <s v="No Secop"/>
    <s v="20260656-BS-No a-l-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657"/>
    <s v="Suministro de materiales, equipos y herramientas para el mejoramiento integral de las instalaciones para la Unidad Administrativa Especial Cuerpo Oficial de Bomberos Bogotá -SGC"/>
    <s v="17 - acuerdo marco de precios"/>
    <s v="BS"/>
    <s v="08 - contrato de suministro"/>
    <s v="ABRIL"/>
    <n v="10"/>
    <n v="0"/>
    <n v="431001000"/>
    <s v="NO"/>
    <s v="Sub. Gestión Corporativa"/>
    <s v="Fatima Veronica Quintero Nuñez"/>
    <x v="2"/>
    <s v="Subdirector@ de Gestión del Riesgo"/>
    <x v="0"/>
    <s v="47111500; _x000a_4711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10"/>
    <s v="Si Secop "/>
    <s v="20260657-BS-8173-1-Suministro de materiales, equipos y herramientas para el mejoramiento integral de las instalaciones para la Unidad Administrativa Especial Cuerpo Oficial de Bomberos Bogotá -SGC"/>
  </r>
  <r>
    <n v="20260658"/>
    <s v="Adición y prórroga No. 1 al contrato que tiene como objeto &quot; Contratar la prestación del servicio de aseo y cafetería incluido insumos para la UAE Cuerpo Oficial de Bomberos -SGC"/>
    <s v="17 - acuerdo marco de precios"/>
    <s v="BS"/>
    <s v="03 - contrato de prestacion de servicios"/>
    <s v="MAYO"/>
    <n v="2"/>
    <n v="0"/>
    <n v="20000000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658-BS-8126-8-Adición y prórroga No. 1 al contrato que tiene como objeto &quot; Contratar la prestación del servicio de aseo y cafetería incluido insumos para la UAE Cuerpo Oficial de Bomberos -SGC"/>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FFC5F6D-72EA-4202-9EDB-43880078A8F0}" name="TablaDinámica2" cacheId="13"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5:D22" firstHeaderRow="1" firstDataRow="1" firstDataCol="3" rowPageCount="1" colPageCount="1"/>
  <pivotFields count="34">
    <pivotField showAll="0"/>
    <pivotField showAll="0"/>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showAll="0"/>
    <pivotField outline="0" showAll="0" defaultSubtotal="0">
      <extLst>
        <ext xmlns:x14="http://schemas.microsoft.com/office/spreadsheetml/2009/9/main" uri="{2946ED86-A175-432a-8AC1-64E0C546D7DE}">
          <x14:pivotField fillDownLabels="1"/>
        </ext>
      </extLst>
    </pivotField>
    <pivotField showAll="0"/>
    <pivotField axis="axisPage" multipleItemSelectionAllowed="1" showAll="0">
      <items count="4">
        <item h="1" x="1"/>
        <item x="0"/>
        <item h="1" x="2"/>
        <item t="default"/>
      </items>
    </pivotField>
    <pivotField showAll="0"/>
    <pivotField axis="axisRow" outline="0" showAll="0" defaultSubtotal="0">
      <items count="4">
        <item x="1"/>
        <item x="3"/>
        <item x="0"/>
        <item x="2"/>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outline="0" multipleItemSelectionAllowed="1" showAll="0" defaultSubtotal="0">
      <items count="17">
        <item x="1"/>
        <item x="8"/>
        <item x="10"/>
        <item x="11"/>
        <item x="5"/>
        <item x="15"/>
        <item x="6"/>
        <item x="9"/>
        <item x="7"/>
        <item x="13"/>
        <item x="14"/>
        <item x="12"/>
        <item x="4"/>
        <item x="0"/>
        <item x="16"/>
        <item x="3"/>
        <item x="2"/>
      </items>
      <extLst>
        <ext xmlns:x14="http://schemas.microsoft.com/office/spreadsheetml/2009/9/main" uri="{2946ED86-A175-432a-8AC1-64E0C546D7DE}">
          <x14:pivotField fillDownLabels="1"/>
        </ext>
      </extLst>
    </pivotField>
    <pivotField showAll="0"/>
    <pivotField axis="axisRow" outline="0" multipleItemSelectionAllowed="1" showAll="0" defaultSubtotal="0">
      <items count="33">
        <item x="6"/>
        <item x="21"/>
        <item x="3"/>
        <item x="4"/>
        <item x="5"/>
        <item x="10"/>
        <item x="16"/>
        <item x="30"/>
        <item x="28"/>
        <item x="18"/>
        <item x="12"/>
        <item x="15"/>
        <item x="14"/>
        <item x="25"/>
        <item x="9"/>
        <item x="31"/>
        <item x="19"/>
        <item x="22"/>
        <item x="7"/>
        <item x="1"/>
        <item x="2"/>
        <item x="17"/>
        <item x="26"/>
        <item x="27"/>
        <item x="32"/>
        <item x="13"/>
        <item x="29"/>
        <item x="20"/>
        <item x="23"/>
        <item x="24"/>
        <item x="0"/>
        <item x="11"/>
        <item x="8"/>
      </items>
      <extLst>
        <ext xmlns:x14="http://schemas.microsoft.com/office/spreadsheetml/2009/9/main" uri="{2946ED86-A175-432a-8AC1-64E0C546D7DE}">
          <x14:pivotField fillDownLabels="1"/>
        </ext>
      </extLst>
    </pivotField>
    <pivotField showAll="0"/>
    <pivotField showAll="0"/>
  </pivotFields>
  <rowFields count="3">
    <field x="29"/>
    <field x="31"/>
    <field x="14"/>
  </rowFields>
  <rowItems count="17">
    <i>
      <x v="12"/>
      <x v="6"/>
      <x v="2"/>
    </i>
    <i r="1">
      <x v="7"/>
      <x v="2"/>
    </i>
    <i r="1">
      <x v="14"/>
      <x v="2"/>
    </i>
    <i r="1">
      <x v="15"/>
      <x v="2"/>
    </i>
    <i r="1">
      <x v="22"/>
      <x v="2"/>
    </i>
    <i r="1">
      <x v="23"/>
      <x v="2"/>
    </i>
    <i r="1">
      <x v="24"/>
      <x v="2"/>
    </i>
    <i r="1">
      <x v="26"/>
      <x v="2"/>
    </i>
    <i r="1">
      <x v="27"/>
      <x v="2"/>
    </i>
    <i r="1">
      <x v="30"/>
      <x v="2"/>
    </i>
    <i>
      <x v="13"/>
      <x v="19"/>
      <x v="2"/>
    </i>
    <i r="1">
      <x v="20"/>
      <x v="2"/>
    </i>
    <i r="1">
      <x v="30"/>
      <x v="2"/>
    </i>
    <i>
      <x v="14"/>
      <x v="30"/>
      <x v="2"/>
    </i>
    <i>
      <x v="15"/>
      <x v="30"/>
      <x v="2"/>
    </i>
    <i>
      <x v="16"/>
      <x v="30"/>
      <x v="2"/>
    </i>
    <i t="grand">
      <x/>
    </i>
  </rowItems>
  <colItems count="1">
    <i/>
  </colItems>
  <pageFields count="1">
    <pageField fld="12" hier="-1"/>
  </pageFields>
  <dataFields count="1">
    <dataField name="Suma de Valor apropiacion vigencia actual" fld="8" baseField="0" baseItem="0" numFmtId="164"/>
  </dataFields>
  <formats count="4">
    <format dxfId="52">
      <pivotArea outline="0" collapsedLevelsAreSubtotals="1" fieldPosition="0"/>
    </format>
    <format dxfId="51">
      <pivotArea field="12" type="button" dataOnly="0" labelOnly="1" outline="0" axis="axisPage" fieldPosition="0"/>
    </format>
    <format dxfId="50">
      <pivotArea type="topRight" dataOnly="0" labelOnly="1" outline="0" fieldPosition="0"/>
    </format>
    <format dxfId="49">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662" totalsRowShown="0" headerRowDxfId="91" dataDxfId="89" headerRowBorderDxfId="90" tableBorderDxfId="88" totalsRowBorderDxfId="87">
  <autoFilter ref="B11:AI662" xr:uid="{00000000-000C-0000-FFFF-FFFF00000000}"/>
  <sortState xmlns:xlrd2="http://schemas.microsoft.com/office/spreadsheetml/2017/richdata2" ref="B12:AI662">
    <sortCondition sortBy="cellColor" ref="B11:B662" dxfId="1"/>
  </sortState>
  <tableColumns count="34">
    <tableColumn id="1" xr3:uid="{00000000-0010-0000-0000-000001000000}" name="Id Interno" dataDxfId="86" dataCellStyle="Millares"/>
    <tableColumn id="29" xr3:uid="{6E0C2575-6F82-4393-8478-8ABA1BB95D8D}" name="Objeto de la contratación" dataDxfId="85" dataCellStyle="Millares"/>
    <tableColumn id="30" xr3:uid="{2E28827C-CB39-46C1-AE1A-A273E80C18AA}" name="Modalidad de Selección" dataDxfId="84" dataCellStyle="Millares"/>
    <tableColumn id="31" xr3:uid="{FA1C55F6-D46D-422B-8D87-02AF4EF50FB5}" name="tipo de Contrato (TH talento humano - B/S bienes y/o servicios)" dataDxfId="83" dataCellStyle="Millares"/>
    <tableColumn id="32" xr3:uid="{0496A17B-836C-488C-83FC-7B97E621862C}" name="Tipo de Contratación" dataDxfId="82" dataCellStyle="Millares"/>
    <tableColumn id="34" xr3:uid="{5030F4BB-20B2-4AA9-BB7F-6FE8E982496F}" name="Mes estimado de inicio de ejecución" dataDxfId="81"/>
    <tableColumn id="35" xr3:uid="{55022259-E0E1-40DB-9906-2780E56ADBD6}" name="plazo ejec Meses" dataDxfId="80"/>
    <tableColumn id="36" xr3:uid="{640C848D-F55E-4544-9D2E-B70ECD132648}" name="mas plazo ejec Días (si aplica)" dataDxfId="79"/>
    <tableColumn id="5" xr3:uid="{05DF518B-CA49-46BE-8AA0-2C47633D4CCA}" name="Valor apropiacion vigencia actual" dataDxfId="78" dataCellStyle="Millares"/>
    <tableColumn id="37" xr3:uid="{777DB4FA-284B-4B1C-83F5-FEBFB0A46D55}" name="¿vigencia futuras?" dataDxfId="77" dataCellStyle="Millares"/>
    <tableColumn id="3" xr3:uid="{00000000-0010-0000-0000-000003000000}" name="Dependencia Solicitante" dataDxfId="76"/>
    <tableColumn id="4" xr3:uid="{00000000-0010-0000-0000-000004000000}" name="Responsable del Proceso" dataDxfId="75" dataCellStyle="Normal 2"/>
    <tableColumn id="40" xr3:uid="{36691A9F-1FC4-4BDD-BF10-A3870A450F77}" name="Proyecto y nombre Asociado" dataDxfId="74" dataCellStyle="Millares"/>
    <tableColumn id="38" xr3:uid="{BBFE6D21-66F0-43E1-A3BB-14789CB36D19}" name="Gerente del Proyecto Asociado" dataDxfId="73" dataCellStyle="Normal 2"/>
    <tableColumn id="39" xr3:uid="{586F9A4B-5355-4D5E-9ACF-9D0D92CFF1E2}" name="Fuente de Recursos" dataDxfId="72" dataCellStyle="Normal 2"/>
    <tableColumn id="7" xr3:uid="{00000000-0010-0000-0000-000007000000}" name="Código UNSPSC (cada código separado por ;)" dataDxfId="71" dataCellStyle="Moneda"/>
    <tableColumn id="14" xr3:uid="{00000000-0010-0000-0000-00000E000000}" name="Meta Proyecto de Inversión" dataDxfId="70" dataCellStyle="Normal 2"/>
    <tableColumn id="42" xr3:uid="{42825D5A-D18E-49D3-BB8F-EA1165D885F7}" name="meta objeto" dataDxfId="69" dataCellStyle="Normal 2">
      <calculatedColumnFormula>MID(PAA[[#This Row],[Meta Proyecto de Inversión]],1,4)</calculatedColumnFormula>
    </tableColumn>
    <tableColumn id="43" xr3:uid="{84B78E2C-6E64-4CCD-9B0C-3F6A1F27A8AF}" name="meta objeto2" dataDxfId="68" dataCellStyle="Normal 2">
      <calculatedColumnFormula>MID(PAA[[#This Row],[Meta Proyecto de Inversión]],6,1)</calculatedColumnFormula>
    </tableColumn>
    <tableColumn id="15" xr3:uid="{00000000-0010-0000-0000-00000F000000}" name="Bogotá camina segura" dataDxfId="67" dataCellStyle="Normal 2">
      <calculatedColumnFormula>IFERROR(VLOOKUP(N12,TD!$B$50:$F$54,2,0)," ")</calculatedColumnFormula>
    </tableColumn>
    <tableColumn id="16" xr3:uid="{00000000-0010-0000-0000-000010000000}" name="Sector_Programa MGA" dataDxfId="66" dataCellStyle="Normal 2">
      <calculatedColumnFormula>IFERROR(VLOOKUP(N12,TD!$B$50:$F$54,3,0)," ")</calculatedColumnFormula>
    </tableColumn>
    <tableColumn id="17" xr3:uid="{00000000-0010-0000-0000-000011000000}" name="BPIN (AÑO+COD_PROYECTO)" dataDxfId="65" dataCellStyle="Normal 2">
      <calculatedColumnFormula>IFERROR(VLOOKUP(N12,TD!$B$50:$F$54,4,0)," ")</calculatedColumnFormula>
    </tableColumn>
    <tableColumn id="18" xr3:uid="{00000000-0010-0000-0000-000012000000}" name="Producto PMR" dataDxfId="64" dataCellStyle="Normal 2"/>
    <tableColumn id="19" xr3:uid="{00000000-0010-0000-0000-000013000000}" name="Descripción Producto PMR" dataDxfId="63" dataCellStyle="Normal 2"/>
    <tableColumn id="20" xr3:uid="{00000000-0010-0000-0000-000014000000}" name="PMR conca" dataDxfId="62" dataCellStyle="Normal 2">
      <calculatedColumnFormula>CONCATENATE(X12,"-",Y12)</calculatedColumnFormula>
    </tableColumn>
    <tableColumn id="21" xr3:uid="{00000000-0010-0000-0000-000015000000}" name="Producto MGA" dataDxfId="61" dataCellStyle="Normal 2"/>
    <tableColumn id="22" xr3:uid="{00000000-0010-0000-0000-000016000000}" name="Descripción Producto MGA" dataDxfId="60" dataCellStyle="Normal 2"/>
    <tableColumn id="23" xr3:uid="{00000000-0010-0000-0000-000017000000}" name="concatenarMGA" dataDxfId="59" dataCellStyle="Normal 2">
      <calculatedColumnFormula>CONCATENATE(AA12,"_",AB12)</calculatedColumnFormula>
    </tableColumn>
    <tableColumn id="24" xr3:uid="{00000000-0010-0000-0000-000018000000}" name="PM MGA conca" dataDxfId="58" dataCellStyle="Normal 2">
      <calculatedColumnFormula>CONCATENATE(Z12," ",AC12)</calculatedColumnFormula>
    </tableColumn>
    <tableColumn id="25" xr3:uid="{00000000-0010-0000-0000-000019000000}" name="Código de proyecto de inversión, asociado a productos PMR y MGA" dataDxfId="57" dataCellStyle="Normal 2">
      <calculatedColumnFormula>CONCATENATE(U12,V12,W12,X12,AA12)</calculatedColumnFormula>
    </tableColumn>
    <tableColumn id="26" xr3:uid="{00000000-0010-0000-0000-00001A000000}" name="codigo PEP" dataDxfId="56" dataCellStyle="Normal 2"/>
    <tableColumn id="27" xr3:uid="{00000000-0010-0000-0000-00001B000000}" name="POSPRE" dataDxfId="55" dataCellStyle="Millares"/>
    <tableColumn id="28" xr3:uid="{00000000-0010-0000-0000-00001C000000}" name="Si Secop / No Secop" dataDxfId="54" dataCellStyle="Normal 2"/>
    <tableColumn id="41" xr3:uid="{9A77615E-E441-4C5E-9871-62C3FAF4DAF0}" name="Objeto de contratacion CDP" dataDxfId="53">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bin"/><Relationship Id="rId3" Type="http://schemas.openxmlformats.org/officeDocument/2006/relationships/hyperlink" Target="mailto:Subdirector@%20de%20Gesti&#243;n%20del%20Riesgo" TargetMode="External"/><Relationship Id="rId7" Type="http://schemas.openxmlformats.org/officeDocument/2006/relationships/printerSettings" Target="../printerSettings/printerSettings1.bin"/><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5" Type="http://schemas.openxmlformats.org/officeDocument/2006/relationships/hyperlink" Target="mailto:Subdirector@%20de%20Gesti&#243;n%20del%20Riesgo" TargetMode="External"/><Relationship Id="rId10" Type="http://schemas.openxmlformats.org/officeDocument/2006/relationships/table" Target="../tables/table1.xml"/><Relationship Id="rId4" Type="http://schemas.openxmlformats.org/officeDocument/2006/relationships/hyperlink" Target="mailto:Subdirector@%20de%20Gesti&#243;n%20del%20Riesgo"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1:E625"/>
  <sheetViews>
    <sheetView zoomScale="85" zoomScaleNormal="85" workbookViewId="0">
      <selection activeCell="D8" sqref="D8"/>
    </sheetView>
  </sheetViews>
  <sheetFormatPr baseColWidth="10" defaultColWidth="10.7265625" defaultRowHeight="14.5" x14ac:dyDescent="0.35"/>
  <cols>
    <col min="1" max="1" width="34.453125" customWidth="1"/>
    <col min="2" max="2" width="30" style="124" customWidth="1"/>
    <col min="3" max="3" width="17.08984375" style="124" customWidth="1"/>
    <col min="4" max="4" width="22.90625" style="124" customWidth="1"/>
    <col min="5" max="5" width="17.81640625" style="124" customWidth="1"/>
    <col min="6" max="6" width="16" customWidth="1"/>
    <col min="7" max="7" width="20" customWidth="1"/>
  </cols>
  <sheetData>
    <row r="1" spans="1:5" ht="22" customHeight="1" x14ac:dyDescent="0.35">
      <c r="B1"/>
    </row>
    <row r="2" spans="1:5" x14ac:dyDescent="0.35">
      <c r="B2"/>
      <c r="C2"/>
      <c r="D2"/>
      <c r="E2"/>
    </row>
    <row r="3" spans="1:5" x14ac:dyDescent="0.35">
      <c r="A3" s="125" t="s">
        <v>368</v>
      </c>
      <c r="B3" t="s">
        <v>197</v>
      </c>
      <c r="C3"/>
      <c r="D3"/>
      <c r="E3"/>
    </row>
    <row r="4" spans="1:5" x14ac:dyDescent="0.35">
      <c r="B4"/>
      <c r="C4" s="154"/>
      <c r="D4"/>
      <c r="E4"/>
    </row>
    <row r="5" spans="1:5" x14ac:dyDescent="0.35">
      <c r="A5" s="57" t="s">
        <v>346</v>
      </c>
      <c r="B5" s="57" t="s">
        <v>77</v>
      </c>
      <c r="C5" s="57" t="s">
        <v>68</v>
      </c>
      <c r="D5" s="58" t="s">
        <v>583</v>
      </c>
      <c r="E5"/>
    </row>
    <row r="6" spans="1:5" x14ac:dyDescent="0.35">
      <c r="A6" t="s">
        <v>300</v>
      </c>
      <c r="B6" t="s">
        <v>80</v>
      </c>
      <c r="C6" t="s">
        <v>348</v>
      </c>
      <c r="D6" s="58">
        <v>370000000</v>
      </c>
      <c r="E6"/>
    </row>
    <row r="7" spans="1:5" x14ac:dyDescent="0.35">
      <c r="A7" t="s">
        <v>300</v>
      </c>
      <c r="B7" t="s">
        <v>939</v>
      </c>
      <c r="C7" t="s">
        <v>348</v>
      </c>
      <c r="D7" s="58">
        <v>120000000</v>
      </c>
      <c r="E7"/>
    </row>
    <row r="8" spans="1:5" x14ac:dyDescent="0.35">
      <c r="A8" t="s">
        <v>300</v>
      </c>
      <c r="B8" t="s">
        <v>94</v>
      </c>
      <c r="C8" t="s">
        <v>348</v>
      </c>
      <c r="D8" s="58">
        <v>1000472500</v>
      </c>
      <c r="E8"/>
    </row>
    <row r="9" spans="1:5" x14ac:dyDescent="0.35">
      <c r="A9" t="s">
        <v>300</v>
      </c>
      <c r="B9" t="s">
        <v>938</v>
      </c>
      <c r="C9" t="s">
        <v>348</v>
      </c>
      <c r="D9" s="58">
        <v>180000000</v>
      </c>
      <c r="E9"/>
    </row>
    <row r="10" spans="1:5" x14ac:dyDescent="0.35">
      <c r="A10" t="s">
        <v>300</v>
      </c>
      <c r="B10" t="s">
        <v>132</v>
      </c>
      <c r="C10" t="s">
        <v>348</v>
      </c>
      <c r="D10" s="58">
        <v>1944882000</v>
      </c>
      <c r="E10"/>
    </row>
    <row r="11" spans="1:5" x14ac:dyDescent="0.35">
      <c r="A11" t="s">
        <v>300</v>
      </c>
      <c r="B11" t="s">
        <v>134</v>
      </c>
      <c r="C11" t="s">
        <v>348</v>
      </c>
      <c r="D11" s="58">
        <v>679376820</v>
      </c>
      <c r="E11"/>
    </row>
    <row r="12" spans="1:5" x14ac:dyDescent="0.35">
      <c r="A12" t="s">
        <v>300</v>
      </c>
      <c r="B12" t="s">
        <v>931</v>
      </c>
      <c r="C12" t="s">
        <v>348</v>
      </c>
      <c r="D12" s="58">
        <v>400000000</v>
      </c>
      <c r="E12"/>
    </row>
    <row r="13" spans="1:5" x14ac:dyDescent="0.35">
      <c r="A13" t="s">
        <v>300</v>
      </c>
      <c r="B13" t="s">
        <v>937</v>
      </c>
      <c r="C13" t="s">
        <v>348</v>
      </c>
      <c r="D13" s="58">
        <v>170000000</v>
      </c>
      <c r="E13"/>
    </row>
    <row r="14" spans="1:5" x14ac:dyDescent="0.35">
      <c r="A14" t="s">
        <v>300</v>
      </c>
      <c r="B14" t="s">
        <v>585</v>
      </c>
      <c r="C14" t="s">
        <v>348</v>
      </c>
      <c r="D14" s="58">
        <v>180000000</v>
      </c>
      <c r="E14"/>
    </row>
    <row r="15" spans="1:5" x14ac:dyDescent="0.35">
      <c r="A15" t="s">
        <v>300</v>
      </c>
      <c r="B15" t="s">
        <v>385</v>
      </c>
      <c r="C15" t="s">
        <v>348</v>
      </c>
      <c r="D15" s="58">
        <v>12185785180</v>
      </c>
      <c r="E15"/>
    </row>
    <row r="16" spans="1:5" x14ac:dyDescent="0.35">
      <c r="A16" t="s">
        <v>296</v>
      </c>
      <c r="B16" t="s">
        <v>116</v>
      </c>
      <c r="C16" t="s">
        <v>348</v>
      </c>
      <c r="D16" s="58">
        <v>1228896686</v>
      </c>
      <c r="E16"/>
    </row>
    <row r="17" spans="1:4" customFormat="1" x14ac:dyDescent="0.35">
      <c r="A17" t="s">
        <v>296</v>
      </c>
      <c r="B17" t="s">
        <v>121</v>
      </c>
      <c r="C17" t="s">
        <v>348</v>
      </c>
      <c r="D17" s="58">
        <v>2025977228</v>
      </c>
    </row>
    <row r="18" spans="1:4" customFormat="1" x14ac:dyDescent="0.35">
      <c r="A18" t="s">
        <v>296</v>
      </c>
      <c r="B18" t="s">
        <v>385</v>
      </c>
      <c r="C18" t="s">
        <v>348</v>
      </c>
      <c r="D18" s="58">
        <v>2101000000</v>
      </c>
    </row>
    <row r="19" spans="1:4" customFormat="1" x14ac:dyDescent="0.35">
      <c r="A19" t="s">
        <v>306</v>
      </c>
      <c r="B19" t="s">
        <v>385</v>
      </c>
      <c r="C19" t="s">
        <v>348</v>
      </c>
      <c r="D19" s="58">
        <v>969477500</v>
      </c>
    </row>
    <row r="20" spans="1:4" customFormat="1" x14ac:dyDescent="0.35">
      <c r="A20" t="s">
        <v>294</v>
      </c>
      <c r="B20" t="s">
        <v>385</v>
      </c>
      <c r="C20" t="s">
        <v>348</v>
      </c>
      <c r="D20" s="58">
        <v>354422828</v>
      </c>
    </row>
    <row r="21" spans="1:4" customFormat="1" x14ac:dyDescent="0.35">
      <c r="A21" t="s">
        <v>293</v>
      </c>
      <c r="B21" t="s">
        <v>385</v>
      </c>
      <c r="C21" t="s">
        <v>348</v>
      </c>
      <c r="D21" s="58">
        <v>1257174258</v>
      </c>
    </row>
    <row r="22" spans="1:4" customFormat="1" x14ac:dyDescent="0.35">
      <c r="A22" t="s">
        <v>347</v>
      </c>
      <c r="D22" s="58">
        <v>25167465000</v>
      </c>
    </row>
    <row r="23" spans="1:4" customFormat="1" x14ac:dyDescent="0.35"/>
    <row r="24" spans="1:4" customFormat="1" x14ac:dyDescent="0.35"/>
    <row r="25" spans="1:4" customFormat="1" x14ac:dyDescent="0.35"/>
    <row r="26" spans="1:4" customFormat="1" x14ac:dyDescent="0.35"/>
    <row r="27" spans="1:4" customFormat="1" x14ac:dyDescent="0.35"/>
    <row r="28" spans="1:4" customFormat="1" x14ac:dyDescent="0.35"/>
    <row r="29" spans="1:4" customFormat="1" x14ac:dyDescent="0.35"/>
    <row r="30" spans="1:4" customFormat="1" x14ac:dyDescent="0.35"/>
    <row r="31" spans="1:4" customFormat="1" x14ac:dyDescent="0.35"/>
    <row r="32" spans="1:4" customFormat="1"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spans="2:5" x14ac:dyDescent="0.35">
      <c r="B81"/>
      <c r="C81"/>
      <c r="D81"/>
      <c r="E81"/>
    </row>
    <row r="82" spans="2:5" x14ac:dyDescent="0.35">
      <c r="B82"/>
      <c r="C82"/>
      <c r="D82"/>
      <c r="E82"/>
    </row>
    <row r="83" spans="2:5" x14ac:dyDescent="0.35">
      <c r="B83"/>
      <c r="C83"/>
      <c r="D83"/>
      <c r="E83"/>
    </row>
    <row r="84" spans="2:5" x14ac:dyDescent="0.35">
      <c r="B84"/>
      <c r="C84"/>
      <c r="D84"/>
      <c r="E84"/>
    </row>
    <row r="85" spans="2:5" x14ac:dyDescent="0.35">
      <c r="B85"/>
      <c r="C85"/>
      <c r="D85"/>
      <c r="E85"/>
    </row>
    <row r="86" spans="2:5" x14ac:dyDescent="0.35">
      <c r="B86"/>
      <c r="C86"/>
      <c r="D86"/>
      <c r="E86"/>
    </row>
    <row r="87" spans="2:5" x14ac:dyDescent="0.35">
      <c r="B87"/>
      <c r="C87"/>
      <c r="D87"/>
      <c r="E87"/>
    </row>
    <row r="88" spans="2:5" x14ac:dyDescent="0.35">
      <c r="B88"/>
      <c r="C88"/>
      <c r="D88"/>
      <c r="E88"/>
    </row>
    <row r="89" spans="2:5" x14ac:dyDescent="0.35">
      <c r="B89"/>
      <c r="C89"/>
      <c r="D89"/>
      <c r="E89"/>
    </row>
    <row r="90" spans="2:5" x14ac:dyDescent="0.35">
      <c r="B90"/>
      <c r="C90"/>
      <c r="D90"/>
    </row>
    <row r="91" spans="2:5" x14ac:dyDescent="0.35">
      <c r="B91"/>
      <c r="C91"/>
      <c r="D91"/>
    </row>
    <row r="92" spans="2:5" x14ac:dyDescent="0.35">
      <c r="B92"/>
      <c r="C92"/>
      <c r="D92"/>
    </row>
    <row r="93" spans="2:5" x14ac:dyDescent="0.35">
      <c r="B93"/>
      <c r="C93"/>
      <c r="D93"/>
    </row>
    <row r="94" spans="2:5" x14ac:dyDescent="0.35">
      <c r="B94"/>
      <c r="C94"/>
      <c r="D94"/>
    </row>
    <row r="95" spans="2:5" x14ac:dyDescent="0.35">
      <c r="B95"/>
      <c r="C95"/>
      <c r="D95"/>
    </row>
    <row r="96" spans="2:5" x14ac:dyDescent="0.35">
      <c r="B96"/>
      <c r="C96"/>
      <c r="D96"/>
    </row>
    <row r="97" spans="2:4" x14ac:dyDescent="0.35">
      <c r="B97"/>
      <c r="C97"/>
      <c r="D97"/>
    </row>
    <row r="98" spans="2:4" x14ac:dyDescent="0.35">
      <c r="B98"/>
      <c r="C98"/>
      <c r="D98"/>
    </row>
    <row r="99" spans="2:4" x14ac:dyDescent="0.35">
      <c r="B99"/>
      <c r="C99"/>
      <c r="D99"/>
    </row>
    <row r="100" spans="2:4" x14ac:dyDescent="0.35">
      <c r="B100"/>
      <c r="C100"/>
      <c r="D100"/>
    </row>
    <row r="101" spans="2:4" x14ac:dyDescent="0.35">
      <c r="B101"/>
      <c r="C101"/>
      <c r="D101"/>
    </row>
    <row r="102" spans="2:4" x14ac:dyDescent="0.35">
      <c r="B102"/>
      <c r="C102"/>
      <c r="D102"/>
    </row>
    <row r="103" spans="2:4" x14ac:dyDescent="0.35">
      <c r="B103"/>
      <c r="C103"/>
      <c r="D103"/>
    </row>
    <row r="104" spans="2:4" x14ac:dyDescent="0.35">
      <c r="B104"/>
      <c r="C104"/>
      <c r="D104"/>
    </row>
    <row r="105" spans="2:4" x14ac:dyDescent="0.35">
      <c r="B105"/>
      <c r="C105"/>
      <c r="D105"/>
    </row>
    <row r="106" spans="2:4" x14ac:dyDescent="0.35">
      <c r="B106"/>
      <c r="C106"/>
      <c r="D106"/>
    </row>
    <row r="107" spans="2:4" x14ac:dyDescent="0.35">
      <c r="B107"/>
      <c r="C107"/>
      <c r="D107"/>
    </row>
    <row r="108" spans="2:4" x14ac:dyDescent="0.35">
      <c r="B108"/>
      <c r="C108"/>
      <c r="D108"/>
    </row>
    <row r="109" spans="2:4" x14ac:dyDescent="0.35">
      <c r="B109"/>
      <c r="C109"/>
      <c r="D109"/>
    </row>
    <row r="110" spans="2:4" x14ac:dyDescent="0.35">
      <c r="B110"/>
      <c r="C110"/>
      <c r="D110"/>
    </row>
    <row r="111" spans="2:4" x14ac:dyDescent="0.35">
      <c r="B111"/>
      <c r="C111"/>
      <c r="D111"/>
    </row>
    <row r="112" spans="2:4" x14ac:dyDescent="0.35">
      <c r="B112"/>
      <c r="C112"/>
      <c r="D112"/>
    </row>
    <row r="113" spans="2:4" x14ac:dyDescent="0.35">
      <c r="B113"/>
      <c r="C113"/>
      <c r="D113"/>
    </row>
    <row r="114" spans="2:4" x14ac:dyDescent="0.35">
      <c r="B114"/>
      <c r="C114"/>
      <c r="D114"/>
    </row>
    <row r="115" spans="2:4" x14ac:dyDescent="0.35">
      <c r="B115"/>
      <c r="C115"/>
      <c r="D115"/>
    </row>
    <row r="116" spans="2:4" x14ac:dyDescent="0.35">
      <c r="B116"/>
      <c r="C116"/>
    </row>
    <row r="117" spans="2:4" x14ac:dyDescent="0.35">
      <c r="B117"/>
      <c r="C117"/>
    </row>
    <row r="118" spans="2:4" x14ac:dyDescent="0.35">
      <c r="B118"/>
      <c r="C118"/>
    </row>
    <row r="119" spans="2:4" x14ac:dyDescent="0.35">
      <c r="B119"/>
      <c r="C119"/>
    </row>
    <row r="120" spans="2:4" x14ac:dyDescent="0.35">
      <c r="B120"/>
      <c r="C120"/>
    </row>
    <row r="121" spans="2:4" x14ac:dyDescent="0.35">
      <c r="B121"/>
      <c r="C121"/>
    </row>
    <row r="122" spans="2:4" x14ac:dyDescent="0.35">
      <c r="B122"/>
    </row>
    <row r="123" spans="2:4" x14ac:dyDescent="0.35">
      <c r="B123"/>
    </row>
    <row r="124" spans="2:4" x14ac:dyDescent="0.35">
      <c r="B124"/>
    </row>
    <row r="125" spans="2:4" x14ac:dyDescent="0.35">
      <c r="B125"/>
    </row>
    <row r="126" spans="2:4" x14ac:dyDescent="0.35">
      <c r="B126"/>
    </row>
    <row r="127" spans="2:4" x14ac:dyDescent="0.35">
      <c r="B127"/>
    </row>
    <row r="128" spans="2:4" x14ac:dyDescent="0.35">
      <c r="B128"/>
    </row>
    <row r="129" spans="2:2" x14ac:dyDescent="0.35">
      <c r="B129"/>
    </row>
    <row r="130" spans="2:2" x14ac:dyDescent="0.35">
      <c r="B130"/>
    </row>
    <row r="131" spans="2:2" x14ac:dyDescent="0.35">
      <c r="B131"/>
    </row>
    <row r="132" spans="2:2" x14ac:dyDescent="0.35">
      <c r="B132"/>
    </row>
    <row r="133" spans="2:2" x14ac:dyDescent="0.35">
      <c r="B133"/>
    </row>
    <row r="134" spans="2:2" x14ac:dyDescent="0.35">
      <c r="B134"/>
    </row>
    <row r="135" spans="2:2" x14ac:dyDescent="0.35">
      <c r="B135"/>
    </row>
    <row r="136" spans="2:2" x14ac:dyDescent="0.35">
      <c r="B136"/>
    </row>
    <row r="137" spans="2:2" x14ac:dyDescent="0.35">
      <c r="B137"/>
    </row>
    <row r="138" spans="2:2" x14ac:dyDescent="0.35">
      <c r="B138"/>
    </row>
    <row r="139" spans="2:2" x14ac:dyDescent="0.35">
      <c r="B139"/>
    </row>
    <row r="140" spans="2:2" x14ac:dyDescent="0.35">
      <c r="B140"/>
    </row>
    <row r="141" spans="2:2" x14ac:dyDescent="0.35">
      <c r="B141"/>
    </row>
    <row r="142" spans="2:2" x14ac:dyDescent="0.35">
      <c r="B142"/>
    </row>
    <row r="143" spans="2:2" x14ac:dyDescent="0.35">
      <c r="B143"/>
    </row>
    <row r="144" spans="2:2" x14ac:dyDescent="0.35">
      <c r="B144"/>
    </row>
    <row r="145" spans="2:2" x14ac:dyDescent="0.35">
      <c r="B145"/>
    </row>
    <row r="146" spans="2:2" x14ac:dyDescent="0.35">
      <c r="B146"/>
    </row>
    <row r="147" spans="2:2" x14ac:dyDescent="0.35">
      <c r="B147"/>
    </row>
    <row r="148" spans="2:2" x14ac:dyDescent="0.35">
      <c r="B148"/>
    </row>
    <row r="149" spans="2:2" x14ac:dyDescent="0.35">
      <c r="B149"/>
    </row>
    <row r="150" spans="2:2" x14ac:dyDescent="0.35">
      <c r="B150"/>
    </row>
    <row r="151" spans="2:2" x14ac:dyDescent="0.35">
      <c r="B151"/>
    </row>
    <row r="152" spans="2:2" x14ac:dyDescent="0.35">
      <c r="B152"/>
    </row>
    <row r="153" spans="2:2" x14ac:dyDescent="0.35">
      <c r="B153"/>
    </row>
    <row r="154" spans="2:2" x14ac:dyDescent="0.35">
      <c r="B154"/>
    </row>
    <row r="155" spans="2:2" x14ac:dyDescent="0.35">
      <c r="B155"/>
    </row>
    <row r="156" spans="2:2" x14ac:dyDescent="0.35">
      <c r="B156"/>
    </row>
    <row r="157" spans="2:2" x14ac:dyDescent="0.35">
      <c r="B157"/>
    </row>
    <row r="158" spans="2:2" x14ac:dyDescent="0.35">
      <c r="B158"/>
    </row>
    <row r="159" spans="2:2" x14ac:dyDescent="0.35">
      <c r="B159"/>
    </row>
    <row r="160" spans="2:2"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row r="177" spans="2:2" x14ac:dyDescent="0.35">
      <c r="B177"/>
    </row>
    <row r="178" spans="2:2" x14ac:dyDescent="0.35">
      <c r="B178"/>
    </row>
    <row r="179" spans="2:2" x14ac:dyDescent="0.35">
      <c r="B179"/>
    </row>
    <row r="180" spans="2:2" x14ac:dyDescent="0.35">
      <c r="B180"/>
    </row>
    <row r="181" spans="2:2" x14ac:dyDescent="0.35">
      <c r="B181"/>
    </row>
    <row r="182" spans="2:2" x14ac:dyDescent="0.35">
      <c r="B182"/>
    </row>
    <row r="183" spans="2:2" x14ac:dyDescent="0.35">
      <c r="B183"/>
    </row>
    <row r="184" spans="2:2" x14ac:dyDescent="0.35">
      <c r="B184"/>
    </row>
    <row r="185" spans="2:2" x14ac:dyDescent="0.35">
      <c r="B185"/>
    </row>
    <row r="186" spans="2:2" x14ac:dyDescent="0.35">
      <c r="B186"/>
    </row>
    <row r="187" spans="2:2" x14ac:dyDescent="0.35">
      <c r="B187"/>
    </row>
    <row r="188" spans="2:2" x14ac:dyDescent="0.35">
      <c r="B188"/>
    </row>
    <row r="189" spans="2:2" x14ac:dyDescent="0.35">
      <c r="B189"/>
    </row>
    <row r="190" spans="2:2" x14ac:dyDescent="0.35">
      <c r="B190"/>
    </row>
    <row r="191" spans="2:2" x14ac:dyDescent="0.35">
      <c r="B191"/>
    </row>
    <row r="192" spans="2:2" x14ac:dyDescent="0.35">
      <c r="B192"/>
    </row>
    <row r="193" spans="2:2" x14ac:dyDescent="0.35">
      <c r="B193"/>
    </row>
    <row r="194" spans="2:2" x14ac:dyDescent="0.35">
      <c r="B194"/>
    </row>
    <row r="195" spans="2:2" x14ac:dyDescent="0.35">
      <c r="B195"/>
    </row>
    <row r="196" spans="2:2" x14ac:dyDescent="0.35">
      <c r="B196"/>
    </row>
    <row r="197" spans="2:2" x14ac:dyDescent="0.35">
      <c r="B197"/>
    </row>
    <row r="198" spans="2:2" x14ac:dyDescent="0.35">
      <c r="B198"/>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row r="205" spans="2:2" x14ac:dyDescent="0.35">
      <c r="B205"/>
    </row>
    <row r="206" spans="2:2" x14ac:dyDescent="0.35">
      <c r="B206"/>
    </row>
    <row r="207" spans="2:2" x14ac:dyDescent="0.35">
      <c r="B207"/>
    </row>
    <row r="208" spans="2:2" x14ac:dyDescent="0.35">
      <c r="B208"/>
    </row>
    <row r="209" spans="2:2" x14ac:dyDescent="0.35">
      <c r="B209"/>
    </row>
    <row r="210" spans="2:2" x14ac:dyDescent="0.35">
      <c r="B210"/>
    </row>
    <row r="211" spans="2:2" x14ac:dyDescent="0.35">
      <c r="B211"/>
    </row>
    <row r="212" spans="2:2" x14ac:dyDescent="0.35">
      <c r="B212"/>
    </row>
    <row r="213" spans="2:2" x14ac:dyDescent="0.35">
      <c r="B213"/>
    </row>
    <row r="214" spans="2:2" x14ac:dyDescent="0.35">
      <c r="B214"/>
    </row>
    <row r="215" spans="2:2" x14ac:dyDescent="0.35">
      <c r="B215"/>
    </row>
    <row r="216" spans="2:2" x14ac:dyDescent="0.35">
      <c r="B216"/>
    </row>
    <row r="217" spans="2:2" x14ac:dyDescent="0.35">
      <c r="B217"/>
    </row>
    <row r="218" spans="2:2" x14ac:dyDescent="0.35">
      <c r="B218"/>
    </row>
    <row r="219" spans="2:2" x14ac:dyDescent="0.35">
      <c r="B219"/>
    </row>
    <row r="220" spans="2:2" x14ac:dyDescent="0.35">
      <c r="B220"/>
    </row>
    <row r="221" spans="2:2" x14ac:dyDescent="0.35">
      <c r="B221"/>
    </row>
    <row r="222" spans="2:2" x14ac:dyDescent="0.35">
      <c r="B222"/>
    </row>
    <row r="223" spans="2:2" x14ac:dyDescent="0.35">
      <c r="B223"/>
    </row>
    <row r="224" spans="2:2" x14ac:dyDescent="0.35">
      <c r="B224"/>
    </row>
    <row r="225" spans="2:2" x14ac:dyDescent="0.35">
      <c r="B225"/>
    </row>
    <row r="226" spans="2:2" x14ac:dyDescent="0.35">
      <c r="B226"/>
    </row>
    <row r="227" spans="2:2" x14ac:dyDescent="0.35">
      <c r="B227"/>
    </row>
    <row r="228" spans="2:2" x14ac:dyDescent="0.35">
      <c r="B228"/>
    </row>
    <row r="229" spans="2:2" x14ac:dyDescent="0.35">
      <c r="B229"/>
    </row>
    <row r="230" spans="2:2" x14ac:dyDescent="0.35">
      <c r="B230"/>
    </row>
    <row r="231" spans="2:2" x14ac:dyDescent="0.35">
      <c r="B231"/>
    </row>
    <row r="232" spans="2:2" x14ac:dyDescent="0.35">
      <c r="B232"/>
    </row>
    <row r="233" spans="2:2" x14ac:dyDescent="0.35">
      <c r="B233"/>
    </row>
    <row r="234" spans="2:2" x14ac:dyDescent="0.35">
      <c r="B234"/>
    </row>
    <row r="235" spans="2:2" x14ac:dyDescent="0.35">
      <c r="B235"/>
    </row>
    <row r="236" spans="2:2" x14ac:dyDescent="0.35">
      <c r="B236"/>
    </row>
    <row r="237" spans="2:2" x14ac:dyDescent="0.35">
      <c r="B237"/>
    </row>
    <row r="238" spans="2:2" x14ac:dyDescent="0.35">
      <c r="B238"/>
    </row>
    <row r="239" spans="2:2" x14ac:dyDescent="0.35">
      <c r="B239"/>
    </row>
    <row r="240" spans="2:2" x14ac:dyDescent="0.35">
      <c r="B240"/>
    </row>
    <row r="241" spans="2:2" x14ac:dyDescent="0.35">
      <c r="B241"/>
    </row>
    <row r="242" spans="2:2" x14ac:dyDescent="0.35">
      <c r="B242"/>
    </row>
    <row r="243" spans="2:2" x14ac:dyDescent="0.35">
      <c r="B243"/>
    </row>
    <row r="244" spans="2:2" x14ac:dyDescent="0.35">
      <c r="B244"/>
    </row>
    <row r="245" spans="2:2" x14ac:dyDescent="0.35">
      <c r="B245"/>
    </row>
    <row r="246" spans="2:2" x14ac:dyDescent="0.35">
      <c r="B246"/>
    </row>
    <row r="247" spans="2:2" x14ac:dyDescent="0.35">
      <c r="B247"/>
    </row>
    <row r="248" spans="2:2" x14ac:dyDescent="0.35">
      <c r="B248"/>
    </row>
    <row r="249" spans="2:2" x14ac:dyDescent="0.35">
      <c r="B249"/>
    </row>
    <row r="250" spans="2:2" x14ac:dyDescent="0.35">
      <c r="B250"/>
    </row>
    <row r="251" spans="2:2" x14ac:dyDescent="0.35">
      <c r="B251"/>
    </row>
    <row r="252" spans="2:2" x14ac:dyDescent="0.35">
      <c r="B252"/>
    </row>
    <row r="253" spans="2:2" x14ac:dyDescent="0.35">
      <c r="B253"/>
    </row>
    <row r="254" spans="2:2" x14ac:dyDescent="0.35">
      <c r="B254"/>
    </row>
    <row r="255" spans="2:2" x14ac:dyDescent="0.35">
      <c r="B255"/>
    </row>
    <row r="256" spans="2:2" x14ac:dyDescent="0.35">
      <c r="B256"/>
    </row>
    <row r="257" spans="2:2" x14ac:dyDescent="0.35">
      <c r="B257"/>
    </row>
    <row r="258" spans="2:2" x14ac:dyDescent="0.35">
      <c r="B258"/>
    </row>
    <row r="259" spans="2:2" x14ac:dyDescent="0.35">
      <c r="B259"/>
    </row>
    <row r="260" spans="2:2" x14ac:dyDescent="0.35">
      <c r="B260"/>
    </row>
    <row r="261" spans="2:2" x14ac:dyDescent="0.35">
      <c r="B261"/>
    </row>
    <row r="262" spans="2:2" x14ac:dyDescent="0.35">
      <c r="B262"/>
    </row>
    <row r="263" spans="2:2" x14ac:dyDescent="0.35">
      <c r="B263"/>
    </row>
    <row r="264" spans="2:2" x14ac:dyDescent="0.35">
      <c r="B264"/>
    </row>
    <row r="265" spans="2:2" x14ac:dyDescent="0.35">
      <c r="B265"/>
    </row>
    <row r="266" spans="2:2" x14ac:dyDescent="0.35">
      <c r="B266"/>
    </row>
    <row r="267" spans="2:2" x14ac:dyDescent="0.35">
      <c r="B267"/>
    </row>
    <row r="268" spans="2:2" x14ac:dyDescent="0.35">
      <c r="B268"/>
    </row>
    <row r="269" spans="2:2" x14ac:dyDescent="0.35">
      <c r="B269"/>
    </row>
    <row r="270" spans="2:2" x14ac:dyDescent="0.35">
      <c r="B270"/>
    </row>
    <row r="271" spans="2:2" x14ac:dyDescent="0.35">
      <c r="B271"/>
    </row>
    <row r="272" spans="2:2" x14ac:dyDescent="0.35">
      <c r="B272"/>
    </row>
    <row r="273" spans="2:2" x14ac:dyDescent="0.35">
      <c r="B273"/>
    </row>
    <row r="274" spans="2:2" x14ac:dyDescent="0.35">
      <c r="B274"/>
    </row>
    <row r="275" spans="2:2" x14ac:dyDescent="0.35">
      <c r="B275"/>
    </row>
    <row r="276" spans="2:2" x14ac:dyDescent="0.35">
      <c r="B276"/>
    </row>
    <row r="277" spans="2:2" x14ac:dyDescent="0.35">
      <c r="B277"/>
    </row>
    <row r="278" spans="2:2" x14ac:dyDescent="0.35">
      <c r="B278"/>
    </row>
    <row r="279" spans="2:2" x14ac:dyDescent="0.35">
      <c r="B279"/>
    </row>
    <row r="280" spans="2:2" x14ac:dyDescent="0.35">
      <c r="B280"/>
    </row>
    <row r="281" spans="2:2" x14ac:dyDescent="0.35">
      <c r="B281"/>
    </row>
    <row r="282" spans="2:2" x14ac:dyDescent="0.35">
      <c r="B282"/>
    </row>
    <row r="283" spans="2:2" x14ac:dyDescent="0.35">
      <c r="B283"/>
    </row>
    <row r="284" spans="2:2" x14ac:dyDescent="0.35">
      <c r="B284"/>
    </row>
    <row r="285" spans="2:2" x14ac:dyDescent="0.35">
      <c r="B285"/>
    </row>
    <row r="286" spans="2:2" x14ac:dyDescent="0.35">
      <c r="B286"/>
    </row>
    <row r="287" spans="2:2" x14ac:dyDescent="0.35">
      <c r="B287"/>
    </row>
    <row r="288" spans="2:2" x14ac:dyDescent="0.35">
      <c r="B288"/>
    </row>
    <row r="289" spans="2:2" x14ac:dyDescent="0.35">
      <c r="B289"/>
    </row>
    <row r="290" spans="2:2" x14ac:dyDescent="0.35">
      <c r="B290"/>
    </row>
    <row r="291" spans="2:2" x14ac:dyDescent="0.35">
      <c r="B291"/>
    </row>
    <row r="292" spans="2:2" x14ac:dyDescent="0.35">
      <c r="B292"/>
    </row>
    <row r="293" spans="2:2" x14ac:dyDescent="0.35">
      <c r="B293"/>
    </row>
    <row r="294" spans="2:2" x14ac:dyDescent="0.35">
      <c r="B294"/>
    </row>
    <row r="295" spans="2:2" x14ac:dyDescent="0.35">
      <c r="B295"/>
    </row>
    <row r="296" spans="2:2" x14ac:dyDescent="0.35">
      <c r="B296"/>
    </row>
    <row r="297" spans="2:2" x14ac:dyDescent="0.35">
      <c r="B297"/>
    </row>
    <row r="298" spans="2:2" x14ac:dyDescent="0.35">
      <c r="B298"/>
    </row>
    <row r="299" spans="2:2" x14ac:dyDescent="0.35">
      <c r="B299"/>
    </row>
    <row r="300" spans="2:2" x14ac:dyDescent="0.35">
      <c r="B300"/>
    </row>
    <row r="301" spans="2:2" x14ac:dyDescent="0.35">
      <c r="B301"/>
    </row>
    <row r="302" spans="2:2" x14ac:dyDescent="0.35">
      <c r="B302"/>
    </row>
    <row r="303" spans="2:2" x14ac:dyDescent="0.35">
      <c r="B303"/>
    </row>
    <row r="304" spans="2:2" x14ac:dyDescent="0.35">
      <c r="B304"/>
    </row>
    <row r="305" spans="2:2" x14ac:dyDescent="0.35">
      <c r="B305"/>
    </row>
    <row r="306" spans="2:2" x14ac:dyDescent="0.35">
      <c r="B306"/>
    </row>
    <row r="307" spans="2:2" x14ac:dyDescent="0.35">
      <c r="B307"/>
    </row>
    <row r="308" spans="2:2" x14ac:dyDescent="0.35">
      <c r="B308"/>
    </row>
    <row r="309" spans="2:2" x14ac:dyDescent="0.35">
      <c r="B309"/>
    </row>
    <row r="310" spans="2:2" x14ac:dyDescent="0.35">
      <c r="B310"/>
    </row>
    <row r="311" spans="2:2" x14ac:dyDescent="0.35">
      <c r="B311"/>
    </row>
    <row r="312" spans="2:2" x14ac:dyDescent="0.35">
      <c r="B312"/>
    </row>
    <row r="313" spans="2:2" x14ac:dyDescent="0.35">
      <c r="B313"/>
    </row>
    <row r="314" spans="2:2" x14ac:dyDescent="0.35">
      <c r="B314"/>
    </row>
    <row r="315" spans="2:2" x14ac:dyDescent="0.35">
      <c r="B315"/>
    </row>
    <row r="316" spans="2:2" x14ac:dyDescent="0.35">
      <c r="B316"/>
    </row>
    <row r="317" spans="2:2" x14ac:dyDescent="0.35">
      <c r="B317"/>
    </row>
    <row r="318" spans="2:2" x14ac:dyDescent="0.35">
      <c r="B318"/>
    </row>
    <row r="319" spans="2:2" x14ac:dyDescent="0.35">
      <c r="B319"/>
    </row>
    <row r="320" spans="2:2" x14ac:dyDescent="0.35">
      <c r="B320"/>
    </row>
    <row r="321" spans="2:2" x14ac:dyDescent="0.35">
      <c r="B321"/>
    </row>
    <row r="322" spans="2:2" x14ac:dyDescent="0.35">
      <c r="B322"/>
    </row>
    <row r="323" spans="2:2" x14ac:dyDescent="0.35">
      <c r="B323"/>
    </row>
    <row r="324" spans="2:2" x14ac:dyDescent="0.35">
      <c r="B324"/>
    </row>
    <row r="325" spans="2:2" x14ac:dyDescent="0.35">
      <c r="B325"/>
    </row>
    <row r="326" spans="2:2" x14ac:dyDescent="0.35">
      <c r="B326"/>
    </row>
    <row r="327" spans="2:2" x14ac:dyDescent="0.35">
      <c r="B327"/>
    </row>
    <row r="328" spans="2:2" x14ac:dyDescent="0.35">
      <c r="B328"/>
    </row>
    <row r="329" spans="2:2" x14ac:dyDescent="0.35">
      <c r="B329"/>
    </row>
    <row r="330" spans="2:2" x14ac:dyDescent="0.35">
      <c r="B330"/>
    </row>
    <row r="331" spans="2:2" x14ac:dyDescent="0.35">
      <c r="B331"/>
    </row>
    <row r="332" spans="2:2" x14ac:dyDescent="0.35">
      <c r="B332"/>
    </row>
    <row r="333" spans="2:2" x14ac:dyDescent="0.35">
      <c r="B333"/>
    </row>
    <row r="334" spans="2:2" x14ac:dyDescent="0.35">
      <c r="B334"/>
    </row>
    <row r="335" spans="2:2" x14ac:dyDescent="0.35">
      <c r="B335"/>
    </row>
    <row r="336" spans="2:2" x14ac:dyDescent="0.35">
      <c r="B336"/>
    </row>
    <row r="337" spans="2:2" x14ac:dyDescent="0.35">
      <c r="B337"/>
    </row>
    <row r="338" spans="2:2" x14ac:dyDescent="0.35">
      <c r="B338"/>
    </row>
    <row r="339" spans="2:2" x14ac:dyDescent="0.35">
      <c r="B339"/>
    </row>
    <row r="340" spans="2:2" x14ac:dyDescent="0.35">
      <c r="B340"/>
    </row>
    <row r="341" spans="2:2" x14ac:dyDescent="0.35">
      <c r="B341"/>
    </row>
    <row r="342" spans="2:2" x14ac:dyDescent="0.35">
      <c r="B342"/>
    </row>
    <row r="343" spans="2:2" x14ac:dyDescent="0.35">
      <c r="B343"/>
    </row>
    <row r="344" spans="2:2" x14ac:dyDescent="0.35">
      <c r="B344"/>
    </row>
    <row r="345" spans="2:2" x14ac:dyDescent="0.35">
      <c r="B345"/>
    </row>
    <row r="346" spans="2:2" x14ac:dyDescent="0.35">
      <c r="B346"/>
    </row>
    <row r="347" spans="2:2" x14ac:dyDescent="0.35">
      <c r="B347"/>
    </row>
    <row r="348" spans="2:2" x14ac:dyDescent="0.35">
      <c r="B348"/>
    </row>
    <row r="349" spans="2:2" x14ac:dyDescent="0.35">
      <c r="B349"/>
    </row>
    <row r="350" spans="2:2" x14ac:dyDescent="0.35">
      <c r="B350"/>
    </row>
    <row r="351" spans="2:2" x14ac:dyDescent="0.35">
      <c r="B351"/>
    </row>
    <row r="352" spans="2:2" x14ac:dyDescent="0.35">
      <c r="B352"/>
    </row>
    <row r="353" spans="2:2" x14ac:dyDescent="0.35">
      <c r="B353"/>
    </row>
    <row r="354" spans="2:2" x14ac:dyDescent="0.35">
      <c r="B354"/>
    </row>
    <row r="355" spans="2:2" x14ac:dyDescent="0.35">
      <c r="B355"/>
    </row>
    <row r="356" spans="2:2" x14ac:dyDescent="0.35">
      <c r="B356"/>
    </row>
    <row r="357" spans="2:2" x14ac:dyDescent="0.35">
      <c r="B357"/>
    </row>
    <row r="358" spans="2:2" x14ac:dyDescent="0.35">
      <c r="B358"/>
    </row>
    <row r="359" spans="2:2" x14ac:dyDescent="0.35">
      <c r="B359"/>
    </row>
    <row r="360" spans="2:2" x14ac:dyDescent="0.35">
      <c r="B360"/>
    </row>
    <row r="361" spans="2:2" x14ac:dyDescent="0.35">
      <c r="B361"/>
    </row>
    <row r="362" spans="2:2" x14ac:dyDescent="0.35">
      <c r="B362"/>
    </row>
    <row r="363" spans="2:2" x14ac:dyDescent="0.35">
      <c r="B363"/>
    </row>
    <row r="364" spans="2:2" x14ac:dyDescent="0.35">
      <c r="B364"/>
    </row>
    <row r="365" spans="2:2" x14ac:dyDescent="0.35">
      <c r="B365"/>
    </row>
    <row r="366" spans="2:2" x14ac:dyDescent="0.35">
      <c r="B366"/>
    </row>
    <row r="367" spans="2:2" x14ac:dyDescent="0.35">
      <c r="B367"/>
    </row>
    <row r="368" spans="2:2" x14ac:dyDescent="0.35">
      <c r="B368"/>
    </row>
    <row r="369" spans="2:2" x14ac:dyDescent="0.35">
      <c r="B369"/>
    </row>
    <row r="370" spans="2:2" x14ac:dyDescent="0.35">
      <c r="B370"/>
    </row>
    <row r="371" spans="2:2" x14ac:dyDescent="0.35">
      <c r="B371"/>
    </row>
    <row r="372" spans="2:2" x14ac:dyDescent="0.35">
      <c r="B372"/>
    </row>
    <row r="373" spans="2:2" x14ac:dyDescent="0.35">
      <c r="B373"/>
    </row>
    <row r="374" spans="2:2" x14ac:dyDescent="0.35">
      <c r="B374"/>
    </row>
    <row r="375" spans="2:2" x14ac:dyDescent="0.35">
      <c r="B375"/>
    </row>
    <row r="376" spans="2:2" x14ac:dyDescent="0.35">
      <c r="B376"/>
    </row>
    <row r="377" spans="2:2" x14ac:dyDescent="0.35">
      <c r="B377"/>
    </row>
    <row r="378" spans="2:2" x14ac:dyDescent="0.35">
      <c r="B378"/>
    </row>
    <row r="379" spans="2:2" x14ac:dyDescent="0.35">
      <c r="B379"/>
    </row>
    <row r="380" spans="2:2" x14ac:dyDescent="0.35">
      <c r="B380"/>
    </row>
    <row r="381" spans="2:2" x14ac:dyDescent="0.35">
      <c r="B381"/>
    </row>
    <row r="382" spans="2:2" x14ac:dyDescent="0.35">
      <c r="B382"/>
    </row>
    <row r="383" spans="2:2" x14ac:dyDescent="0.35">
      <c r="B383"/>
    </row>
    <row r="384" spans="2:2" x14ac:dyDescent="0.35">
      <c r="B384"/>
    </row>
    <row r="385" spans="2:2" x14ac:dyDescent="0.35">
      <c r="B385"/>
    </row>
    <row r="386" spans="2:2" x14ac:dyDescent="0.35">
      <c r="B386"/>
    </row>
    <row r="387" spans="2:2" x14ac:dyDescent="0.35">
      <c r="B387"/>
    </row>
    <row r="388" spans="2:2" x14ac:dyDescent="0.35">
      <c r="B388"/>
    </row>
    <row r="389" spans="2:2" x14ac:dyDescent="0.35">
      <c r="B389"/>
    </row>
    <row r="390" spans="2:2" x14ac:dyDescent="0.35">
      <c r="B390"/>
    </row>
    <row r="391" spans="2:2" x14ac:dyDescent="0.35">
      <c r="B391"/>
    </row>
    <row r="392" spans="2:2" x14ac:dyDescent="0.35">
      <c r="B392"/>
    </row>
    <row r="393" spans="2:2" x14ac:dyDescent="0.35">
      <c r="B393"/>
    </row>
    <row r="394" spans="2:2" x14ac:dyDescent="0.35">
      <c r="B394"/>
    </row>
    <row r="395" spans="2:2" x14ac:dyDescent="0.35">
      <c r="B395"/>
    </row>
    <row r="396" spans="2:2" x14ac:dyDescent="0.35">
      <c r="B396"/>
    </row>
    <row r="397" spans="2:2" x14ac:dyDescent="0.35">
      <c r="B397"/>
    </row>
    <row r="398" spans="2:2" x14ac:dyDescent="0.35">
      <c r="B398"/>
    </row>
    <row r="399" spans="2:2" x14ac:dyDescent="0.35">
      <c r="B399"/>
    </row>
    <row r="400" spans="2:2" x14ac:dyDescent="0.35">
      <c r="B400"/>
    </row>
    <row r="401" spans="2:2" x14ac:dyDescent="0.35">
      <c r="B401"/>
    </row>
    <row r="402" spans="2:2" x14ac:dyDescent="0.35">
      <c r="B402"/>
    </row>
    <row r="403" spans="2:2" x14ac:dyDescent="0.35">
      <c r="B403"/>
    </row>
    <row r="404" spans="2:2" x14ac:dyDescent="0.35">
      <c r="B404"/>
    </row>
    <row r="405" spans="2:2" x14ac:dyDescent="0.35">
      <c r="B405"/>
    </row>
    <row r="406" spans="2:2" x14ac:dyDescent="0.35">
      <c r="B406"/>
    </row>
    <row r="407" spans="2:2" x14ac:dyDescent="0.35">
      <c r="B407"/>
    </row>
    <row r="408" spans="2:2" x14ac:dyDescent="0.35">
      <c r="B408"/>
    </row>
    <row r="409" spans="2:2" x14ac:dyDescent="0.35">
      <c r="B409"/>
    </row>
    <row r="410" spans="2:2" x14ac:dyDescent="0.35">
      <c r="B410"/>
    </row>
    <row r="411" spans="2:2" x14ac:dyDescent="0.35">
      <c r="B411"/>
    </row>
    <row r="412" spans="2:2" x14ac:dyDescent="0.35">
      <c r="B412"/>
    </row>
    <row r="413" spans="2:2" x14ac:dyDescent="0.35">
      <c r="B413"/>
    </row>
    <row r="414" spans="2:2" x14ac:dyDescent="0.35">
      <c r="B414"/>
    </row>
    <row r="415" spans="2:2" x14ac:dyDescent="0.35">
      <c r="B415"/>
    </row>
    <row r="416" spans="2:2" x14ac:dyDescent="0.35">
      <c r="B416"/>
    </row>
    <row r="417" spans="2:2" x14ac:dyDescent="0.35">
      <c r="B417"/>
    </row>
    <row r="418" spans="2:2" x14ac:dyDescent="0.35">
      <c r="B418"/>
    </row>
    <row r="419" spans="2:2" x14ac:dyDescent="0.35">
      <c r="B419"/>
    </row>
    <row r="420" spans="2:2" x14ac:dyDescent="0.35">
      <c r="B420"/>
    </row>
    <row r="421" spans="2:2" x14ac:dyDescent="0.35">
      <c r="B421"/>
    </row>
    <row r="422" spans="2:2" x14ac:dyDescent="0.35">
      <c r="B422"/>
    </row>
    <row r="423" spans="2:2" x14ac:dyDescent="0.35">
      <c r="B423"/>
    </row>
    <row r="424" spans="2:2" x14ac:dyDescent="0.35">
      <c r="B424"/>
    </row>
    <row r="425" spans="2:2" x14ac:dyDescent="0.35">
      <c r="B425"/>
    </row>
    <row r="426" spans="2:2" x14ac:dyDescent="0.35">
      <c r="B426"/>
    </row>
    <row r="427" spans="2:2" x14ac:dyDescent="0.35">
      <c r="B427"/>
    </row>
    <row r="428" spans="2:2" x14ac:dyDescent="0.35">
      <c r="B428"/>
    </row>
    <row r="429" spans="2:2" x14ac:dyDescent="0.35">
      <c r="B429"/>
    </row>
    <row r="430" spans="2:2" x14ac:dyDescent="0.35">
      <c r="B430"/>
    </row>
    <row r="431" spans="2:2" x14ac:dyDescent="0.35">
      <c r="B431"/>
    </row>
    <row r="432" spans="2:2" x14ac:dyDescent="0.35">
      <c r="B432"/>
    </row>
    <row r="433" spans="2:2" x14ac:dyDescent="0.35">
      <c r="B433"/>
    </row>
    <row r="434" spans="2:2" x14ac:dyDescent="0.35">
      <c r="B434"/>
    </row>
    <row r="435" spans="2:2" x14ac:dyDescent="0.35">
      <c r="B435"/>
    </row>
    <row r="436" spans="2:2" x14ac:dyDescent="0.35">
      <c r="B436"/>
    </row>
    <row r="437" spans="2:2" x14ac:dyDescent="0.35">
      <c r="B437"/>
    </row>
    <row r="438" spans="2:2" x14ac:dyDescent="0.35">
      <c r="B438"/>
    </row>
    <row r="439" spans="2:2" x14ac:dyDescent="0.35">
      <c r="B439"/>
    </row>
    <row r="440" spans="2:2" x14ac:dyDescent="0.35">
      <c r="B440"/>
    </row>
    <row r="441" spans="2:2" x14ac:dyDescent="0.35">
      <c r="B441"/>
    </row>
    <row r="442" spans="2:2" x14ac:dyDescent="0.35">
      <c r="B442"/>
    </row>
    <row r="443" spans="2:2" x14ac:dyDescent="0.35">
      <c r="B443"/>
    </row>
    <row r="444" spans="2:2" x14ac:dyDescent="0.35">
      <c r="B444"/>
    </row>
    <row r="445" spans="2:2" x14ac:dyDescent="0.35">
      <c r="B445"/>
    </row>
    <row r="446" spans="2:2" x14ac:dyDescent="0.35">
      <c r="B446"/>
    </row>
    <row r="447" spans="2:2" x14ac:dyDescent="0.35">
      <c r="B447"/>
    </row>
    <row r="448" spans="2:2" x14ac:dyDescent="0.35">
      <c r="B448"/>
    </row>
    <row r="449" spans="2:2" x14ac:dyDescent="0.35">
      <c r="B449"/>
    </row>
    <row r="450" spans="2:2" x14ac:dyDescent="0.35">
      <c r="B450"/>
    </row>
    <row r="451" spans="2:2" x14ac:dyDescent="0.35">
      <c r="B451"/>
    </row>
    <row r="452" spans="2:2" x14ac:dyDescent="0.35">
      <c r="B452"/>
    </row>
    <row r="453" spans="2:2" x14ac:dyDescent="0.35">
      <c r="B453"/>
    </row>
    <row r="454" spans="2:2" x14ac:dyDescent="0.35">
      <c r="B454"/>
    </row>
    <row r="455" spans="2:2" x14ac:dyDescent="0.35">
      <c r="B455"/>
    </row>
    <row r="456" spans="2:2" x14ac:dyDescent="0.35">
      <c r="B456"/>
    </row>
    <row r="457" spans="2:2" x14ac:dyDescent="0.35">
      <c r="B457"/>
    </row>
    <row r="458" spans="2:2" x14ac:dyDescent="0.35">
      <c r="B458"/>
    </row>
    <row r="459" spans="2:2" x14ac:dyDescent="0.35">
      <c r="B459"/>
    </row>
    <row r="460" spans="2:2" x14ac:dyDescent="0.35">
      <c r="B460"/>
    </row>
    <row r="461" spans="2:2" x14ac:dyDescent="0.35">
      <c r="B461"/>
    </row>
    <row r="462" spans="2:2" x14ac:dyDescent="0.35">
      <c r="B462"/>
    </row>
    <row r="463" spans="2:2" x14ac:dyDescent="0.35">
      <c r="B463"/>
    </row>
    <row r="464" spans="2:2" x14ac:dyDescent="0.35">
      <c r="B464"/>
    </row>
    <row r="465" spans="2:2" x14ac:dyDescent="0.35">
      <c r="B465"/>
    </row>
    <row r="466" spans="2:2" x14ac:dyDescent="0.35">
      <c r="B466"/>
    </row>
    <row r="467" spans="2:2" x14ac:dyDescent="0.35">
      <c r="B467"/>
    </row>
    <row r="468" spans="2:2" x14ac:dyDescent="0.35">
      <c r="B468"/>
    </row>
    <row r="469" spans="2:2" x14ac:dyDescent="0.35">
      <c r="B469"/>
    </row>
    <row r="470" spans="2:2" x14ac:dyDescent="0.35">
      <c r="B470"/>
    </row>
    <row r="471" spans="2:2" x14ac:dyDescent="0.35">
      <c r="B471"/>
    </row>
    <row r="472" spans="2:2" x14ac:dyDescent="0.35">
      <c r="B472"/>
    </row>
    <row r="473" spans="2:2" x14ac:dyDescent="0.35">
      <c r="B473"/>
    </row>
    <row r="474" spans="2:2" x14ac:dyDescent="0.35">
      <c r="B474"/>
    </row>
    <row r="475" spans="2:2" x14ac:dyDescent="0.35">
      <c r="B475"/>
    </row>
    <row r="476" spans="2:2" x14ac:dyDescent="0.35">
      <c r="B476"/>
    </row>
    <row r="477" spans="2:2" x14ac:dyDescent="0.35">
      <c r="B477"/>
    </row>
    <row r="478" spans="2:2" x14ac:dyDescent="0.35">
      <c r="B478"/>
    </row>
    <row r="479" spans="2:2" x14ac:dyDescent="0.35">
      <c r="B479"/>
    </row>
    <row r="480" spans="2:2" x14ac:dyDescent="0.35">
      <c r="B480"/>
    </row>
    <row r="481" spans="2:2" x14ac:dyDescent="0.35">
      <c r="B481"/>
    </row>
    <row r="482" spans="2:2" x14ac:dyDescent="0.35">
      <c r="B482"/>
    </row>
    <row r="483" spans="2:2" x14ac:dyDescent="0.35">
      <c r="B483"/>
    </row>
    <row r="484" spans="2:2" x14ac:dyDescent="0.35">
      <c r="B484"/>
    </row>
    <row r="485" spans="2:2" x14ac:dyDescent="0.35">
      <c r="B485"/>
    </row>
    <row r="486" spans="2:2" x14ac:dyDescent="0.35">
      <c r="B486"/>
    </row>
    <row r="487" spans="2:2" x14ac:dyDescent="0.35">
      <c r="B487"/>
    </row>
    <row r="488" spans="2:2" x14ac:dyDescent="0.35">
      <c r="B488"/>
    </row>
    <row r="489" spans="2:2" x14ac:dyDescent="0.35">
      <c r="B489"/>
    </row>
    <row r="490" spans="2:2" x14ac:dyDescent="0.35">
      <c r="B490"/>
    </row>
    <row r="491" spans="2:2" x14ac:dyDescent="0.35">
      <c r="B491"/>
    </row>
    <row r="492" spans="2:2" x14ac:dyDescent="0.35">
      <c r="B492"/>
    </row>
    <row r="493" spans="2:2" x14ac:dyDescent="0.35">
      <c r="B493"/>
    </row>
    <row r="494" spans="2:2" x14ac:dyDescent="0.35">
      <c r="B494"/>
    </row>
    <row r="495" spans="2:2" x14ac:dyDescent="0.35">
      <c r="B495"/>
    </row>
    <row r="496" spans="2:2" x14ac:dyDescent="0.35">
      <c r="B496"/>
    </row>
    <row r="497" spans="2:2" x14ac:dyDescent="0.35">
      <c r="B497"/>
    </row>
    <row r="498" spans="2:2" x14ac:dyDescent="0.35">
      <c r="B498"/>
    </row>
    <row r="499" spans="2:2" x14ac:dyDescent="0.35">
      <c r="B499"/>
    </row>
    <row r="500" spans="2:2" x14ac:dyDescent="0.35">
      <c r="B500"/>
    </row>
    <row r="501" spans="2:2" x14ac:dyDescent="0.35">
      <c r="B501"/>
    </row>
    <row r="502" spans="2:2" x14ac:dyDescent="0.35">
      <c r="B502"/>
    </row>
    <row r="503" spans="2:2" x14ac:dyDescent="0.35">
      <c r="B503"/>
    </row>
    <row r="504" spans="2:2" x14ac:dyDescent="0.35">
      <c r="B504"/>
    </row>
    <row r="505" spans="2:2" x14ac:dyDescent="0.35">
      <c r="B505"/>
    </row>
    <row r="506" spans="2:2" x14ac:dyDescent="0.35">
      <c r="B506"/>
    </row>
    <row r="507" spans="2:2" x14ac:dyDescent="0.35">
      <c r="B507"/>
    </row>
    <row r="508" spans="2:2" x14ac:dyDescent="0.35">
      <c r="B508"/>
    </row>
    <row r="509" spans="2:2" x14ac:dyDescent="0.35">
      <c r="B509"/>
    </row>
    <row r="510" spans="2:2" x14ac:dyDescent="0.35">
      <c r="B510"/>
    </row>
    <row r="511" spans="2:2" x14ac:dyDescent="0.35">
      <c r="B511"/>
    </row>
    <row r="512" spans="2:2" x14ac:dyDescent="0.35">
      <c r="B512"/>
    </row>
    <row r="513" spans="2:2" x14ac:dyDescent="0.35">
      <c r="B513"/>
    </row>
    <row r="514" spans="2:2" x14ac:dyDescent="0.35">
      <c r="B514"/>
    </row>
    <row r="515" spans="2:2" x14ac:dyDescent="0.35">
      <c r="B515"/>
    </row>
    <row r="516" spans="2:2" x14ac:dyDescent="0.35">
      <c r="B516"/>
    </row>
    <row r="517" spans="2:2" x14ac:dyDescent="0.35">
      <c r="B517"/>
    </row>
    <row r="518" spans="2:2" x14ac:dyDescent="0.35">
      <c r="B518"/>
    </row>
    <row r="519" spans="2:2" x14ac:dyDescent="0.35">
      <c r="B519"/>
    </row>
    <row r="520" spans="2:2" x14ac:dyDescent="0.35">
      <c r="B520"/>
    </row>
    <row r="521" spans="2:2" x14ac:dyDescent="0.35">
      <c r="B521"/>
    </row>
    <row r="522" spans="2:2" x14ac:dyDescent="0.35">
      <c r="B522"/>
    </row>
    <row r="523" spans="2:2" x14ac:dyDescent="0.35">
      <c r="B523"/>
    </row>
    <row r="524" spans="2:2" x14ac:dyDescent="0.35">
      <c r="B524"/>
    </row>
    <row r="525" spans="2:2" x14ac:dyDescent="0.35">
      <c r="B525"/>
    </row>
    <row r="526" spans="2:2" x14ac:dyDescent="0.35">
      <c r="B526"/>
    </row>
    <row r="527" spans="2:2" x14ac:dyDescent="0.35">
      <c r="B527"/>
    </row>
    <row r="528" spans="2:2" x14ac:dyDescent="0.35">
      <c r="B528"/>
    </row>
    <row r="529" spans="2:2" x14ac:dyDescent="0.35">
      <c r="B529"/>
    </row>
    <row r="530" spans="2:2" x14ac:dyDescent="0.35">
      <c r="B530"/>
    </row>
    <row r="531" spans="2:2" x14ac:dyDescent="0.35">
      <c r="B531"/>
    </row>
    <row r="532" spans="2:2" x14ac:dyDescent="0.35">
      <c r="B532"/>
    </row>
    <row r="533" spans="2:2" x14ac:dyDescent="0.35">
      <c r="B533"/>
    </row>
    <row r="534" spans="2:2" x14ac:dyDescent="0.35">
      <c r="B534"/>
    </row>
    <row r="535" spans="2:2" x14ac:dyDescent="0.35">
      <c r="B535"/>
    </row>
    <row r="536" spans="2:2" x14ac:dyDescent="0.35">
      <c r="B536"/>
    </row>
    <row r="537" spans="2:2" x14ac:dyDescent="0.35">
      <c r="B537"/>
    </row>
    <row r="538" spans="2:2" x14ac:dyDescent="0.35">
      <c r="B538"/>
    </row>
    <row r="539" spans="2:2" x14ac:dyDescent="0.35">
      <c r="B539"/>
    </row>
    <row r="540" spans="2:2" x14ac:dyDescent="0.35">
      <c r="B540"/>
    </row>
    <row r="541" spans="2:2" x14ac:dyDescent="0.35">
      <c r="B541"/>
    </row>
    <row r="542" spans="2:2" x14ac:dyDescent="0.35">
      <c r="B542"/>
    </row>
    <row r="543" spans="2:2" x14ac:dyDescent="0.35">
      <c r="B543"/>
    </row>
    <row r="544" spans="2:2" x14ac:dyDescent="0.35">
      <c r="B544"/>
    </row>
    <row r="545" spans="2:2" x14ac:dyDescent="0.35">
      <c r="B545"/>
    </row>
    <row r="546" spans="2:2" x14ac:dyDescent="0.35">
      <c r="B546"/>
    </row>
    <row r="547" spans="2:2" x14ac:dyDescent="0.35">
      <c r="B547"/>
    </row>
    <row r="548" spans="2:2" x14ac:dyDescent="0.35">
      <c r="B548"/>
    </row>
    <row r="549" spans="2:2" x14ac:dyDescent="0.35">
      <c r="B549"/>
    </row>
    <row r="550" spans="2:2" x14ac:dyDescent="0.35">
      <c r="B550"/>
    </row>
    <row r="551" spans="2:2" x14ac:dyDescent="0.35">
      <c r="B551"/>
    </row>
    <row r="552" spans="2:2" x14ac:dyDescent="0.35">
      <c r="B552"/>
    </row>
    <row r="553" spans="2:2" x14ac:dyDescent="0.35">
      <c r="B553"/>
    </row>
    <row r="554" spans="2:2" x14ac:dyDescent="0.35">
      <c r="B554"/>
    </row>
    <row r="555" spans="2:2" x14ac:dyDescent="0.35">
      <c r="B555"/>
    </row>
    <row r="556" spans="2:2" x14ac:dyDescent="0.35">
      <c r="B556"/>
    </row>
    <row r="557" spans="2:2" x14ac:dyDescent="0.35">
      <c r="B557"/>
    </row>
    <row r="558" spans="2:2" x14ac:dyDescent="0.35">
      <c r="B558"/>
    </row>
    <row r="559" spans="2:2" x14ac:dyDescent="0.35">
      <c r="B559"/>
    </row>
    <row r="560" spans="2:2" x14ac:dyDescent="0.35">
      <c r="B560"/>
    </row>
    <row r="561" spans="2:2" x14ac:dyDescent="0.35">
      <c r="B561"/>
    </row>
    <row r="562" spans="2:2" x14ac:dyDescent="0.35">
      <c r="B562"/>
    </row>
    <row r="563" spans="2:2" x14ac:dyDescent="0.35">
      <c r="B563"/>
    </row>
    <row r="564" spans="2:2" x14ac:dyDescent="0.35">
      <c r="B564"/>
    </row>
    <row r="565" spans="2:2" x14ac:dyDescent="0.35">
      <c r="B565"/>
    </row>
    <row r="566" spans="2:2" x14ac:dyDescent="0.35">
      <c r="B566"/>
    </row>
    <row r="567" spans="2:2" x14ac:dyDescent="0.35">
      <c r="B567"/>
    </row>
    <row r="568" spans="2:2" x14ac:dyDescent="0.35">
      <c r="B568"/>
    </row>
    <row r="569" spans="2:2" x14ac:dyDescent="0.35">
      <c r="B569"/>
    </row>
    <row r="570" spans="2:2" x14ac:dyDescent="0.35">
      <c r="B570"/>
    </row>
    <row r="571" spans="2:2" x14ac:dyDescent="0.35">
      <c r="B571"/>
    </row>
    <row r="572" spans="2:2" x14ac:dyDescent="0.35">
      <c r="B572"/>
    </row>
    <row r="573" spans="2:2" x14ac:dyDescent="0.35">
      <c r="B573"/>
    </row>
    <row r="574" spans="2:2" x14ac:dyDescent="0.35">
      <c r="B574"/>
    </row>
    <row r="575" spans="2:2" x14ac:dyDescent="0.35">
      <c r="B575"/>
    </row>
    <row r="576" spans="2:2" x14ac:dyDescent="0.35">
      <c r="B576"/>
    </row>
    <row r="577" spans="2:2" x14ac:dyDescent="0.35">
      <c r="B577"/>
    </row>
    <row r="578" spans="2:2" x14ac:dyDescent="0.35">
      <c r="B578"/>
    </row>
    <row r="579" spans="2:2" x14ac:dyDescent="0.35">
      <c r="B579"/>
    </row>
    <row r="580" spans="2:2" x14ac:dyDescent="0.35">
      <c r="B580"/>
    </row>
    <row r="581" spans="2:2" x14ac:dyDescent="0.35">
      <c r="B581"/>
    </row>
    <row r="582" spans="2:2" x14ac:dyDescent="0.35">
      <c r="B582"/>
    </row>
    <row r="583" spans="2:2" x14ac:dyDescent="0.35">
      <c r="B583"/>
    </row>
    <row r="584" spans="2:2" x14ac:dyDescent="0.35">
      <c r="B584"/>
    </row>
    <row r="585" spans="2:2" x14ac:dyDescent="0.35">
      <c r="B585"/>
    </row>
    <row r="586" spans="2:2" x14ac:dyDescent="0.35">
      <c r="B586"/>
    </row>
    <row r="587" spans="2:2" x14ac:dyDescent="0.35">
      <c r="B587"/>
    </row>
    <row r="588" spans="2:2" x14ac:dyDescent="0.35">
      <c r="B588"/>
    </row>
    <row r="589" spans="2:2" x14ac:dyDescent="0.35">
      <c r="B589"/>
    </row>
    <row r="590" spans="2:2" x14ac:dyDescent="0.35">
      <c r="B590"/>
    </row>
    <row r="591" spans="2:2" x14ac:dyDescent="0.35">
      <c r="B591"/>
    </row>
    <row r="592" spans="2:2" x14ac:dyDescent="0.35">
      <c r="B592"/>
    </row>
    <row r="593" spans="2:2" x14ac:dyDescent="0.35">
      <c r="B593"/>
    </row>
    <row r="594" spans="2:2" x14ac:dyDescent="0.35">
      <c r="B594"/>
    </row>
    <row r="595" spans="2:2" x14ac:dyDescent="0.35">
      <c r="B595"/>
    </row>
    <row r="596" spans="2:2" x14ac:dyDescent="0.35">
      <c r="B596"/>
    </row>
    <row r="597" spans="2:2" x14ac:dyDescent="0.35">
      <c r="B597"/>
    </row>
    <row r="598" spans="2:2" x14ac:dyDescent="0.35">
      <c r="B598"/>
    </row>
    <row r="599" spans="2:2" x14ac:dyDescent="0.35">
      <c r="B599"/>
    </row>
    <row r="600" spans="2:2" x14ac:dyDescent="0.35">
      <c r="B600"/>
    </row>
    <row r="601" spans="2:2" x14ac:dyDescent="0.35">
      <c r="B601"/>
    </row>
    <row r="602" spans="2:2" x14ac:dyDescent="0.35">
      <c r="B602"/>
    </row>
    <row r="603" spans="2:2" x14ac:dyDescent="0.35">
      <c r="B603"/>
    </row>
    <row r="604" spans="2:2" x14ac:dyDescent="0.35">
      <c r="B604"/>
    </row>
    <row r="605" spans="2:2" x14ac:dyDescent="0.35">
      <c r="B605"/>
    </row>
    <row r="606" spans="2:2" x14ac:dyDescent="0.35">
      <c r="B606"/>
    </row>
    <row r="607" spans="2:2" x14ac:dyDescent="0.35">
      <c r="B607"/>
    </row>
    <row r="608" spans="2:2" x14ac:dyDescent="0.35">
      <c r="B608"/>
    </row>
    <row r="609" spans="2:2" x14ac:dyDescent="0.35">
      <c r="B609"/>
    </row>
    <row r="610" spans="2:2" x14ac:dyDescent="0.35">
      <c r="B610"/>
    </row>
    <row r="611" spans="2:2" x14ac:dyDescent="0.35">
      <c r="B611"/>
    </row>
    <row r="612" spans="2:2" x14ac:dyDescent="0.35">
      <c r="B612"/>
    </row>
    <row r="613" spans="2:2" x14ac:dyDescent="0.35">
      <c r="B613"/>
    </row>
    <row r="614" spans="2:2" x14ac:dyDescent="0.35">
      <c r="B614"/>
    </row>
    <row r="615" spans="2:2" x14ac:dyDescent="0.35">
      <c r="B615"/>
    </row>
    <row r="616" spans="2:2" x14ac:dyDescent="0.35">
      <c r="B616"/>
    </row>
    <row r="617" spans="2:2" x14ac:dyDescent="0.35">
      <c r="B617"/>
    </row>
    <row r="618" spans="2:2" x14ac:dyDescent="0.35">
      <c r="B618"/>
    </row>
    <row r="619" spans="2:2" x14ac:dyDescent="0.35">
      <c r="B619"/>
    </row>
    <row r="620" spans="2:2" x14ac:dyDescent="0.35">
      <c r="B620"/>
    </row>
    <row r="621" spans="2:2" x14ac:dyDescent="0.35">
      <c r="B621"/>
    </row>
    <row r="622" spans="2:2" x14ac:dyDescent="0.35">
      <c r="B622"/>
    </row>
    <row r="623" spans="2:2" x14ac:dyDescent="0.35">
      <c r="B623"/>
    </row>
    <row r="624" spans="2:2" x14ac:dyDescent="0.35">
      <c r="B624"/>
    </row>
    <row r="625" spans="2:2" x14ac:dyDescent="0.35">
      <c r="B6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664"/>
  <sheetViews>
    <sheetView showGridLines="0" tabSelected="1" topLeftCell="A31" zoomScale="70" zoomScaleNormal="70" zoomScaleSheetLayoutView="55" workbookViewId="0">
      <selection activeCell="C13" sqref="C13"/>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1"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2.90625" style="35" customWidth="1"/>
    <col min="16" max="16" width="20.26953125" style="35" customWidth="1"/>
    <col min="17" max="17" width="26.3632812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4.1796875" style="35" customWidth="1"/>
    <col min="36" max="16384" width="17.453125" style="35"/>
  </cols>
  <sheetData>
    <row r="1" spans="1:35" x14ac:dyDescent="0.35">
      <c r="B1" s="34"/>
      <c r="C1" s="34"/>
      <c r="D1" s="34"/>
      <c r="E1" s="34"/>
      <c r="F1" s="34"/>
      <c r="G1" s="34"/>
      <c r="H1" s="34"/>
      <c r="I1" s="138"/>
      <c r="J1" s="36"/>
      <c r="K1" s="34"/>
      <c r="R1" s="36"/>
      <c r="S1" s="36"/>
      <c r="T1" s="36"/>
      <c r="AH1" s="36"/>
    </row>
    <row r="2" spans="1:35" s="65" customFormat="1" ht="15" x14ac:dyDescent="0.35">
      <c r="B2" s="207"/>
      <c r="C2" s="207"/>
      <c r="D2" s="207"/>
      <c r="E2" s="207"/>
      <c r="F2" s="207"/>
      <c r="G2" s="101"/>
      <c r="H2" s="72"/>
      <c r="I2" s="139"/>
      <c r="J2" s="95"/>
      <c r="K2" s="72"/>
      <c r="L2" s="73"/>
      <c r="Q2" s="73"/>
      <c r="R2" s="73"/>
      <c r="S2" s="73"/>
      <c r="T2" s="73"/>
      <c r="U2" s="73"/>
      <c r="V2" s="64"/>
      <c r="W2" s="64"/>
      <c r="X2" s="64"/>
      <c r="Z2" s="62"/>
      <c r="AA2" s="74"/>
      <c r="AC2" s="62"/>
      <c r="AD2" s="74"/>
      <c r="AE2" s="74"/>
      <c r="AF2" s="62"/>
      <c r="AG2" s="116"/>
      <c r="AH2" s="73"/>
    </row>
    <row r="3" spans="1:35" s="65" customFormat="1" ht="17.5" x14ac:dyDescent="0.35">
      <c r="C3" s="84"/>
      <c r="F3" s="206" t="s">
        <v>66</v>
      </c>
      <c r="G3" s="206"/>
      <c r="H3" s="206"/>
      <c r="I3" s="206"/>
      <c r="J3" s="206"/>
      <c r="K3" s="206"/>
      <c r="L3" s="206"/>
      <c r="M3" s="206"/>
      <c r="N3" s="147" t="s">
        <v>67</v>
      </c>
      <c r="O3" s="148">
        <v>2026</v>
      </c>
      <c r="P3" s="62"/>
      <c r="Q3" s="63"/>
      <c r="R3" s="64"/>
      <c r="S3" s="64"/>
      <c r="T3" s="64"/>
      <c r="Y3" s="75"/>
      <c r="Z3" s="76"/>
      <c r="AA3" s="74"/>
      <c r="AC3" s="62"/>
      <c r="AD3" s="74"/>
      <c r="AE3" s="74"/>
      <c r="AF3" s="62"/>
      <c r="AG3" s="116"/>
    </row>
    <row r="4" spans="1:35" s="65" customFormat="1" ht="15.5" x14ac:dyDescent="0.35">
      <c r="C4" s="84"/>
      <c r="F4" s="206" t="s">
        <v>359</v>
      </c>
      <c r="G4" s="206"/>
      <c r="H4" s="206"/>
      <c r="I4" s="206"/>
      <c r="J4" s="206"/>
      <c r="K4" s="206"/>
      <c r="L4" s="206"/>
      <c r="M4" s="206"/>
      <c r="N4" s="60"/>
      <c r="O4" s="61"/>
      <c r="P4" s="62"/>
      <c r="Q4" s="63"/>
      <c r="R4" s="64"/>
      <c r="S4" s="64"/>
      <c r="T4" s="64"/>
      <c r="Y4" s="75"/>
      <c r="Z4" s="76"/>
      <c r="AA4" s="74"/>
      <c r="AC4" s="62"/>
      <c r="AD4" s="74"/>
      <c r="AE4" s="74"/>
      <c r="AF4" s="62"/>
      <c r="AG4" s="116"/>
    </row>
    <row r="5" spans="1:35" s="65" customFormat="1" ht="15.5" x14ac:dyDescent="0.35">
      <c r="C5" s="84"/>
      <c r="F5" s="206" t="s">
        <v>358</v>
      </c>
      <c r="G5" s="206"/>
      <c r="H5" s="206"/>
      <c r="I5" s="206"/>
      <c r="J5" s="206"/>
      <c r="K5" s="206"/>
      <c r="L5" s="206"/>
      <c r="M5" s="206"/>
      <c r="N5" s="208" t="s">
        <v>573</v>
      </c>
      <c r="O5" s="208"/>
      <c r="P5" s="208"/>
      <c r="Q5" s="98">
        <f ca="1">IFERROR(SUMIF($N$12:$N$1994,"8126-Fortalecimiento institucional de la UAECOB para un gobierno confiable Bogotá D.C.",PAA[Valor apropiacion vigencia actual]),0)</f>
        <v>25167465000</v>
      </c>
      <c r="R5" s="123" t="s">
        <v>286</v>
      </c>
      <c r="S5" s="67"/>
      <c r="T5" s="67"/>
      <c r="U5" s="97">
        <f>IFERROR(SUMIF($N$12:$N$662,"131- Funcionamiento",PAA[Valor apropiacion vigencia actual]),0)</f>
        <v>15338910000</v>
      </c>
      <c r="V5" s="143">
        <v>25167465000</v>
      </c>
      <c r="W5" s="144">
        <f ca="1">Q5-V5</f>
        <v>0</v>
      </c>
      <c r="Y5" s="76"/>
      <c r="Z5" s="76"/>
      <c r="AA5" s="77"/>
      <c r="AC5" s="62"/>
      <c r="AD5" s="74"/>
      <c r="AE5" s="74"/>
      <c r="AF5" s="62"/>
      <c r="AG5" s="116"/>
    </row>
    <row r="6" spans="1:35" s="65" customFormat="1" ht="15.5" x14ac:dyDescent="0.35">
      <c r="A6" s="65" t="s">
        <v>350</v>
      </c>
      <c r="B6" s="78"/>
      <c r="C6" s="102"/>
      <c r="D6" s="78"/>
      <c r="E6" s="78"/>
      <c r="F6" s="206" t="s">
        <v>1010</v>
      </c>
      <c r="G6" s="206"/>
      <c r="H6" s="206"/>
      <c r="I6" s="206"/>
      <c r="J6" s="206"/>
      <c r="K6" s="206"/>
      <c r="L6" s="206"/>
      <c r="M6" s="206"/>
      <c r="N6" s="208" t="s">
        <v>574</v>
      </c>
      <c r="O6" s="208"/>
      <c r="P6" s="208"/>
      <c r="Q6" s="98">
        <f ca="1">IFERROR(SUMIF($N$12:$N$1994,"8173-Modernización de las capacidades del Cuerpo Oficial de Bomberos Bogotá D.C.",PAA[Valor apropiacion vigencia actual]),0)</f>
        <v>42767306000</v>
      </c>
      <c r="R6" s="68"/>
      <c r="S6" s="68"/>
      <c r="T6" s="68"/>
      <c r="V6" s="143">
        <v>42767306000</v>
      </c>
      <c r="W6" s="144">
        <f ca="1">Q6-V6</f>
        <v>0</v>
      </c>
      <c r="Y6" s="76"/>
      <c r="Z6" s="76"/>
      <c r="AA6" s="77"/>
      <c r="AC6" s="62"/>
      <c r="AD6" s="74"/>
      <c r="AE6" s="74"/>
      <c r="AF6" s="62"/>
      <c r="AG6" s="116"/>
    </row>
    <row r="7" spans="1:35" s="65" customFormat="1" ht="15.5" x14ac:dyDescent="0.35">
      <c r="B7" s="79"/>
      <c r="C7" s="119"/>
      <c r="D7" s="79"/>
      <c r="E7" s="79"/>
      <c r="F7" s="206" t="s">
        <v>1014</v>
      </c>
      <c r="G7" s="206"/>
      <c r="H7" s="206"/>
      <c r="I7" s="206"/>
      <c r="J7" s="206"/>
      <c r="K7" s="206"/>
      <c r="L7" s="206"/>
      <c r="M7" s="206"/>
      <c r="N7" s="60"/>
      <c r="O7" s="69"/>
      <c r="P7" s="62"/>
      <c r="Q7" s="62"/>
      <c r="R7" s="68"/>
      <c r="S7" s="68"/>
      <c r="T7" s="68"/>
      <c r="Y7" s="80"/>
      <c r="Z7" s="80"/>
      <c r="AA7" s="77"/>
      <c r="AC7" s="62"/>
      <c r="AD7" s="74"/>
      <c r="AE7" s="74"/>
      <c r="AF7" s="62"/>
      <c r="AG7" s="116"/>
    </row>
    <row r="8" spans="1:35" s="65" customFormat="1" ht="15.5" x14ac:dyDescent="0.35">
      <c r="B8" s="78"/>
      <c r="C8" s="102"/>
      <c r="D8" s="78"/>
      <c r="E8" s="78"/>
      <c r="F8" s="78"/>
      <c r="G8" s="102"/>
      <c r="H8" s="78"/>
      <c r="I8" s="140"/>
      <c r="J8" s="96"/>
      <c r="K8" s="78"/>
      <c r="L8" s="70"/>
      <c r="M8" s="81"/>
      <c r="N8" s="66" t="s">
        <v>575</v>
      </c>
      <c r="O8" s="70">
        <f ca="1">+Q5+Q6</f>
        <v>67934771000</v>
      </c>
      <c r="P8" s="62"/>
      <c r="Q8" s="66" t="s">
        <v>287</v>
      </c>
      <c r="R8" s="71">
        <f ca="1">+U5+O8</f>
        <v>83273681000</v>
      </c>
      <c r="S8" s="71"/>
      <c r="T8" s="71"/>
      <c r="Y8" s="76"/>
      <c r="Z8" s="76"/>
      <c r="AA8" s="74"/>
      <c r="AC8" s="62"/>
      <c r="AD8" s="74"/>
      <c r="AE8" s="74"/>
      <c r="AF8" s="62"/>
      <c r="AG8" s="116"/>
    </row>
    <row r="9" spans="1:35" s="65" customFormat="1" ht="15" x14ac:dyDescent="0.35">
      <c r="B9" s="78"/>
      <c r="C9" s="102"/>
      <c r="D9" s="78"/>
      <c r="E9" s="78"/>
      <c r="F9" s="78"/>
      <c r="G9" s="102"/>
      <c r="H9" s="78"/>
      <c r="I9" s="140"/>
      <c r="J9" s="96"/>
      <c r="K9" s="78"/>
      <c r="L9" s="70"/>
      <c r="M9" s="81"/>
      <c r="N9" s="81"/>
      <c r="O9" s="81"/>
      <c r="P9" s="81"/>
      <c r="Q9" s="59"/>
      <c r="U9" s="82"/>
      <c r="V9" s="83"/>
      <c r="W9" s="83"/>
      <c r="X9" s="64"/>
      <c r="Z9" s="62"/>
      <c r="AA9" s="74"/>
      <c r="AC9" s="62"/>
      <c r="AD9" s="74"/>
      <c r="AE9" s="74"/>
      <c r="AF9" s="62"/>
      <c r="AG9" s="116"/>
      <c r="AH9" s="70"/>
    </row>
    <row r="10" spans="1:35" s="65" customFormat="1" ht="15" x14ac:dyDescent="0.35">
      <c r="B10" s="78"/>
      <c r="C10" s="102"/>
      <c r="D10" s="78"/>
      <c r="E10" s="78"/>
      <c r="F10" s="78"/>
      <c r="G10" s="102"/>
      <c r="H10" s="78"/>
      <c r="I10" s="140"/>
      <c r="J10" s="96"/>
      <c r="K10" s="78"/>
      <c r="L10" s="84"/>
      <c r="M10" s="72"/>
      <c r="N10" s="72"/>
      <c r="O10" s="72"/>
      <c r="P10" s="72"/>
      <c r="U10" s="85"/>
      <c r="V10" s="86"/>
      <c r="W10" s="86"/>
      <c r="X10" s="86"/>
      <c r="Y10" s="87"/>
      <c r="Z10" s="62"/>
      <c r="AA10" s="74"/>
      <c r="AC10" s="62"/>
      <c r="AD10" s="74"/>
      <c r="AE10" s="74"/>
      <c r="AF10" s="62"/>
      <c r="AG10" s="116"/>
    </row>
    <row r="11" spans="1:35" s="103" customFormat="1" ht="84" x14ac:dyDescent="0.35">
      <c r="B11" s="104" t="s">
        <v>360</v>
      </c>
      <c r="C11" s="120" t="s">
        <v>361</v>
      </c>
      <c r="D11" s="104" t="s">
        <v>70</v>
      </c>
      <c r="E11" s="104" t="s">
        <v>364</v>
      </c>
      <c r="F11" s="104" t="s">
        <v>75</v>
      </c>
      <c r="G11" s="105" t="s">
        <v>365</v>
      </c>
      <c r="H11" s="106" t="s">
        <v>69</v>
      </c>
      <c r="I11" s="106" t="s">
        <v>334</v>
      </c>
      <c r="J11" s="108" t="s">
        <v>400</v>
      </c>
      <c r="K11" s="107" t="s">
        <v>399</v>
      </c>
      <c r="L11" s="109" t="s">
        <v>366</v>
      </c>
      <c r="M11" s="110" t="s">
        <v>367</v>
      </c>
      <c r="N11" s="111" t="s">
        <v>368</v>
      </c>
      <c r="O11" s="110" t="s">
        <v>369</v>
      </c>
      <c r="P11" s="112" t="s">
        <v>68</v>
      </c>
      <c r="Q11" s="110" t="s">
        <v>1</v>
      </c>
      <c r="R11" s="110" t="s">
        <v>2</v>
      </c>
      <c r="S11" s="110" t="s">
        <v>371</v>
      </c>
      <c r="T11" s="110" t="s">
        <v>372</v>
      </c>
      <c r="U11" s="113" t="s">
        <v>184</v>
      </c>
      <c r="V11" s="113" t="s">
        <v>185</v>
      </c>
      <c r="W11" s="113" t="s">
        <v>163</v>
      </c>
      <c r="X11" s="111" t="s">
        <v>72</v>
      </c>
      <c r="Y11" s="113" t="s">
        <v>73</v>
      </c>
      <c r="Z11" s="114" t="s">
        <v>285</v>
      </c>
      <c r="AA11" s="111" t="s">
        <v>74</v>
      </c>
      <c r="AB11" s="113" t="s">
        <v>233</v>
      </c>
      <c r="AC11" s="114" t="s">
        <v>263</v>
      </c>
      <c r="AD11" s="114" t="s">
        <v>284</v>
      </c>
      <c r="AE11" s="113" t="s">
        <v>195</v>
      </c>
      <c r="AF11" s="113" t="s">
        <v>220</v>
      </c>
      <c r="AG11" s="117" t="s">
        <v>77</v>
      </c>
      <c r="AH11" s="110" t="s">
        <v>71</v>
      </c>
      <c r="AI11" s="115" t="s">
        <v>370</v>
      </c>
    </row>
    <row r="12" spans="1:35" s="145" customFormat="1" ht="56" x14ac:dyDescent="0.35">
      <c r="B12" s="179">
        <v>20260032</v>
      </c>
      <c r="C12" s="180" t="s">
        <v>429</v>
      </c>
      <c r="D12" s="179" t="s">
        <v>114</v>
      </c>
      <c r="E12" s="179" t="s">
        <v>402</v>
      </c>
      <c r="F12" s="181" t="s">
        <v>89</v>
      </c>
      <c r="G12" s="182" t="s">
        <v>376</v>
      </c>
      <c r="H12" s="183">
        <v>9</v>
      </c>
      <c r="I12" s="183">
        <v>0</v>
      </c>
      <c r="J12" s="184">
        <f>103000000</f>
        <v>103000000</v>
      </c>
      <c r="K12" s="185" t="s">
        <v>398</v>
      </c>
      <c r="L12" s="181" t="s">
        <v>151</v>
      </c>
      <c r="M12" s="186" t="s">
        <v>401</v>
      </c>
      <c r="N12" s="179" t="s">
        <v>197</v>
      </c>
      <c r="O12" s="187" t="s">
        <v>957</v>
      </c>
      <c r="P12" s="181" t="s">
        <v>348</v>
      </c>
      <c r="Q12" s="188" t="s">
        <v>446</v>
      </c>
      <c r="R12" s="186" t="s">
        <v>203</v>
      </c>
      <c r="S12" s="158" t="str">
        <f>MID(PAA[[#This Row],[Meta Proyecto de Inversión]],1,4)</f>
        <v>8126</v>
      </c>
      <c r="T12" s="158" t="str">
        <f>MID(PAA[[#This Row],[Meta Proyecto de Inversión]],6,1)</f>
        <v>4</v>
      </c>
      <c r="U12" s="189" t="str">
        <f>IFERROR(VLOOKUP(N12,TD!$B$50:$F$54,2,0)," ")</f>
        <v>O230117</v>
      </c>
      <c r="V12" s="189" t="str">
        <f>IFERROR(VLOOKUP(N12,TD!$B$50:$F$54,3,0)," ")</f>
        <v>4599</v>
      </c>
      <c r="W12" s="189">
        <f>IFERROR(VLOOKUP(N12,TD!$B$50:$F$54,4,0)," ")</f>
        <v>20240207</v>
      </c>
      <c r="X12" s="186" t="s">
        <v>168</v>
      </c>
      <c r="Y12" s="189" t="str">
        <f>IFERROR(VLOOKUP(X12,TD!$J$51:$K$64,2,0)," ")</f>
        <v>Infraestructura Tecnológica   (Sistemas de Información y Tecnologia)</v>
      </c>
      <c r="Z12" s="160" t="str">
        <f>CONCATENATE(X12,"-",Y12)</f>
        <v>11-Infraestructura Tecnológica   (Sistemas de Información y Tecnologia)</v>
      </c>
      <c r="AA12" s="186" t="s">
        <v>228</v>
      </c>
      <c r="AB12" s="189" t="str">
        <f>IFERROR(VLOOKUP(AA12,TD!$N$51:$O$66,2,0)," ")</f>
        <v>Servicios tecnológicos</v>
      </c>
      <c r="AC12" s="160" t="str">
        <f>CONCATENATE(AA12,"_",AB12)</f>
        <v>007_Servicios tecnológicos</v>
      </c>
      <c r="AD12" s="160" t="str">
        <f>CONCATENATE(Z12," ",AC12)</f>
        <v>11-Infraestructura Tecnológica   (Sistemas de Información y Tecnologia) 007_Servicios tecnológicos</v>
      </c>
      <c r="AE12" s="189" t="str">
        <f>CONCATENATE(U12,V12,W12,X12,AA12)</f>
        <v>O23011745992024020711007</v>
      </c>
      <c r="AF12" s="189" t="str">
        <f>IFERROR(VLOOKUP(AD12,TD!$J$66:$K$89,2,0)," ")</f>
        <v>PM/0131/0111/45990070207</v>
      </c>
      <c r="AG12" s="190" t="s">
        <v>116</v>
      </c>
      <c r="AH12" s="186" t="s">
        <v>193</v>
      </c>
      <c r="AI12" s="191" t="str">
        <f>CONCATENATE(PAA[[#This Row],[Id Interno]],"-",PAA[[#This Row],[tipo de Contrato (TH talento humano - B/S bienes y/o servicios)]],"-",S12,"-",T12,"-",PAA[[#This Row],[Objeto de la contratación]])</f>
        <v>20260032-BS-8126-4-Contratar la prestación del servicio de monitoreo, control y seguimiento satelital a los vehículos de propiedad de la U.A.E. Cuerpo Oficial de Bomberos de Bogotá - TIC</v>
      </c>
    </row>
    <row r="13" spans="1:35" s="145" customFormat="1" ht="70" x14ac:dyDescent="0.35">
      <c r="B13" s="179">
        <v>20260036</v>
      </c>
      <c r="C13" s="180" t="s">
        <v>433</v>
      </c>
      <c r="D13" s="179" t="s">
        <v>92</v>
      </c>
      <c r="E13" s="179" t="s">
        <v>402</v>
      </c>
      <c r="F13" s="181" t="s">
        <v>142</v>
      </c>
      <c r="G13" s="182" t="s">
        <v>376</v>
      </c>
      <c r="H13" s="183">
        <v>9</v>
      </c>
      <c r="I13" s="183">
        <v>0</v>
      </c>
      <c r="J13" s="184">
        <v>30000000</v>
      </c>
      <c r="K13" s="185" t="s">
        <v>398</v>
      </c>
      <c r="L13" s="181" t="s">
        <v>151</v>
      </c>
      <c r="M13" s="186" t="s">
        <v>401</v>
      </c>
      <c r="N13" s="179" t="s">
        <v>197</v>
      </c>
      <c r="O13" s="187" t="s">
        <v>957</v>
      </c>
      <c r="P13" s="181" t="s">
        <v>348</v>
      </c>
      <c r="Q13" s="188">
        <v>81112401</v>
      </c>
      <c r="R13" s="186" t="s">
        <v>204</v>
      </c>
      <c r="S13" s="158" t="str">
        <f>MID(PAA[[#This Row],[Meta Proyecto de Inversión]],1,4)</f>
        <v>8126</v>
      </c>
      <c r="T13" s="158" t="str">
        <f>MID(PAA[[#This Row],[Meta Proyecto de Inversión]],6,1)</f>
        <v>5</v>
      </c>
      <c r="U13" s="189" t="str">
        <f>IFERROR(VLOOKUP(N13,TD!$B$50:$F$54,2,0)," ")</f>
        <v>O230117</v>
      </c>
      <c r="V13" s="189" t="str">
        <f>IFERROR(VLOOKUP(N13,TD!$B$50:$F$54,3,0)," ")</f>
        <v>4599</v>
      </c>
      <c r="W13" s="189">
        <f>IFERROR(VLOOKUP(N13,TD!$B$50:$F$54,4,0)," ")</f>
        <v>20240207</v>
      </c>
      <c r="X13" s="186" t="s">
        <v>168</v>
      </c>
      <c r="Y13" s="189" t="str">
        <f>IFERROR(VLOOKUP(X13,TD!$J$51:$K$64,2,0)," ")</f>
        <v>Infraestructura Tecnológica   (Sistemas de Información y Tecnologia)</v>
      </c>
      <c r="Z13" s="160" t="str">
        <f>CONCATENATE(X13,"-",Y13)</f>
        <v>11-Infraestructura Tecnológica   (Sistemas de Información y Tecnologia)</v>
      </c>
      <c r="AA13" s="186" t="s">
        <v>228</v>
      </c>
      <c r="AB13" s="189" t="str">
        <f>IFERROR(VLOOKUP(AA13,TD!$N$51:$O$66,2,0)," ")</f>
        <v>Servicios tecnológicos</v>
      </c>
      <c r="AC13" s="160" t="str">
        <f>CONCATENATE(AA13,"_",AB13)</f>
        <v>007_Servicios tecnológicos</v>
      </c>
      <c r="AD13" s="160" t="str">
        <f>CONCATENATE(Z13," ",AC13)</f>
        <v>11-Infraestructura Tecnológica   (Sistemas de Información y Tecnologia) 007_Servicios tecnológicos</v>
      </c>
      <c r="AE13" s="189" t="str">
        <f>CONCATENATE(U13,V13,W13,X13,AA13)</f>
        <v>O23011745992024020711007</v>
      </c>
      <c r="AF13" s="189" t="str">
        <f>IFERROR(VLOOKUP(AD13,TD!$J$66:$K$89,2,0)," ")</f>
        <v>PM/0131/0111/45990070207</v>
      </c>
      <c r="AG13" s="190" t="s">
        <v>121</v>
      </c>
      <c r="AH13" s="186" t="s">
        <v>193</v>
      </c>
      <c r="AI13" s="191" t="str">
        <f>CONCATENATE(PAA[[#This Row],[Id Interno]],"-",PAA[[#This Row],[tipo de Contrato (TH talento humano - B/S bienes y/o servicios)]],"-",S13,"-",T13,"-",PAA[[#This Row],[Objeto de la contratación]])</f>
        <v>20260036-BS-8126-5-Contratar el alquiler de equipos tecnológicos, periféricos y servicios complementarios para la U.A.E. Cuerpo Oficial de Bomberos de Bogotá. - TIC</v>
      </c>
    </row>
    <row r="14" spans="1:35" s="145" customFormat="1" ht="84" x14ac:dyDescent="0.35">
      <c r="B14" s="179">
        <v>20260197</v>
      </c>
      <c r="C14" s="180" t="s">
        <v>516</v>
      </c>
      <c r="D14" s="179" t="s">
        <v>88</v>
      </c>
      <c r="E14" s="179" t="s">
        <v>402</v>
      </c>
      <c r="F14" s="181" t="s">
        <v>89</v>
      </c>
      <c r="G14" s="182" t="s">
        <v>377</v>
      </c>
      <c r="H14" s="183">
        <v>12</v>
      </c>
      <c r="I14" s="183">
        <v>0</v>
      </c>
      <c r="J14" s="184">
        <v>25000000</v>
      </c>
      <c r="K14" s="185" t="s">
        <v>398</v>
      </c>
      <c r="L14" s="181" t="s">
        <v>157</v>
      </c>
      <c r="M14" s="186" t="s">
        <v>512</v>
      </c>
      <c r="N14" s="179" t="s">
        <v>198</v>
      </c>
      <c r="O14" s="187" t="s">
        <v>958</v>
      </c>
      <c r="P14" s="181" t="s">
        <v>348</v>
      </c>
      <c r="Q14" s="188">
        <v>25172500</v>
      </c>
      <c r="R14" s="186" t="s">
        <v>213</v>
      </c>
      <c r="S14" s="158" t="str">
        <f>MID(PAA[[#This Row],[Meta Proyecto de Inversión]],1,4)</f>
        <v>8173</v>
      </c>
      <c r="T14" s="158" t="str">
        <f>MID(PAA[[#This Row],[Meta Proyecto de Inversión]],6,1)</f>
        <v>4</v>
      </c>
      <c r="U14" s="189" t="str">
        <f>IFERROR(VLOOKUP(N14,TD!$B$50:$F$54,2,0)," ")</f>
        <v>O230117</v>
      </c>
      <c r="V14" s="189" t="str">
        <f>IFERROR(VLOOKUP(N14,TD!$B$50:$F$54,3,0)," ")</f>
        <v>4503</v>
      </c>
      <c r="W14" s="189">
        <f>IFERROR(VLOOKUP(N14,TD!$B$50:$F$54,4,0)," ")</f>
        <v>20240255</v>
      </c>
      <c r="X14" s="186" t="s">
        <v>176</v>
      </c>
      <c r="Y14" s="189" t="str">
        <f>IFERROR(VLOOKUP(X14,TD!$J$51:$K$64,2,0)," ")</f>
        <v>Servicio de mantenimiento, dotación (HEA´s y equipo menor) y adquisición de vehiculos   especializados para la atención de emergencias.</v>
      </c>
      <c r="Z14" s="160" t="str">
        <f>CONCATENATE(X14,"-",Y14)</f>
        <v>09-Servicio de mantenimiento, dotación (HEA´s y equipo menor) y adquisición de vehiculos   especializados para la atención de emergencias.</v>
      </c>
      <c r="AA14" s="186" t="s">
        <v>221</v>
      </c>
      <c r="AB14" s="189" t="str">
        <f>IFERROR(VLOOKUP(AA14,TD!$N$51:$O$66,2,0)," ")</f>
        <v>Servicio de atención a emergencias y desastres</v>
      </c>
      <c r="AC14" s="160" t="str">
        <f>CONCATENATE(AA14,"_",AB14)</f>
        <v>004_Servicio de atención a emergencias y desastres</v>
      </c>
      <c r="AD14" s="160" t="str">
        <f>CONCATENATE(Z14," ",AC14)</f>
        <v>09-Servicio de mantenimiento, dotación (HEA´s y equipo menor) y adquisición de vehiculos   especializados para la atención de emergencias. 004_Servicio de atención a emergencias y desastres</v>
      </c>
      <c r="AE14" s="189" t="str">
        <f>CONCATENATE(U14,V14,W14,X14,AA14)</f>
        <v>O23011745032024025509004</v>
      </c>
      <c r="AF14" s="189" t="str">
        <f>IFERROR(VLOOKUP(AD14,TD!$J$66:$K$89,2,0)," ")</f>
        <v>PM/0131/0109/45030040255</v>
      </c>
      <c r="AG14" s="190" t="s">
        <v>584</v>
      </c>
      <c r="AH14" s="186" t="s">
        <v>193</v>
      </c>
      <c r="AI14" s="191" t="str">
        <f>CONCATENATE(PAA[[#This Row],[Id Interno]],"-",PAA[[#This Row],[tipo de Contrato (TH talento humano - B/S bienes y/o servicios)]],"-",S14,"-",T14,"-",PAA[[#This Row],[Objeto de la contratación]])</f>
        <v>20260197-BS-8173-4-Suministro de llantas y  prestación del servicio de instalación, alineación, balanceo y conexos a los vehículos del parque automotor de la U.A.E. Cuerpo Oficial de Bomberos de Bogotá - SBLG</v>
      </c>
    </row>
    <row r="15" spans="1:35" s="145" customFormat="1" ht="98" x14ac:dyDescent="0.35">
      <c r="B15" s="179">
        <v>20260244</v>
      </c>
      <c r="C15" s="180" t="s">
        <v>1012</v>
      </c>
      <c r="D15" s="179" t="s">
        <v>114</v>
      </c>
      <c r="E15" s="179" t="s">
        <v>402</v>
      </c>
      <c r="F15" s="181" t="s">
        <v>111</v>
      </c>
      <c r="G15" s="182" t="s">
        <v>375</v>
      </c>
      <c r="H15" s="183">
        <v>10</v>
      </c>
      <c r="I15" s="183">
        <v>0</v>
      </c>
      <c r="J15" s="184">
        <v>111000000</v>
      </c>
      <c r="K15" s="185" t="s">
        <v>398</v>
      </c>
      <c r="L15" s="181" t="s">
        <v>157</v>
      </c>
      <c r="M15" s="186" t="s">
        <v>512</v>
      </c>
      <c r="N15" s="179" t="s">
        <v>198</v>
      </c>
      <c r="O15" s="187" t="s">
        <v>958</v>
      </c>
      <c r="P15" s="181" t="s">
        <v>161</v>
      </c>
      <c r="Q15" s="188">
        <v>15101500</v>
      </c>
      <c r="R15" s="186" t="s">
        <v>213</v>
      </c>
      <c r="S15" s="158" t="str">
        <f>MID(PAA[[#This Row],[Meta Proyecto de Inversión]],1,4)</f>
        <v>8173</v>
      </c>
      <c r="T15" s="158" t="str">
        <f>MID(PAA[[#This Row],[Meta Proyecto de Inversión]],6,1)</f>
        <v>4</v>
      </c>
      <c r="U15" s="189" t="str">
        <f>IFERROR(VLOOKUP(N15,TD!$B$50:$F$54,2,0)," ")</f>
        <v>O230117</v>
      </c>
      <c r="V15" s="189" t="str">
        <f>IFERROR(VLOOKUP(N15,TD!$B$50:$F$54,3,0)," ")</f>
        <v>4503</v>
      </c>
      <c r="W15" s="189">
        <f>IFERROR(VLOOKUP(N15,TD!$B$50:$F$54,4,0)," ")</f>
        <v>20240255</v>
      </c>
      <c r="X15" s="186" t="s">
        <v>180</v>
      </c>
      <c r="Y15" s="189" t="str">
        <f>IFERROR(VLOOKUP(X15,TD!$J$51:$K$64,2,0)," ")</f>
        <v>Servicio de apoyo   logístico  en eventos operativos y/o emergencias.</v>
      </c>
      <c r="Z15" s="160" t="str">
        <f>CONCATENATE(X15,"-",Y15)</f>
        <v>12-Servicio de apoyo   logístico  en eventos operativos y/o emergencias.</v>
      </c>
      <c r="AA15" s="186" t="s">
        <v>221</v>
      </c>
      <c r="AB15" s="189" t="str">
        <f>IFERROR(VLOOKUP(AA15,TD!$N$51:$O$66,2,0)," ")</f>
        <v>Servicio de atención a emergencias y desastres</v>
      </c>
      <c r="AC15" s="160" t="str">
        <f>CONCATENATE(AA15,"_",AB15)</f>
        <v>004_Servicio de atención a emergencias y desastres</v>
      </c>
      <c r="AD15" s="160" t="str">
        <f>CONCATENATE(Z15," ",AC15)</f>
        <v>12-Servicio de apoyo   logístico  en eventos operativos y/o emergencias. 004_Servicio de atención a emergencias y desastres</v>
      </c>
      <c r="AE15" s="189" t="str">
        <f>CONCATENATE(U15,V15,W15,X15,AA15)</f>
        <v>O23011745032024025512004</v>
      </c>
      <c r="AF15" s="189" t="str">
        <f>IFERROR(VLOOKUP(AD15,TD!$J$66:$K$89,2,0)," ")</f>
        <v>PM/0131/0112/45030040255</v>
      </c>
      <c r="AG15" s="190" t="s">
        <v>85</v>
      </c>
      <c r="AH15" s="186" t="s">
        <v>193</v>
      </c>
      <c r="AI15" s="191" t="str">
        <f>CONCATENATE(PAA[[#This Row],[Id Interno]],"-",PAA[[#This Row],[tipo de Contrato (TH talento humano - B/S bienes y/o servicios)]],"-",S15,"-",T15,"-",PAA[[#This Row],[Objeto de la contratación]])</f>
        <v>20260244-BS-8173-4-Suministrar combustible para el parque automotor y los equipos especializados de la U.A.E. Cuerpo Oficial de Bomberos Bogotá, dentro y fuera del perímetro del Distrito Capital – SBLG.</v>
      </c>
    </row>
    <row r="16" spans="1:35" s="145" customFormat="1" ht="70" x14ac:dyDescent="0.35">
      <c r="B16" s="179">
        <v>20260253</v>
      </c>
      <c r="C16" s="180" t="s">
        <v>525</v>
      </c>
      <c r="D16" s="179" t="s">
        <v>105</v>
      </c>
      <c r="E16" s="179" t="s">
        <v>402</v>
      </c>
      <c r="F16" s="181" t="s">
        <v>111</v>
      </c>
      <c r="G16" s="182" t="s">
        <v>381</v>
      </c>
      <c r="H16" s="183">
        <v>5</v>
      </c>
      <c r="I16" s="183">
        <v>0</v>
      </c>
      <c r="J16" s="184">
        <v>5000000</v>
      </c>
      <c r="K16" s="185" t="s">
        <v>398</v>
      </c>
      <c r="L16" s="181" t="s">
        <v>157</v>
      </c>
      <c r="M16" s="186" t="s">
        <v>512</v>
      </c>
      <c r="N16" s="179" t="s">
        <v>198</v>
      </c>
      <c r="O16" s="187" t="s">
        <v>958</v>
      </c>
      <c r="P16" s="181" t="s">
        <v>348</v>
      </c>
      <c r="Q16" s="188" t="s">
        <v>526</v>
      </c>
      <c r="R16" s="186" t="s">
        <v>213</v>
      </c>
      <c r="S16" s="158" t="str">
        <f>MID(PAA[[#This Row],[Meta Proyecto de Inversión]],1,4)</f>
        <v>8173</v>
      </c>
      <c r="T16" s="158" t="str">
        <f>MID(PAA[[#This Row],[Meta Proyecto de Inversión]],6,1)</f>
        <v>4</v>
      </c>
      <c r="U16" s="189" t="str">
        <f>IFERROR(VLOOKUP(N16,TD!$B$50:$F$54,2,0)," ")</f>
        <v>O230117</v>
      </c>
      <c r="V16" s="189" t="str">
        <f>IFERROR(VLOOKUP(N16,TD!$B$50:$F$54,3,0)," ")</f>
        <v>4503</v>
      </c>
      <c r="W16" s="189">
        <f>IFERROR(VLOOKUP(N16,TD!$B$50:$F$54,4,0)," ")</f>
        <v>20240255</v>
      </c>
      <c r="X16" s="186" t="s">
        <v>176</v>
      </c>
      <c r="Y16" s="189" t="str">
        <f>IFERROR(VLOOKUP(X16,TD!$J$51:$K$64,2,0)," ")</f>
        <v>Servicio de mantenimiento, dotación (HEA´s y equipo menor) y adquisición de vehiculos   especializados para la atención de emergencias.</v>
      </c>
      <c r="Z16" s="160" t="str">
        <f>CONCATENATE(X16,"-",Y16)</f>
        <v>09-Servicio de mantenimiento, dotación (HEA´s y equipo menor) y adquisición de vehiculos   especializados para la atención de emergencias.</v>
      </c>
      <c r="AA16" s="194" t="s">
        <v>221</v>
      </c>
      <c r="AB16" s="189" t="str">
        <f>IFERROR(VLOOKUP(AA16,TD!$N$51:$O$66,2,0)," ")</f>
        <v>Servicio de atención a emergencias y desastres</v>
      </c>
      <c r="AC16" s="160" t="str">
        <f>CONCATENATE(AA16,"_",AB16)</f>
        <v>004_Servicio de atención a emergencias y desastres</v>
      </c>
      <c r="AD16" s="160" t="str">
        <f>CONCATENATE(Z16," ",AC16)</f>
        <v>09-Servicio de mantenimiento, dotación (HEA´s y equipo menor) y adquisición de vehiculos   especializados para la atención de emergencias. 004_Servicio de atención a emergencias y desastres</v>
      </c>
      <c r="AE16" s="189" t="str">
        <f>CONCATENATE(U16,V16,W16,X16,AA16)</f>
        <v>O23011745032024025509004</v>
      </c>
      <c r="AF16" s="189" t="str">
        <f>IFERROR(VLOOKUP(AD16,TD!$J$66:$K$89,2,0)," ")</f>
        <v>PM/0131/0109/45030040255</v>
      </c>
      <c r="AG16" s="190" t="s">
        <v>80</v>
      </c>
      <c r="AH16" s="186" t="s">
        <v>193</v>
      </c>
      <c r="AI16" s="191" t="str">
        <f>CONCATENATE(PAA[[#This Row],[Id Interno]],"-",PAA[[#This Row],[tipo de Contrato (TH talento humano - B/S bienes y/o servicios)]],"-",S16,"-",T16,"-",PAA[[#This Row],[Objeto de la contratación]])</f>
        <v>20260253-BS-8173-4-Suministrar los repuestos, accesorios e insumos de los equipos de rescate vehicular liviano y pesado marca LUKAS-  SBLG</v>
      </c>
    </row>
    <row r="17" spans="2:35" s="145" customFormat="1" ht="70" x14ac:dyDescent="0.35">
      <c r="B17" s="179">
        <v>20260255</v>
      </c>
      <c r="C17" s="180" t="s">
        <v>1013</v>
      </c>
      <c r="D17" s="179" t="s">
        <v>105</v>
      </c>
      <c r="E17" s="179" t="s">
        <v>402</v>
      </c>
      <c r="F17" s="181" t="s">
        <v>89</v>
      </c>
      <c r="G17" s="182" t="s">
        <v>375</v>
      </c>
      <c r="H17" s="183">
        <v>4</v>
      </c>
      <c r="I17" s="183">
        <v>0</v>
      </c>
      <c r="J17" s="184">
        <v>26104301</v>
      </c>
      <c r="K17" s="185" t="s">
        <v>398</v>
      </c>
      <c r="L17" s="181" t="s">
        <v>157</v>
      </c>
      <c r="M17" s="186" t="s">
        <v>512</v>
      </c>
      <c r="N17" s="179" t="s">
        <v>198</v>
      </c>
      <c r="O17" s="187" t="s">
        <v>958</v>
      </c>
      <c r="P17" s="181" t="s">
        <v>348</v>
      </c>
      <c r="Q17" s="188">
        <v>72101509</v>
      </c>
      <c r="R17" s="186" t="s">
        <v>213</v>
      </c>
      <c r="S17" s="158" t="str">
        <f>MID(PAA[[#This Row],[Meta Proyecto de Inversión]],1,4)</f>
        <v>8173</v>
      </c>
      <c r="T17" s="158" t="str">
        <f>MID(PAA[[#This Row],[Meta Proyecto de Inversión]],6,1)</f>
        <v>4</v>
      </c>
      <c r="U17" s="189" t="str">
        <f>IFERROR(VLOOKUP(N17,TD!$B$50:$F$54,2,0)," ")</f>
        <v>O230117</v>
      </c>
      <c r="V17" s="189" t="str">
        <f>IFERROR(VLOOKUP(N17,TD!$B$50:$F$54,3,0)," ")</f>
        <v>4503</v>
      </c>
      <c r="W17" s="189">
        <f>IFERROR(VLOOKUP(N17,TD!$B$50:$F$54,4,0)," ")</f>
        <v>20240255</v>
      </c>
      <c r="X17" s="186" t="s">
        <v>176</v>
      </c>
      <c r="Y17" s="189" t="str">
        <f>IFERROR(VLOOKUP(X17,TD!$J$51:$K$64,2,0)," ")</f>
        <v>Servicio de mantenimiento, dotación (HEA´s y equipo menor) y adquisición de vehiculos   especializados para la atención de emergencias.</v>
      </c>
      <c r="Z17" s="160" t="str">
        <f>CONCATENATE(X17,"-",Y17)</f>
        <v>09-Servicio de mantenimiento, dotación (HEA´s y equipo menor) y adquisición de vehiculos   especializados para la atención de emergencias.</v>
      </c>
      <c r="AA17" s="194" t="s">
        <v>221</v>
      </c>
      <c r="AB17" s="189" t="str">
        <f>IFERROR(VLOOKUP(AA17,TD!$N$51:$O$66,2,0)," ")</f>
        <v>Servicio de atención a emergencias y desastres</v>
      </c>
      <c r="AC17" s="160" t="str">
        <f>CONCATENATE(AA17,"_",AB17)</f>
        <v>004_Servicio de atención a emergencias y desastres</v>
      </c>
      <c r="AD17" s="160" t="str">
        <f>CONCATENATE(Z17," ",AC17)</f>
        <v>09-Servicio de mantenimiento, dotación (HEA´s y equipo menor) y adquisición de vehiculos   especializados para la atención de emergencias. 004_Servicio de atención a emergencias y desastres</v>
      </c>
      <c r="AE17" s="189" t="str">
        <f>CONCATENATE(U17,V17,W17,X17,AA17)</f>
        <v>O23011745032024025509004</v>
      </c>
      <c r="AF17" s="189" t="str">
        <f>IFERROR(VLOOKUP(AD17,TD!$J$66:$K$89,2,0)," ")</f>
        <v>PM/0131/0109/45030040255</v>
      </c>
      <c r="AG17" s="190" t="s">
        <v>80</v>
      </c>
      <c r="AH17" s="186" t="s">
        <v>193</v>
      </c>
      <c r="AI17" s="191" t="str">
        <f>CONCATENATE(PAA[[#This Row],[Id Interno]],"-",PAA[[#This Row],[tipo de Contrato (TH talento humano - B/S bienes y/o servicios)]],"-",S17,"-",T17,"-",PAA[[#This Row],[Objeto de la contratación]])</f>
        <v>20260255-BS-8173-4-Adición al contrato 622-2025 cuyo objeto es: ¨Prestación del servicio de mantenimiento preventivo y correctivo de los equipos de respiración autónoma interspiro propiedad de la UAECOB, incluido el suministro de repuestos, insumos mano de obra especializada –
SBLG</v>
      </c>
    </row>
    <row r="18" spans="2:35" s="145" customFormat="1" ht="84" x14ac:dyDescent="0.35">
      <c r="B18" s="179">
        <v>20260318</v>
      </c>
      <c r="C18" s="180" t="s">
        <v>509</v>
      </c>
      <c r="D18" s="180" t="s">
        <v>78</v>
      </c>
      <c r="E18" s="180" t="s">
        <v>402</v>
      </c>
      <c r="F18" s="182" t="s">
        <v>101</v>
      </c>
      <c r="G18" s="182" t="s">
        <v>373</v>
      </c>
      <c r="H18" s="192">
        <v>12</v>
      </c>
      <c r="I18" s="192">
        <v>0</v>
      </c>
      <c r="J18" s="190">
        <f>430537660-12638000-49000000+231000000</f>
        <v>599899660</v>
      </c>
      <c r="K18" s="193" t="s">
        <v>398</v>
      </c>
      <c r="L18" s="182" t="s">
        <v>158</v>
      </c>
      <c r="M18" s="194" t="s">
        <v>421</v>
      </c>
      <c r="N18" s="180" t="s">
        <v>198</v>
      </c>
      <c r="O18" s="187" t="s">
        <v>958</v>
      </c>
      <c r="P18" s="182" t="s">
        <v>348</v>
      </c>
      <c r="Q18" s="195">
        <v>80111600</v>
      </c>
      <c r="R18" s="194" t="s">
        <v>211</v>
      </c>
      <c r="S18" s="201" t="str">
        <f>MID(PAA[[#This Row],[Meta Proyecto de Inversión]],1,4)</f>
        <v>8173</v>
      </c>
      <c r="T18" s="201" t="str">
        <f>MID(PAA[[#This Row],[Meta Proyecto de Inversión]],6,1)</f>
        <v>2</v>
      </c>
      <c r="U18" s="189" t="str">
        <f>IFERROR(VLOOKUP(N18,TD!$B$50:$F$54,2,0)," ")</f>
        <v>O230117</v>
      </c>
      <c r="V18" s="189" t="str">
        <f>IFERROR(VLOOKUP(N18,TD!$B$50:$F$54,3,0)," ")</f>
        <v>4503</v>
      </c>
      <c r="W18" s="189">
        <f>IFERROR(VLOOKUP(N18,TD!$B$50:$F$54,4,0)," ")</f>
        <v>20240255</v>
      </c>
      <c r="X18" s="186" t="s">
        <v>178</v>
      </c>
      <c r="Y18" s="189" t="str">
        <f>IFERROR(VLOOKUP(X18,TD!$J$51:$K$64,2,0)," ")</f>
        <v>Servicio de dotación y equipamento para el personal operativo</v>
      </c>
      <c r="Z18" s="202" t="str">
        <f>CONCATENATE(X18,"-",Y18)</f>
        <v>10-Servicio de dotación y equipamento para el personal operativo</v>
      </c>
      <c r="AA18" s="186" t="s">
        <v>221</v>
      </c>
      <c r="AB18" s="189" t="str">
        <f>IFERROR(VLOOKUP(AA18,TD!$N$51:$O$66,2,0)," ")</f>
        <v>Servicio de atención a emergencias y desastres</v>
      </c>
      <c r="AC18" s="202" t="str">
        <f>CONCATENATE(AA18,"_",AB18)</f>
        <v>004_Servicio de atención a emergencias y desastres</v>
      </c>
      <c r="AD18" s="202" t="str">
        <f>CONCATENATE(Z18," ",AC18)</f>
        <v>10-Servicio de dotación y equipamento para el personal operativo 004_Servicio de atención a emergencias y desastres</v>
      </c>
      <c r="AE18" s="189" t="str">
        <f>CONCATENATE(U18,V18,W18,X18,AA18)</f>
        <v>O23011745032024025510004</v>
      </c>
      <c r="AF18" s="189" t="str">
        <f>IFERROR(VLOOKUP(AD18,TD!$J$66:$K$89,2,0)," ")</f>
        <v>PM/0131/0110/45030040255</v>
      </c>
      <c r="AG18" s="190" t="s">
        <v>933</v>
      </c>
      <c r="AH18" s="186" t="s">
        <v>193</v>
      </c>
      <c r="AI18" s="191" t="str">
        <f>CONCATENATE(PAA[[#This Row],[Id Interno]],"-",PAA[[#This Row],[tipo de Contrato (TH talento humano - B/S bienes y/o servicios)]],"-",S18,"-",T18,"-",PAA[[#This Row],[Objeto de la contratación]])</f>
        <v>20260318-BS-8173-2-Adquisición de equipos de protección personal (E.P.P.)  para el personal uniformado de la UAE Cuerpo Oficial de Bomberos de Bogota, S.O.</v>
      </c>
    </row>
    <row r="19" spans="2:35" s="145" customFormat="1" ht="70" x14ac:dyDescent="0.35">
      <c r="B19" s="179">
        <v>20260495</v>
      </c>
      <c r="C19" s="180" t="s">
        <v>744</v>
      </c>
      <c r="D19" s="179" t="s">
        <v>114</v>
      </c>
      <c r="E19" s="179" t="s">
        <v>402</v>
      </c>
      <c r="F19" s="181" t="s">
        <v>89</v>
      </c>
      <c r="G19" s="182" t="s">
        <v>374</v>
      </c>
      <c r="H19" s="183">
        <v>10</v>
      </c>
      <c r="I19" s="183">
        <v>0</v>
      </c>
      <c r="J19" s="184">
        <v>355000000</v>
      </c>
      <c r="K19" s="185" t="s">
        <v>398</v>
      </c>
      <c r="L19" s="181" t="s">
        <v>155</v>
      </c>
      <c r="M19" s="186" t="s">
        <v>422</v>
      </c>
      <c r="N19" s="179" t="s">
        <v>197</v>
      </c>
      <c r="O19" s="187" t="s">
        <v>957</v>
      </c>
      <c r="P19" s="181" t="s">
        <v>348</v>
      </c>
      <c r="Q19" s="188" t="s">
        <v>779</v>
      </c>
      <c r="R19" s="186" t="s">
        <v>207</v>
      </c>
      <c r="S19" s="158" t="str">
        <f>MID(PAA[[#This Row],[Meta Proyecto de Inversión]],1,4)</f>
        <v>8126</v>
      </c>
      <c r="T19" s="158" t="str">
        <f>MID(PAA[[#This Row],[Meta Proyecto de Inversión]],6,1)</f>
        <v>8</v>
      </c>
      <c r="U19" s="189" t="str">
        <f>IFERROR(VLOOKUP(N19,TD!$B$50:$F$54,2,0)," ")</f>
        <v>O230117</v>
      </c>
      <c r="V19" s="189" t="str">
        <f>IFERROR(VLOOKUP(N19,TD!$B$50:$F$54,3,0)," ")</f>
        <v>4599</v>
      </c>
      <c r="W19" s="189">
        <f>IFERROR(VLOOKUP(N19,TD!$B$50:$F$54,4,0)," ")</f>
        <v>20240207</v>
      </c>
      <c r="X19" s="186" t="s">
        <v>174</v>
      </c>
      <c r="Y19" s="189" t="str">
        <f>IFERROR(VLOOKUP(X19,TD!$J$51:$K$64,2,0)," ")</f>
        <v>Infraestructura física, mantenimiento y dotación (Sedes construidas, mantenidas reforzadas)</v>
      </c>
      <c r="Z19" s="160" t="str">
        <f>CONCATENATE(X19,"-",Y19)</f>
        <v>08-Infraestructura física, mantenimiento y dotación (Sedes construidas, mantenidas reforzadas)</v>
      </c>
      <c r="AA19" s="186" t="s">
        <v>227</v>
      </c>
      <c r="AB19" s="189" t="str">
        <f>IFERROR(VLOOKUP(AA19,TD!$N$51:$O$66,2,0)," ")</f>
        <v>Sedes mantenidas</v>
      </c>
      <c r="AC19" s="160" t="str">
        <f>CONCATENATE(AA19,"_",AB19)</f>
        <v>016_Sedes mantenidas</v>
      </c>
      <c r="AD19" s="160" t="str">
        <f>CONCATENATE(Z19," ",AC19)</f>
        <v>08-Infraestructura física, mantenimiento y dotación (Sedes construidas, mantenidas reforzadas) 016_Sedes mantenidas</v>
      </c>
      <c r="AE19" s="189" t="str">
        <f>CONCATENATE(U19,V19,W19,X19,AA19)</f>
        <v>O23011745992024020708016</v>
      </c>
      <c r="AF19" s="189" t="str">
        <f>IFERROR(VLOOKUP(AD19,TD!$J$66:$K$89,2,0)," ")</f>
        <v>PM/0131/0108/45990160207</v>
      </c>
      <c r="AG19" s="190" t="s">
        <v>134</v>
      </c>
      <c r="AH19" s="186" t="s">
        <v>193</v>
      </c>
      <c r="AI19" s="191" t="str">
        <f>CONCATENATE(PAA[[#This Row],[Id Interno]],"-",PAA[[#This Row],[tipo de Contrato (TH talento humano - B/S bienes y/o servicios)]],"-",S19,"-",T19,"-",PAA[[#This Row],[Objeto de la contratación]])</f>
        <v>20260495-BS-8126-8-Contratar la prestación del servicio de aseo y cafetería incluido insumos para la Unidad Administrativa Especial Cuerpo Oficial de Bomberos Bogotá -SGC</v>
      </c>
    </row>
    <row r="20" spans="2:35" s="145" customFormat="1" ht="56" x14ac:dyDescent="0.35">
      <c r="B20" s="179">
        <v>20260496</v>
      </c>
      <c r="C20" s="180" t="s">
        <v>1011</v>
      </c>
      <c r="D20" s="179" t="s">
        <v>92</v>
      </c>
      <c r="E20" s="179" t="s">
        <v>402</v>
      </c>
      <c r="F20" s="181" t="s">
        <v>111</v>
      </c>
      <c r="G20" s="182" t="s">
        <v>377</v>
      </c>
      <c r="H20" s="183">
        <v>8</v>
      </c>
      <c r="I20" s="183">
        <v>0</v>
      </c>
      <c r="J20" s="184">
        <v>16000000</v>
      </c>
      <c r="K20" s="185" t="s">
        <v>398</v>
      </c>
      <c r="L20" s="181" t="s">
        <v>155</v>
      </c>
      <c r="M20" s="186" t="s">
        <v>422</v>
      </c>
      <c r="N20" s="179" t="s">
        <v>197</v>
      </c>
      <c r="O20" s="187" t="s">
        <v>957</v>
      </c>
      <c r="P20" s="181" t="s">
        <v>348</v>
      </c>
      <c r="Q20" s="188" t="s">
        <v>780</v>
      </c>
      <c r="R20" s="186" t="s">
        <v>207</v>
      </c>
      <c r="S20" s="158" t="str">
        <f>MID(PAA[[#This Row],[Meta Proyecto de Inversión]],1,4)</f>
        <v>8126</v>
      </c>
      <c r="T20" s="158" t="str">
        <f>MID(PAA[[#This Row],[Meta Proyecto de Inversión]],6,1)</f>
        <v>8</v>
      </c>
      <c r="U20" s="189" t="str">
        <f>IFERROR(VLOOKUP(N20,TD!$B$50:$F$54,2,0)," ")</f>
        <v>O230117</v>
      </c>
      <c r="V20" s="189" t="str">
        <f>IFERROR(VLOOKUP(N20,TD!$B$50:$F$54,3,0)," ")</f>
        <v>4599</v>
      </c>
      <c r="W20" s="189">
        <f>IFERROR(VLOOKUP(N20,TD!$B$50:$F$54,4,0)," ")</f>
        <v>20240207</v>
      </c>
      <c r="X20" s="186" t="s">
        <v>174</v>
      </c>
      <c r="Y20" s="189" t="str">
        <f>IFERROR(VLOOKUP(X20,TD!$J$51:$K$64,2,0)," ")</f>
        <v>Infraestructura física, mantenimiento y dotación (Sedes construidas, mantenidas reforzadas)</v>
      </c>
      <c r="Z20" s="160" t="str">
        <f>CONCATENATE(X20,"-",Y20)</f>
        <v>08-Infraestructura física, mantenimiento y dotación (Sedes construidas, mantenidas reforzadas)</v>
      </c>
      <c r="AA20" s="186" t="s">
        <v>227</v>
      </c>
      <c r="AB20" s="189" t="str">
        <f>IFERROR(VLOOKUP(AA20,TD!$N$51:$O$66,2,0)," ")</f>
        <v>Sedes mantenidas</v>
      </c>
      <c r="AC20" s="160" t="str">
        <f>CONCATENATE(AA20,"_",AB20)</f>
        <v>016_Sedes mantenidas</v>
      </c>
      <c r="AD20" s="160" t="str">
        <f>CONCATENATE(Z20," ",AC20)</f>
        <v>08-Infraestructura física, mantenimiento y dotación (Sedes construidas, mantenidas reforzadas) 016_Sedes mantenidas</v>
      </c>
      <c r="AE20" s="189" t="str">
        <f>CONCATENATE(U20,V20,W20,X20,AA20)</f>
        <v>O23011745992024020708016</v>
      </c>
      <c r="AF20" s="189" t="str">
        <f>IFERROR(VLOOKUP(AD20,TD!$J$66:$K$89,2,0)," ")</f>
        <v>PM/0131/0108/45990160207</v>
      </c>
      <c r="AG20" s="190" t="s">
        <v>134</v>
      </c>
      <c r="AH20" s="186" t="s">
        <v>193</v>
      </c>
      <c r="AI20" s="191" t="str">
        <f>CONCATENATE(PAA[[#This Row],[Id Interno]],"-",PAA[[#This Row],[tipo de Contrato (TH talento humano - B/S bienes y/o servicios)]],"-",S20,"-",T20,"-",PAA[[#This Row],[Objeto de la contratación]])</f>
        <v>20260496-BS-8126-8-Prestar el servicio y mantenimiento de equipos de higienización, desodorización y aromatización para la Unidad Administrativa Especial Cuerpo Oficial de Bomberos Bogotá-SGC</v>
      </c>
    </row>
    <row r="21" spans="2:35" s="145" customFormat="1" ht="56" x14ac:dyDescent="0.35">
      <c r="B21" s="179">
        <v>20260500</v>
      </c>
      <c r="C21" s="180" t="s">
        <v>746</v>
      </c>
      <c r="D21" s="179" t="s">
        <v>92</v>
      </c>
      <c r="E21" s="179" t="s">
        <v>402</v>
      </c>
      <c r="F21" s="181" t="s">
        <v>136</v>
      </c>
      <c r="G21" s="182" t="s">
        <v>377</v>
      </c>
      <c r="H21" s="183">
        <v>11</v>
      </c>
      <c r="I21" s="183">
        <v>0</v>
      </c>
      <c r="J21" s="184">
        <v>20000000</v>
      </c>
      <c r="K21" s="185" t="s">
        <v>398</v>
      </c>
      <c r="L21" s="181" t="s">
        <v>155</v>
      </c>
      <c r="M21" s="186" t="s">
        <v>422</v>
      </c>
      <c r="N21" s="179" t="s">
        <v>197</v>
      </c>
      <c r="O21" s="187" t="s">
        <v>957</v>
      </c>
      <c r="P21" s="181" t="s">
        <v>348</v>
      </c>
      <c r="Q21" s="188" t="s">
        <v>783</v>
      </c>
      <c r="R21" s="186" t="s">
        <v>207</v>
      </c>
      <c r="S21" s="158" t="str">
        <f>MID(PAA[[#This Row],[Meta Proyecto de Inversión]],1,4)</f>
        <v>8126</v>
      </c>
      <c r="T21" s="158" t="str">
        <f>MID(PAA[[#This Row],[Meta Proyecto de Inversión]],6,1)</f>
        <v>8</v>
      </c>
      <c r="U21" s="189" t="str">
        <f>IFERROR(VLOOKUP(N21,TD!$B$50:$F$54,2,0)," ")</f>
        <v>O230117</v>
      </c>
      <c r="V21" s="189" t="str">
        <f>IFERROR(VLOOKUP(N21,TD!$B$50:$F$54,3,0)," ")</f>
        <v>4599</v>
      </c>
      <c r="W21" s="189">
        <f>IFERROR(VLOOKUP(N21,TD!$B$50:$F$54,4,0)," ")</f>
        <v>20240207</v>
      </c>
      <c r="X21" s="186" t="s">
        <v>174</v>
      </c>
      <c r="Y21" s="189" t="str">
        <f>IFERROR(VLOOKUP(X21,TD!$J$51:$K$64,2,0)," ")</f>
        <v>Infraestructura física, mantenimiento y dotación (Sedes construidas, mantenidas reforzadas)</v>
      </c>
      <c r="Z21" s="160" t="str">
        <f>CONCATENATE(X21,"-",Y21)</f>
        <v>08-Infraestructura física, mantenimiento y dotación (Sedes construidas, mantenidas reforzadas)</v>
      </c>
      <c r="AA21" s="186" t="s">
        <v>227</v>
      </c>
      <c r="AB21" s="189" t="str">
        <f>IFERROR(VLOOKUP(AA21,TD!$N$51:$O$66,2,0)," ")</f>
        <v>Sedes mantenidas</v>
      </c>
      <c r="AC21" s="160" t="str">
        <f>CONCATENATE(AA21,"_",AB21)</f>
        <v>016_Sedes mantenidas</v>
      </c>
      <c r="AD21" s="160" t="str">
        <f>CONCATENATE(Z21," ",AC21)</f>
        <v>08-Infraestructura física, mantenimiento y dotación (Sedes construidas, mantenidas reforzadas) 016_Sedes mantenidas</v>
      </c>
      <c r="AE21" s="189" t="str">
        <f>CONCATENATE(U21,V21,W21,X21,AA21)</f>
        <v>O23011745992024020708016</v>
      </c>
      <c r="AF21" s="189" t="str">
        <f>IFERROR(VLOOKUP(AD21,TD!$J$66:$K$89,2,0)," ")</f>
        <v>PM/0131/0108/45990160207</v>
      </c>
      <c r="AG21" s="190" t="s">
        <v>937</v>
      </c>
      <c r="AH21" s="186" t="s">
        <v>193</v>
      </c>
      <c r="AI21" s="191" t="str">
        <f>CONCATENATE(PAA[[#This Row],[Id Interno]],"-",PAA[[#This Row],[tipo de Contrato (TH talento humano - B/S bienes y/o servicios)]],"-",S21,"-",T21,"-",PAA[[#This Row],[Objeto de la contratación]])</f>
        <v>20260500-BS-8126-8-Mantenimiento preventivo y/o correctivo, suministros y repuestos de los electrodomésticos de las instalaciones a cargo de la UAE Cuerpo Oficial de Bomberos Bogotá-SGC</v>
      </c>
    </row>
    <row r="22" spans="2:35" s="145" customFormat="1" ht="70" x14ac:dyDescent="0.35">
      <c r="B22" s="179">
        <v>20260502</v>
      </c>
      <c r="C22" s="180" t="s">
        <v>748</v>
      </c>
      <c r="D22" s="179" t="s">
        <v>83</v>
      </c>
      <c r="E22" s="179" t="s">
        <v>402</v>
      </c>
      <c r="F22" s="181" t="s">
        <v>136</v>
      </c>
      <c r="G22" s="182" t="s">
        <v>376</v>
      </c>
      <c r="H22" s="183">
        <v>10</v>
      </c>
      <c r="I22" s="183">
        <v>0</v>
      </c>
      <c r="J22" s="184">
        <v>180000000</v>
      </c>
      <c r="K22" s="185" t="s">
        <v>398</v>
      </c>
      <c r="L22" s="181" t="s">
        <v>155</v>
      </c>
      <c r="M22" s="186" t="s">
        <v>422</v>
      </c>
      <c r="N22" s="179" t="s">
        <v>197</v>
      </c>
      <c r="O22" s="187" t="s">
        <v>957</v>
      </c>
      <c r="P22" s="181" t="s">
        <v>348</v>
      </c>
      <c r="Q22" s="188" t="s">
        <v>785</v>
      </c>
      <c r="R22" s="186" t="s">
        <v>207</v>
      </c>
      <c r="S22" s="158" t="str">
        <f>MID(PAA[[#This Row],[Meta Proyecto de Inversión]],1,4)</f>
        <v>8126</v>
      </c>
      <c r="T22" s="158" t="str">
        <f>MID(PAA[[#This Row],[Meta Proyecto de Inversión]],6,1)</f>
        <v>8</v>
      </c>
      <c r="U22" s="189" t="str">
        <f>IFERROR(VLOOKUP(N22,TD!$B$50:$F$54,2,0)," ")</f>
        <v>O230117</v>
      </c>
      <c r="V22" s="189" t="str">
        <f>IFERROR(VLOOKUP(N22,TD!$B$50:$F$54,3,0)," ")</f>
        <v>4599</v>
      </c>
      <c r="W22" s="189">
        <f>IFERROR(VLOOKUP(N22,TD!$B$50:$F$54,4,0)," ")</f>
        <v>20240207</v>
      </c>
      <c r="X22" s="186" t="s">
        <v>174</v>
      </c>
      <c r="Y22" s="189" t="str">
        <f>IFERROR(VLOOKUP(X22,TD!$J$51:$K$64,2,0)," ")</f>
        <v>Infraestructura física, mantenimiento y dotación (Sedes construidas, mantenidas reforzadas)</v>
      </c>
      <c r="Z22" s="160" t="str">
        <f>CONCATENATE(X22,"-",Y22)</f>
        <v>08-Infraestructura física, mantenimiento y dotación (Sedes construidas, mantenidas reforzadas)</v>
      </c>
      <c r="AA22" s="186" t="s">
        <v>227</v>
      </c>
      <c r="AB22" s="189" t="str">
        <f>IFERROR(VLOOKUP(AA22,TD!$N$51:$O$66,2,0)," ")</f>
        <v>Sedes mantenidas</v>
      </c>
      <c r="AC22" s="160" t="str">
        <f>CONCATENATE(AA22,"_",AB22)</f>
        <v>016_Sedes mantenidas</v>
      </c>
      <c r="AD22" s="160" t="str">
        <f>CONCATENATE(Z22," ",AC22)</f>
        <v>08-Infraestructura física, mantenimiento y dotación (Sedes construidas, mantenidas reforzadas) 016_Sedes mantenidas</v>
      </c>
      <c r="AE22" s="189" t="str">
        <f>CONCATENATE(U22,V22,W22,X22,AA22)</f>
        <v>O23011745992024020708016</v>
      </c>
      <c r="AF22" s="189" t="str">
        <f>IFERROR(VLOOKUP(AD22,TD!$J$66:$K$89,2,0)," ")</f>
        <v>PM/0131/0108/45990160207</v>
      </c>
      <c r="AG22" s="190" t="s">
        <v>585</v>
      </c>
      <c r="AH22" s="186" t="s">
        <v>193</v>
      </c>
      <c r="AI22" s="191" t="str">
        <f>CONCATENATE(PAA[[#This Row],[Id Interno]],"-",PAA[[#This Row],[tipo de Contrato (TH talento humano - B/S bienes y/o servicios)]],"-",S22,"-",T22,"-",PAA[[#This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23" spans="2:35" s="145" customFormat="1" ht="84" x14ac:dyDescent="0.35">
      <c r="B23" s="180">
        <v>20260505</v>
      </c>
      <c r="C23" s="180" t="s">
        <v>751</v>
      </c>
      <c r="D23" s="180" t="s">
        <v>78</v>
      </c>
      <c r="E23" s="180" t="s">
        <v>402</v>
      </c>
      <c r="F23" s="182" t="s">
        <v>97</v>
      </c>
      <c r="G23" s="182" t="s">
        <v>377</v>
      </c>
      <c r="H23" s="192">
        <v>10</v>
      </c>
      <c r="I23" s="192">
        <v>0</v>
      </c>
      <c r="J23" s="190">
        <v>800472500</v>
      </c>
      <c r="K23" s="193" t="s">
        <v>398</v>
      </c>
      <c r="L23" s="182" t="s">
        <v>155</v>
      </c>
      <c r="M23" s="194" t="s">
        <v>422</v>
      </c>
      <c r="N23" s="180" t="s">
        <v>197</v>
      </c>
      <c r="O23" s="187" t="s">
        <v>957</v>
      </c>
      <c r="P23" s="182" t="s">
        <v>348</v>
      </c>
      <c r="Q23" s="195" t="s">
        <v>787</v>
      </c>
      <c r="R23" s="194" t="s">
        <v>207</v>
      </c>
      <c r="S23" s="158" t="str">
        <f>MID(PAA[[#This Row],[Meta Proyecto de Inversión]],1,4)</f>
        <v>8126</v>
      </c>
      <c r="T23" s="158" t="str">
        <f>MID(PAA[[#This Row],[Meta Proyecto de Inversión]],6,1)</f>
        <v>8</v>
      </c>
      <c r="U23" s="196" t="str">
        <f>IFERROR(VLOOKUP(N23,TD!$B$50:$F$54,2,0)," ")</f>
        <v>O230117</v>
      </c>
      <c r="V23" s="196" t="str">
        <f>IFERROR(VLOOKUP(N23,TD!$B$50:$F$54,3,0)," ")</f>
        <v>4599</v>
      </c>
      <c r="W23" s="196">
        <f>IFERROR(VLOOKUP(N23,TD!$B$50:$F$54,4,0)," ")</f>
        <v>20240207</v>
      </c>
      <c r="X23" s="194" t="s">
        <v>174</v>
      </c>
      <c r="Y23" s="196" t="str">
        <f>IFERROR(VLOOKUP(X23,TD!$J$51:$K$64,2,0)," ")</f>
        <v>Infraestructura física, mantenimiento y dotación (Sedes construidas, mantenidas reforzadas)</v>
      </c>
      <c r="Z23" s="160" t="str">
        <f>CONCATENATE(X23,"-",Y23)</f>
        <v>08-Infraestructura física, mantenimiento y dotación (Sedes construidas, mantenidas reforzadas)</v>
      </c>
      <c r="AA23" s="194" t="s">
        <v>227</v>
      </c>
      <c r="AB23" s="196" t="str">
        <f>IFERROR(VLOOKUP(AA23,TD!$N$51:$O$66,2,0)," ")</f>
        <v>Sedes mantenidas</v>
      </c>
      <c r="AC23" s="160" t="str">
        <f>CONCATENATE(AA23,"_",AB23)</f>
        <v>016_Sedes mantenidas</v>
      </c>
      <c r="AD23" s="160" t="str">
        <f>CONCATENATE(Z23," ",AC23)</f>
        <v>08-Infraestructura física, mantenimiento y dotación (Sedes construidas, mantenidas reforzadas) 016_Sedes mantenidas</v>
      </c>
      <c r="AE23" s="196" t="str">
        <f>CONCATENATE(U23,V23,W23,X23,AA23)</f>
        <v>O23011745992024020708016</v>
      </c>
      <c r="AF23" s="196" t="str">
        <f>IFERROR(VLOOKUP(AD23,TD!$J$66:$K$89,2,0)," ")</f>
        <v>PM/0131/0108/45990160207</v>
      </c>
      <c r="AG23" s="190" t="s">
        <v>94</v>
      </c>
      <c r="AH23" s="194" t="s">
        <v>193</v>
      </c>
      <c r="AI23" s="197" t="str">
        <f>CONCATENATE(PAA[[#This Row],[Id Interno]],"-",PAA[[#This Row],[tipo de Contrato (TH talento humano - B/S bienes y/o servicios)]],"-",S23,"-",T23,"-",PAA[[#This Row],[Objeto de la contratación]])</f>
        <v>20260505-BS-8126-8-Realizar el mantenimiento predictivo, preventivo, correctivo y mejoras a las instalaciones de las dependencias de la Unidad Administrativa Especial Cuerpo Oficial de Bomberos Bogotá -SGC</v>
      </c>
    </row>
    <row r="24" spans="2:35" s="145" customFormat="1" ht="70" x14ac:dyDescent="0.35">
      <c r="B24" s="179">
        <v>20260506</v>
      </c>
      <c r="C24" s="180" t="s">
        <v>951</v>
      </c>
      <c r="D24" s="179" t="s">
        <v>100</v>
      </c>
      <c r="E24" s="179" t="s">
        <v>402</v>
      </c>
      <c r="F24" s="179" t="s">
        <v>131</v>
      </c>
      <c r="G24" s="198" t="s">
        <v>377</v>
      </c>
      <c r="H24" s="199">
        <v>10</v>
      </c>
      <c r="I24" s="183">
        <v>0</v>
      </c>
      <c r="J24" s="184">
        <v>200000000</v>
      </c>
      <c r="K24" s="185" t="s">
        <v>398</v>
      </c>
      <c r="L24" s="181" t="s">
        <v>155</v>
      </c>
      <c r="M24" s="186" t="s">
        <v>422</v>
      </c>
      <c r="N24" s="179" t="s">
        <v>197</v>
      </c>
      <c r="O24" s="187" t="s">
        <v>957</v>
      </c>
      <c r="P24" s="186" t="s">
        <v>348</v>
      </c>
      <c r="Q24" s="188" t="s">
        <v>788</v>
      </c>
      <c r="R24" s="186" t="s">
        <v>207</v>
      </c>
      <c r="S24" s="158" t="str">
        <f>MID(PAA[[#This Row],[Meta Proyecto de Inversión]],1,4)</f>
        <v>8126</v>
      </c>
      <c r="T24" s="158" t="str">
        <f>MID(PAA[[#This Row],[Meta Proyecto de Inversión]],6,1)</f>
        <v>8</v>
      </c>
      <c r="U24" s="189" t="str">
        <f>IFERROR(VLOOKUP(N24,TD!$B$50:$F$54,2,0)," ")</f>
        <v>O230117</v>
      </c>
      <c r="V24" s="189" t="str">
        <f>IFERROR(VLOOKUP(N24,TD!$B$50:$F$54,3,0)," ")</f>
        <v>4599</v>
      </c>
      <c r="W24" s="189">
        <f>IFERROR(VLOOKUP(N24,TD!$B$50:$F$54,4,0)," ")</f>
        <v>20240207</v>
      </c>
      <c r="X24" s="186" t="s">
        <v>174</v>
      </c>
      <c r="Y24" s="189" t="str">
        <f>IFERROR(VLOOKUP(X24,TD!$J$51:$K$64,2,0)," ")</f>
        <v>Infraestructura física, mantenimiento y dotación (Sedes construidas, mantenidas reforzadas)</v>
      </c>
      <c r="Z24" s="160" t="str">
        <f>CONCATENATE(X24,"-",Y24)</f>
        <v>08-Infraestructura física, mantenimiento y dotación (Sedes construidas, mantenidas reforzadas)</v>
      </c>
      <c r="AA24" s="186" t="s">
        <v>227</v>
      </c>
      <c r="AB24" s="189" t="str">
        <f>IFERROR(VLOOKUP(AA24,TD!$N$51:$O$66,2,0)," ")</f>
        <v>Sedes mantenidas</v>
      </c>
      <c r="AC24" s="160" t="str">
        <f>CONCATENATE(AA24,"_",AB24)</f>
        <v>016_Sedes mantenidas</v>
      </c>
      <c r="AD24" s="160" t="str">
        <f>CONCATENATE(Z24," ",AC24)</f>
        <v>08-Infraestructura física, mantenimiento y dotación (Sedes construidas, mantenidas reforzadas) 016_Sedes mantenidas</v>
      </c>
      <c r="AE24" s="189" t="str">
        <f>CONCATENATE(U24,V24,W24,X24,AA24)</f>
        <v>O23011745992024020708016</v>
      </c>
      <c r="AF24" s="189" t="str">
        <f>IFERROR(VLOOKUP(AD24,TD!$J$66:$K$89,2,0)," ")</f>
        <v>PM/0131/0108/45990160207</v>
      </c>
      <c r="AG24" s="190" t="s">
        <v>94</v>
      </c>
      <c r="AH24" s="186" t="s">
        <v>193</v>
      </c>
      <c r="AI24" s="191" t="str">
        <f>CONCATENATE(PAA[[#This Row],[Id Interno]],"-",PAA[[#This Row],[tipo de Contrato (TH talento humano - B/S bienes y/o servicios)]],"-",S24,"-",T24,"-",PAA[[#This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25" spans="2:35" s="145" customFormat="1" ht="84" x14ac:dyDescent="0.35">
      <c r="B25" s="179">
        <v>20260519</v>
      </c>
      <c r="C25" s="180" t="s">
        <v>758</v>
      </c>
      <c r="D25" s="179" t="s">
        <v>92</v>
      </c>
      <c r="E25" s="179" t="s">
        <v>402</v>
      </c>
      <c r="F25" s="179" t="s">
        <v>89</v>
      </c>
      <c r="G25" s="198" t="s">
        <v>377</v>
      </c>
      <c r="H25" s="199">
        <v>8</v>
      </c>
      <c r="I25" s="183">
        <v>0</v>
      </c>
      <c r="J25" s="184">
        <v>30000000</v>
      </c>
      <c r="K25" s="185" t="s">
        <v>398</v>
      </c>
      <c r="L25" s="181" t="s">
        <v>155</v>
      </c>
      <c r="M25" s="186" t="s">
        <v>422</v>
      </c>
      <c r="N25" s="179" t="s">
        <v>330</v>
      </c>
      <c r="O25" s="187" t="s">
        <v>957</v>
      </c>
      <c r="P25" s="186" t="s">
        <v>161</v>
      </c>
      <c r="Q25" s="188" t="s">
        <v>793</v>
      </c>
      <c r="R25" s="186" t="s">
        <v>331</v>
      </c>
      <c r="S25" s="158" t="str">
        <f>MID(PAA[[#This Row],[Meta Proyecto de Inversión]],1,4)</f>
        <v>No a</v>
      </c>
      <c r="T25" s="158" t="str">
        <f>MID(PAA[[#This Row],[Meta Proyecto de Inversión]],6,1)</f>
        <v>l</v>
      </c>
      <c r="U25" s="189" t="str">
        <f>IFERROR(VLOOKUP(N25,TD!$B$50:$F$54,2,0)," ")</f>
        <v>NA</v>
      </c>
      <c r="V25" s="189" t="str">
        <f>IFERROR(VLOOKUP(N25,TD!$B$50:$F$54,3,0)," ")</f>
        <v>NA</v>
      </c>
      <c r="W25" s="189" t="str">
        <f>IFERROR(VLOOKUP(N25,TD!$B$50:$F$54,4,0)," ")</f>
        <v>NA</v>
      </c>
      <c r="X25" s="186" t="s">
        <v>335</v>
      </c>
      <c r="Y25" s="189" t="str">
        <f>IFERROR(VLOOKUP(X25,TD!$J$51:$K$64,2,0)," ")</f>
        <v>N/A</v>
      </c>
      <c r="Z25" s="160" t="str">
        <f>CONCATENATE(X25,"-",Y25)</f>
        <v>N/A-N/A</v>
      </c>
      <c r="AA25" s="186" t="s">
        <v>335</v>
      </c>
      <c r="AB25" s="189" t="str">
        <f>IFERROR(VLOOKUP(AA25,TD!$N$51:$O$66,2,0)," ")</f>
        <v>N/A</v>
      </c>
      <c r="AC25" s="160" t="str">
        <f>CONCATENATE(AA25,"_",AB25)</f>
        <v>N/A_N/A</v>
      </c>
      <c r="AD25" s="160" t="str">
        <f>CONCATENATE(Z25," ",AC25)</f>
        <v>N/A-N/A N/A_N/A</v>
      </c>
      <c r="AE25" s="189" t="str">
        <f>CONCATENATE(U25,V25,W25,X25,AA25)</f>
        <v>NANANAN/AN/A</v>
      </c>
      <c r="AF25" s="189" t="str">
        <f>IFERROR(VLOOKUP(AD25,TD!$J$66:$K$89,2,0)," ")</f>
        <v>N/A</v>
      </c>
      <c r="AG25" s="190" t="s">
        <v>332</v>
      </c>
      <c r="AH25" s="186" t="s">
        <v>193</v>
      </c>
      <c r="AI25" s="191" t="str">
        <f>CONCATENATE(PAA[[#This Row],[Id Interno]],"-",PAA[[#This Row],[tipo de Contrato (TH talento humano - B/S bienes y/o servicios)]],"-",S25,"-",T25,"-",PAA[[#This Row],[Objeto de la contratación]])</f>
        <v>20260519-BS-No a-l-Prestar el servicio de recolección y disposición final de los residuos sanitarios y aguas no tratadas de las instalaciones de la Unidad Administrativa Especial Cuerpo Oficial de Bomberos de Bogotá – SGC</v>
      </c>
    </row>
    <row r="26" spans="2:35" s="145" customFormat="1" ht="84" x14ac:dyDescent="0.35">
      <c r="B26" s="179">
        <v>20260521</v>
      </c>
      <c r="C26" s="180" t="s">
        <v>760</v>
      </c>
      <c r="D26" s="179" t="s">
        <v>114</v>
      </c>
      <c r="E26" s="179" t="s">
        <v>402</v>
      </c>
      <c r="F26" s="179" t="s">
        <v>89</v>
      </c>
      <c r="G26" s="198" t="s">
        <v>373</v>
      </c>
      <c r="H26" s="199">
        <v>1</v>
      </c>
      <c r="I26" s="183">
        <v>0</v>
      </c>
      <c r="J26" s="184">
        <v>17698013</v>
      </c>
      <c r="K26" s="185" t="s">
        <v>398</v>
      </c>
      <c r="L26" s="181" t="s">
        <v>155</v>
      </c>
      <c r="M26" s="186" t="s">
        <v>422</v>
      </c>
      <c r="N26" s="179" t="s">
        <v>330</v>
      </c>
      <c r="O26" s="187" t="s">
        <v>957</v>
      </c>
      <c r="P26" s="186" t="s">
        <v>161</v>
      </c>
      <c r="Q26" s="188" t="s">
        <v>795</v>
      </c>
      <c r="R26" s="186" t="s">
        <v>331</v>
      </c>
      <c r="S26" s="158" t="str">
        <f>MID(PAA[[#This Row],[Meta Proyecto de Inversión]],1,4)</f>
        <v>No a</v>
      </c>
      <c r="T26" s="158" t="str">
        <f>MID(PAA[[#This Row],[Meta Proyecto de Inversión]],6,1)</f>
        <v>l</v>
      </c>
      <c r="U26" s="189" t="str">
        <f>IFERROR(VLOOKUP(N26,TD!$B$50:$F$54,2,0)," ")</f>
        <v>NA</v>
      </c>
      <c r="V26" s="189" t="str">
        <f>IFERROR(VLOOKUP(N26,TD!$B$50:$F$54,3,0)," ")</f>
        <v>NA</v>
      </c>
      <c r="W26" s="189" t="str">
        <f>IFERROR(VLOOKUP(N26,TD!$B$50:$F$54,4,0)," ")</f>
        <v>NA</v>
      </c>
      <c r="X26" s="186" t="s">
        <v>335</v>
      </c>
      <c r="Y26" s="189" t="str">
        <f>IFERROR(VLOOKUP(X26,TD!$J$51:$K$64,2,0)," ")</f>
        <v>N/A</v>
      </c>
      <c r="Z26" s="160" t="str">
        <f>CONCATENATE(X26,"-",Y26)</f>
        <v>N/A-N/A</v>
      </c>
      <c r="AA26" s="186" t="s">
        <v>335</v>
      </c>
      <c r="AB26" s="189" t="str">
        <f>IFERROR(VLOOKUP(AA26,TD!$N$51:$O$66,2,0)," ")</f>
        <v>N/A</v>
      </c>
      <c r="AC26" s="160" t="str">
        <f>CONCATENATE(AA26,"_",AB26)</f>
        <v>N/A_N/A</v>
      </c>
      <c r="AD26" s="160" t="str">
        <f>CONCATENATE(Z26," ",AC26)</f>
        <v>N/A-N/A N/A_N/A</v>
      </c>
      <c r="AE26" s="189" t="str">
        <f>CONCATENATE(U26,V26,W26,X26,AA26)</f>
        <v>NANANAN/AN/A</v>
      </c>
      <c r="AF26" s="189" t="str">
        <f>IFERROR(VLOOKUP(AD26,TD!$J$66:$K$89,2,0)," ")</f>
        <v>N/A</v>
      </c>
      <c r="AG26" s="190" t="s">
        <v>332</v>
      </c>
      <c r="AH26" s="186" t="s">
        <v>194</v>
      </c>
      <c r="AI26" s="191" t="str">
        <f>CONCATENATE(PAA[[#This Row],[Id Interno]],"-",PAA[[#This Row],[tipo de Contrato (TH talento humano - B/S bienes y/o servicios)]],"-",S26,"-",T26,"-",PAA[[#This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27" spans="2:35" s="145" customFormat="1" ht="56" x14ac:dyDescent="0.35">
      <c r="B27" s="179">
        <v>20260522</v>
      </c>
      <c r="C27" s="180" t="s">
        <v>761</v>
      </c>
      <c r="D27" s="179" t="s">
        <v>114</v>
      </c>
      <c r="E27" s="179" t="s">
        <v>402</v>
      </c>
      <c r="F27" s="179" t="s">
        <v>89</v>
      </c>
      <c r="G27" s="198" t="s">
        <v>375</v>
      </c>
      <c r="H27" s="199">
        <v>8</v>
      </c>
      <c r="I27" s="183">
        <v>0</v>
      </c>
      <c r="J27" s="184">
        <v>88070951</v>
      </c>
      <c r="K27" s="185" t="s">
        <v>398</v>
      </c>
      <c r="L27" s="181" t="s">
        <v>155</v>
      </c>
      <c r="M27" s="186" t="s">
        <v>422</v>
      </c>
      <c r="N27" s="179" t="s">
        <v>330</v>
      </c>
      <c r="O27" s="187" t="s">
        <v>957</v>
      </c>
      <c r="P27" s="186" t="s">
        <v>161</v>
      </c>
      <c r="Q27" s="188" t="s">
        <v>795</v>
      </c>
      <c r="R27" s="186" t="s">
        <v>331</v>
      </c>
      <c r="S27" s="158" t="str">
        <f>MID(PAA[[#This Row],[Meta Proyecto de Inversión]],1,4)</f>
        <v>No a</v>
      </c>
      <c r="T27" s="158" t="str">
        <f>MID(PAA[[#This Row],[Meta Proyecto de Inversión]],6,1)</f>
        <v>l</v>
      </c>
      <c r="U27" s="189" t="str">
        <f>IFERROR(VLOOKUP(N27,TD!$B$50:$F$54,2,0)," ")</f>
        <v>NA</v>
      </c>
      <c r="V27" s="189" t="str">
        <f>IFERROR(VLOOKUP(N27,TD!$B$50:$F$54,3,0)," ")</f>
        <v>NA</v>
      </c>
      <c r="W27" s="189" t="str">
        <f>IFERROR(VLOOKUP(N27,TD!$B$50:$F$54,4,0)," ")</f>
        <v>NA</v>
      </c>
      <c r="X27" s="186" t="s">
        <v>335</v>
      </c>
      <c r="Y27" s="189" t="str">
        <f>IFERROR(VLOOKUP(X27,TD!$J$51:$K$64,2,0)," ")</f>
        <v>N/A</v>
      </c>
      <c r="Z27" s="160" t="str">
        <f>CONCATENATE(X27,"-",Y27)</f>
        <v>N/A-N/A</v>
      </c>
      <c r="AA27" s="186" t="s">
        <v>335</v>
      </c>
      <c r="AB27" s="189" t="str">
        <f>IFERROR(VLOOKUP(AA27,TD!$N$51:$O$66,2,0)," ")</f>
        <v>N/A</v>
      </c>
      <c r="AC27" s="160" t="str">
        <f>CONCATENATE(AA27,"_",AB27)</f>
        <v>N/A_N/A</v>
      </c>
      <c r="AD27" s="160" t="str">
        <f>CONCATENATE(Z27," ",AC27)</f>
        <v>N/A-N/A N/A_N/A</v>
      </c>
      <c r="AE27" s="189" t="str">
        <f>CONCATENATE(U27,V27,W27,X27,AA27)</f>
        <v>NANANAN/AN/A</v>
      </c>
      <c r="AF27" s="189" t="str">
        <f>IFERROR(VLOOKUP(AD27,TD!$J$66:$K$89,2,0)," ")</f>
        <v>N/A</v>
      </c>
      <c r="AG27" s="190" t="s">
        <v>332</v>
      </c>
      <c r="AH27" s="186" t="s">
        <v>193</v>
      </c>
      <c r="AI27" s="191" t="str">
        <f>CONCATENATE(PAA[[#This Row],[Id Interno]],"-",PAA[[#This Row],[tipo de Contrato (TH talento humano - B/S bienes y/o servicios)]],"-",S27,"-",T27,"-",PAA[[#This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28" spans="2:35" s="145" customFormat="1" ht="70" x14ac:dyDescent="0.35">
      <c r="B28" s="179">
        <v>20260523</v>
      </c>
      <c r="C28" s="180" t="s">
        <v>744</v>
      </c>
      <c r="D28" s="179" t="s">
        <v>114</v>
      </c>
      <c r="E28" s="179" t="s">
        <v>402</v>
      </c>
      <c r="F28" s="179" t="s">
        <v>89</v>
      </c>
      <c r="G28" s="198" t="s">
        <v>374</v>
      </c>
      <c r="H28" s="199">
        <v>10</v>
      </c>
      <c r="I28" s="183">
        <v>0</v>
      </c>
      <c r="J28" s="184">
        <v>755000000</v>
      </c>
      <c r="K28" s="185" t="s">
        <v>398</v>
      </c>
      <c r="L28" s="181" t="s">
        <v>155</v>
      </c>
      <c r="M28" s="186" t="s">
        <v>422</v>
      </c>
      <c r="N28" s="179" t="s">
        <v>330</v>
      </c>
      <c r="O28" s="187" t="s">
        <v>957</v>
      </c>
      <c r="P28" s="186" t="s">
        <v>161</v>
      </c>
      <c r="Q28" s="188" t="s">
        <v>779</v>
      </c>
      <c r="R28" s="186" t="s">
        <v>331</v>
      </c>
      <c r="S28" s="158" t="str">
        <f>MID(PAA[[#This Row],[Meta Proyecto de Inversión]],1,4)</f>
        <v>No a</v>
      </c>
      <c r="T28" s="158" t="str">
        <f>MID(PAA[[#This Row],[Meta Proyecto de Inversión]],6,1)</f>
        <v>l</v>
      </c>
      <c r="U28" s="189" t="str">
        <f>IFERROR(VLOOKUP(N28,TD!$B$50:$F$54,2,0)," ")</f>
        <v>NA</v>
      </c>
      <c r="V28" s="189" t="str">
        <f>IFERROR(VLOOKUP(N28,TD!$B$50:$F$54,3,0)," ")</f>
        <v>NA</v>
      </c>
      <c r="W28" s="189" t="str">
        <f>IFERROR(VLOOKUP(N28,TD!$B$50:$F$54,4,0)," ")</f>
        <v>NA</v>
      </c>
      <c r="X28" s="186" t="s">
        <v>335</v>
      </c>
      <c r="Y28" s="189" t="str">
        <f>IFERROR(VLOOKUP(X28,TD!$J$51:$K$64,2,0)," ")</f>
        <v>N/A</v>
      </c>
      <c r="Z28" s="160" t="str">
        <f>CONCATENATE(X28,"-",Y28)</f>
        <v>N/A-N/A</v>
      </c>
      <c r="AA28" s="186" t="s">
        <v>335</v>
      </c>
      <c r="AB28" s="189" t="str">
        <f>IFERROR(VLOOKUP(AA28,TD!$N$51:$O$66,2,0)," ")</f>
        <v>N/A</v>
      </c>
      <c r="AC28" s="160" t="str">
        <f>CONCATENATE(AA28,"_",AB28)</f>
        <v>N/A_N/A</v>
      </c>
      <c r="AD28" s="160" t="str">
        <f>CONCATENATE(Z28," ",AC28)</f>
        <v>N/A-N/A N/A_N/A</v>
      </c>
      <c r="AE28" s="189" t="str">
        <f>CONCATENATE(U28,V28,W28,X28,AA28)</f>
        <v>NANANAN/AN/A</v>
      </c>
      <c r="AF28" s="189" t="str">
        <f>IFERROR(VLOOKUP(AD28,TD!$J$66:$K$89,2,0)," ")</f>
        <v>N/A</v>
      </c>
      <c r="AG28" s="190" t="s">
        <v>332</v>
      </c>
      <c r="AH28" s="186" t="s">
        <v>193</v>
      </c>
      <c r="AI28" s="191" t="str">
        <f>CONCATENATE(PAA[[#This Row],[Id Interno]],"-",PAA[[#This Row],[tipo de Contrato (TH talento humano - B/S bienes y/o servicios)]],"-",S28,"-",T28,"-",PAA[[#This Row],[Objeto de la contratación]])</f>
        <v>20260523-BS-No a-l-Contratar la prestación del servicio de aseo y cafetería incluido insumos para la Unidad Administrativa Especial Cuerpo Oficial de Bomberos Bogotá -SGC</v>
      </c>
    </row>
    <row r="29" spans="2:35" s="145" customFormat="1" ht="70" x14ac:dyDescent="0.35">
      <c r="B29" s="179">
        <v>20260524</v>
      </c>
      <c r="C29" s="180" t="s">
        <v>744</v>
      </c>
      <c r="D29" s="179" t="s">
        <v>114</v>
      </c>
      <c r="E29" s="179" t="s">
        <v>402</v>
      </c>
      <c r="F29" s="179" t="s">
        <v>89</v>
      </c>
      <c r="G29" s="198" t="s">
        <v>374</v>
      </c>
      <c r="H29" s="199">
        <v>10</v>
      </c>
      <c r="I29" s="183">
        <v>0</v>
      </c>
      <c r="J29" s="184">
        <v>388000000</v>
      </c>
      <c r="K29" s="185" t="s">
        <v>398</v>
      </c>
      <c r="L29" s="181" t="s">
        <v>155</v>
      </c>
      <c r="M29" s="186" t="s">
        <v>422</v>
      </c>
      <c r="N29" s="179" t="s">
        <v>330</v>
      </c>
      <c r="O29" s="187" t="s">
        <v>957</v>
      </c>
      <c r="P29" s="186" t="s">
        <v>161</v>
      </c>
      <c r="Q29" s="188" t="s">
        <v>779</v>
      </c>
      <c r="R29" s="186" t="s">
        <v>331</v>
      </c>
      <c r="S29" s="158" t="str">
        <f>MID(PAA[[#This Row],[Meta Proyecto de Inversión]],1,4)</f>
        <v>No a</v>
      </c>
      <c r="T29" s="158" t="str">
        <f>MID(PAA[[#This Row],[Meta Proyecto de Inversión]],6,1)</f>
        <v>l</v>
      </c>
      <c r="U29" s="189" t="str">
        <f>IFERROR(VLOOKUP(N29,TD!$B$50:$F$54,2,0)," ")</f>
        <v>NA</v>
      </c>
      <c r="V29" s="189" t="str">
        <f>IFERROR(VLOOKUP(N29,TD!$B$50:$F$54,3,0)," ")</f>
        <v>NA</v>
      </c>
      <c r="W29" s="189" t="str">
        <f>IFERROR(VLOOKUP(N29,TD!$B$50:$F$54,4,0)," ")</f>
        <v>NA</v>
      </c>
      <c r="X29" s="186" t="s">
        <v>335</v>
      </c>
      <c r="Y29" s="189" t="str">
        <f>IFERROR(VLOOKUP(X29,TD!$J$51:$K$64,2,0)," ")</f>
        <v>N/A</v>
      </c>
      <c r="Z29" s="160" t="str">
        <f>CONCATENATE(X29,"-",Y29)</f>
        <v>N/A-N/A</v>
      </c>
      <c r="AA29" s="186" t="s">
        <v>335</v>
      </c>
      <c r="AB29" s="189" t="str">
        <f>IFERROR(VLOOKUP(AA29,TD!$N$51:$O$66,2,0)," ")</f>
        <v>N/A</v>
      </c>
      <c r="AC29" s="160" t="str">
        <f>CONCATENATE(AA29,"_",AB29)</f>
        <v>N/A_N/A</v>
      </c>
      <c r="AD29" s="160" t="str">
        <f>CONCATENATE(Z29," ",AC29)</f>
        <v>N/A-N/A N/A_N/A</v>
      </c>
      <c r="AE29" s="189" t="str">
        <f>CONCATENATE(U29,V29,W29,X29,AA29)</f>
        <v>NANANAN/AN/A</v>
      </c>
      <c r="AF29" s="189" t="str">
        <f>IFERROR(VLOOKUP(AD29,TD!$J$66:$K$89,2,0)," ")</f>
        <v>N/A</v>
      </c>
      <c r="AG29" s="190" t="s">
        <v>332</v>
      </c>
      <c r="AH29" s="186" t="s">
        <v>193</v>
      </c>
      <c r="AI29" s="191" t="str">
        <f>CONCATENATE(PAA[[#This Row],[Id Interno]],"-",PAA[[#This Row],[tipo de Contrato (TH talento humano - B/S bienes y/o servicios)]],"-",S29,"-",T29,"-",PAA[[#This Row],[Objeto de la contratación]])</f>
        <v>20260524-BS-No a-l-Contratar la prestación del servicio de aseo y cafetería incluido insumos para la Unidad Administrativa Especial Cuerpo Oficial de Bomberos Bogotá -SGC</v>
      </c>
    </row>
    <row r="30" spans="2:35" s="145" customFormat="1" ht="84" x14ac:dyDescent="0.35">
      <c r="B30" s="180">
        <v>20260528</v>
      </c>
      <c r="C30" s="180" t="s">
        <v>764</v>
      </c>
      <c r="D30" s="180" t="s">
        <v>92</v>
      </c>
      <c r="E30" s="180" t="s">
        <v>402</v>
      </c>
      <c r="F30" s="180" t="s">
        <v>111</v>
      </c>
      <c r="G30" s="198" t="s">
        <v>375</v>
      </c>
      <c r="H30" s="200">
        <v>7</v>
      </c>
      <c r="I30" s="192">
        <v>0</v>
      </c>
      <c r="J30" s="190">
        <v>48900000</v>
      </c>
      <c r="K30" s="193" t="s">
        <v>398</v>
      </c>
      <c r="L30" s="182" t="s">
        <v>155</v>
      </c>
      <c r="M30" s="194" t="s">
        <v>422</v>
      </c>
      <c r="N30" s="180" t="s">
        <v>330</v>
      </c>
      <c r="O30" s="187" t="s">
        <v>957</v>
      </c>
      <c r="P30" s="194" t="s">
        <v>161</v>
      </c>
      <c r="Q30" s="195" t="s">
        <v>782</v>
      </c>
      <c r="R30" s="194" t="s">
        <v>331</v>
      </c>
      <c r="S30" s="158" t="str">
        <f>MID(PAA[[#This Row],[Meta Proyecto de Inversión]],1,4)</f>
        <v>No a</v>
      </c>
      <c r="T30" s="158" t="str">
        <f>MID(PAA[[#This Row],[Meta Proyecto de Inversión]],6,1)</f>
        <v>l</v>
      </c>
      <c r="U30" s="196" t="str">
        <f>IFERROR(VLOOKUP(N30,TD!$B$50:$F$54,2,0)," ")</f>
        <v>NA</v>
      </c>
      <c r="V30" s="196" t="str">
        <f>IFERROR(VLOOKUP(N30,TD!$B$50:$F$54,3,0)," ")</f>
        <v>NA</v>
      </c>
      <c r="W30" s="196" t="str">
        <f>IFERROR(VLOOKUP(N30,TD!$B$50:$F$54,4,0)," ")</f>
        <v>NA</v>
      </c>
      <c r="X30" s="194" t="s">
        <v>335</v>
      </c>
      <c r="Y30" s="196" t="str">
        <f>IFERROR(VLOOKUP(X30,TD!$J$51:$K$64,2,0)," ")</f>
        <v>N/A</v>
      </c>
      <c r="Z30" s="160" t="str">
        <f>CONCATENATE(X30,"-",Y30)</f>
        <v>N/A-N/A</v>
      </c>
      <c r="AA30" s="194" t="s">
        <v>335</v>
      </c>
      <c r="AB30" s="196" t="str">
        <f>IFERROR(VLOOKUP(AA30,TD!$N$51:$O$66,2,0)," ")</f>
        <v>N/A</v>
      </c>
      <c r="AC30" s="160" t="str">
        <f>CONCATENATE(AA30,"_",AB30)</f>
        <v>N/A_N/A</v>
      </c>
      <c r="AD30" s="160" t="str">
        <f>CONCATENATE(Z30," ",AC30)</f>
        <v>N/A-N/A N/A_N/A</v>
      </c>
      <c r="AE30" s="196" t="str">
        <f>CONCATENATE(U30,V30,W30,X30,AA30)</f>
        <v>NANANAN/AN/A</v>
      </c>
      <c r="AF30" s="196" t="str">
        <f>IFERROR(VLOOKUP(AD30,TD!$J$66:$K$89,2,0)," ")</f>
        <v>N/A</v>
      </c>
      <c r="AG30" s="190" t="s">
        <v>332</v>
      </c>
      <c r="AH30" s="194" t="s">
        <v>193</v>
      </c>
      <c r="AI30" s="197" t="str">
        <f>CONCATENATE(PAA[[#This Row],[Id Interno]],"-",PAA[[#This Row],[tipo de Contrato (TH talento humano - B/S bienes y/o servicios)]],"-",S30,"-",T30,"-",PAA[[#This Row],[Objeto de la contratación]])</f>
        <v>20260528-BS-No a-l-Suministro de insumos para lavandería-SGC</v>
      </c>
    </row>
    <row r="31" spans="2:35" s="145" customFormat="1" ht="84" x14ac:dyDescent="0.35">
      <c r="B31" s="179">
        <v>20260532</v>
      </c>
      <c r="C31" s="180" t="s">
        <v>768</v>
      </c>
      <c r="D31" s="179" t="s">
        <v>105</v>
      </c>
      <c r="E31" s="179" t="s">
        <v>402</v>
      </c>
      <c r="F31" s="179" t="s">
        <v>136</v>
      </c>
      <c r="G31" s="198" t="s">
        <v>376</v>
      </c>
      <c r="H31" s="199">
        <v>2</v>
      </c>
      <c r="I31" s="183">
        <v>0</v>
      </c>
      <c r="J31" s="184">
        <v>9235000</v>
      </c>
      <c r="K31" s="185" t="s">
        <v>398</v>
      </c>
      <c r="L31" s="181" t="s">
        <v>155</v>
      </c>
      <c r="M31" s="186" t="s">
        <v>422</v>
      </c>
      <c r="N31" s="179" t="s">
        <v>330</v>
      </c>
      <c r="O31" s="187" t="s">
        <v>957</v>
      </c>
      <c r="P31" s="186" t="s">
        <v>161</v>
      </c>
      <c r="Q31" s="188" t="s">
        <v>799</v>
      </c>
      <c r="R31" s="186" t="s">
        <v>331</v>
      </c>
      <c r="S31" s="158" t="str">
        <f>MID(PAA[[#This Row],[Meta Proyecto de Inversión]],1,4)</f>
        <v>No a</v>
      </c>
      <c r="T31" s="158" t="str">
        <f>MID(PAA[[#This Row],[Meta Proyecto de Inversión]],6,1)</f>
        <v>l</v>
      </c>
      <c r="U31" s="189" t="str">
        <f>IFERROR(VLOOKUP(N31,TD!$B$50:$F$54,2,0)," ")</f>
        <v>NA</v>
      </c>
      <c r="V31" s="189" t="str">
        <f>IFERROR(VLOOKUP(N31,TD!$B$50:$F$54,3,0)," ")</f>
        <v>NA</v>
      </c>
      <c r="W31" s="189" t="str">
        <f>IFERROR(VLOOKUP(N31,TD!$B$50:$F$54,4,0)," ")</f>
        <v>NA</v>
      </c>
      <c r="X31" s="186" t="s">
        <v>335</v>
      </c>
      <c r="Y31" s="189" t="str">
        <f>IFERROR(VLOOKUP(X31,TD!$J$51:$K$64,2,0)," ")</f>
        <v>N/A</v>
      </c>
      <c r="Z31" s="160" t="str">
        <f>CONCATENATE(X31,"-",Y31)</f>
        <v>N/A-N/A</v>
      </c>
      <c r="AA31" s="186" t="s">
        <v>335</v>
      </c>
      <c r="AB31" s="189" t="str">
        <f>IFERROR(VLOOKUP(AA31,TD!$N$51:$O$66,2,0)," ")</f>
        <v>N/A</v>
      </c>
      <c r="AC31" s="160" t="str">
        <f>CONCATENATE(AA31,"_",AB31)</f>
        <v>N/A_N/A</v>
      </c>
      <c r="AD31" s="160" t="str">
        <f>CONCATENATE(Z31," ",AC31)</f>
        <v>N/A-N/A N/A_N/A</v>
      </c>
      <c r="AE31" s="189" t="str">
        <f>CONCATENATE(U31,V31,W31,X31,AA31)</f>
        <v>NANANAN/AN/A</v>
      </c>
      <c r="AF31" s="189" t="str">
        <f>IFERROR(VLOOKUP(AD31,TD!$J$66:$K$89,2,0)," ")</f>
        <v>N/A</v>
      </c>
      <c r="AG31" s="190" t="s">
        <v>332</v>
      </c>
      <c r="AH31" s="186" t="s">
        <v>194</v>
      </c>
      <c r="AI31" s="191" t="str">
        <f>CONCATENATE(PAA[[#This Row],[Id Interno]],"-",PAA[[#This Row],[tipo de Contrato (TH talento humano - B/S bienes y/o servicios)]],"-",S31,"-",T31,"-",PAA[[#This Row],[Objeto de la contratación]])</f>
        <v>20260532-BS-No a-l-Adición y prórroga No. 1 al contrato 586 de 2025 que tiene como objeto “Mantenimiento correctivo y preventivo con suministro de repuestos para los ascensores edificio comando-SGC</v>
      </c>
    </row>
    <row r="32" spans="2:35" s="145" customFormat="1" ht="84" x14ac:dyDescent="0.35">
      <c r="B32" s="179">
        <v>20260533</v>
      </c>
      <c r="C32" s="180" t="s">
        <v>769</v>
      </c>
      <c r="D32" s="179" t="s">
        <v>105</v>
      </c>
      <c r="E32" s="179" t="s">
        <v>402</v>
      </c>
      <c r="F32" s="179" t="s">
        <v>136</v>
      </c>
      <c r="G32" s="198" t="s">
        <v>380</v>
      </c>
      <c r="H32" s="199">
        <v>7</v>
      </c>
      <c r="I32" s="183">
        <v>0</v>
      </c>
      <c r="J32" s="184">
        <v>21565000</v>
      </c>
      <c r="K32" s="185" t="s">
        <v>398</v>
      </c>
      <c r="L32" s="181" t="s">
        <v>155</v>
      </c>
      <c r="M32" s="186" t="s">
        <v>422</v>
      </c>
      <c r="N32" s="179" t="s">
        <v>330</v>
      </c>
      <c r="O32" s="187" t="s">
        <v>957</v>
      </c>
      <c r="P32" s="186" t="s">
        <v>161</v>
      </c>
      <c r="Q32" s="188" t="s">
        <v>799</v>
      </c>
      <c r="R32" s="186" t="s">
        <v>331</v>
      </c>
      <c r="S32" s="158" t="str">
        <f>MID(PAA[[#This Row],[Meta Proyecto de Inversión]],1,4)</f>
        <v>No a</v>
      </c>
      <c r="T32" s="158" t="str">
        <f>MID(PAA[[#This Row],[Meta Proyecto de Inversión]],6,1)</f>
        <v>l</v>
      </c>
      <c r="U32" s="189" t="str">
        <f>IFERROR(VLOOKUP(N32,TD!$B$50:$F$54,2,0)," ")</f>
        <v>NA</v>
      </c>
      <c r="V32" s="189" t="str">
        <f>IFERROR(VLOOKUP(N32,TD!$B$50:$F$54,3,0)," ")</f>
        <v>NA</v>
      </c>
      <c r="W32" s="189" t="str">
        <f>IFERROR(VLOOKUP(N32,TD!$B$50:$F$54,4,0)," ")</f>
        <v>NA</v>
      </c>
      <c r="X32" s="186" t="s">
        <v>335</v>
      </c>
      <c r="Y32" s="189" t="str">
        <f>IFERROR(VLOOKUP(X32,TD!$J$51:$K$64,2,0)," ")</f>
        <v>N/A</v>
      </c>
      <c r="Z32" s="160" t="str">
        <f>CONCATENATE(X32,"-",Y32)</f>
        <v>N/A-N/A</v>
      </c>
      <c r="AA32" s="186" t="s">
        <v>335</v>
      </c>
      <c r="AB32" s="189" t="str">
        <f>IFERROR(VLOOKUP(AA32,TD!$N$51:$O$66,2,0)," ")</f>
        <v>N/A</v>
      </c>
      <c r="AC32" s="160" t="str">
        <f>CONCATENATE(AA32,"_",AB32)</f>
        <v>N/A_N/A</v>
      </c>
      <c r="AD32" s="160" t="str">
        <f>CONCATENATE(Z32," ",AC32)</f>
        <v>N/A-N/A N/A_N/A</v>
      </c>
      <c r="AE32" s="189" t="str">
        <f>CONCATENATE(U32,V32,W32,X32,AA32)</f>
        <v>NANANAN/AN/A</v>
      </c>
      <c r="AF32" s="189" t="str">
        <f>IFERROR(VLOOKUP(AD32,TD!$J$66:$K$89,2,0)," ")</f>
        <v>N/A</v>
      </c>
      <c r="AG32" s="190" t="s">
        <v>332</v>
      </c>
      <c r="AH32" s="186" t="s">
        <v>193</v>
      </c>
      <c r="AI32" s="191" t="str">
        <f>CONCATENATE(PAA[[#This Row],[Id Interno]],"-",PAA[[#This Row],[tipo de Contrato (TH talento humano - B/S bienes y/o servicios)]],"-",S32,"-",T32,"-",PAA[[#This Row],[Objeto de la contratación]])</f>
        <v>20260533-BS-No a-l-Mantenimiento correctivo y preventivo con suministro de repuestos para los ascensores edificio comando-SGC</v>
      </c>
    </row>
    <row r="33" spans="2:35" s="145" customFormat="1" ht="70" x14ac:dyDescent="0.35">
      <c r="B33" s="179">
        <v>20260537</v>
      </c>
      <c r="C33" s="180" t="s">
        <v>773</v>
      </c>
      <c r="D33" s="179" t="s">
        <v>78</v>
      </c>
      <c r="E33" s="179" t="s">
        <v>402</v>
      </c>
      <c r="F33" s="179" t="s">
        <v>133</v>
      </c>
      <c r="G33" s="198" t="s">
        <v>376</v>
      </c>
      <c r="H33" s="199">
        <v>12</v>
      </c>
      <c r="I33" s="183">
        <v>0</v>
      </c>
      <c r="J33" s="184">
        <v>6415727800</v>
      </c>
      <c r="K33" s="185" t="s">
        <v>398</v>
      </c>
      <c r="L33" s="181" t="s">
        <v>155</v>
      </c>
      <c r="M33" s="186" t="s">
        <v>422</v>
      </c>
      <c r="N33" s="179" t="s">
        <v>330</v>
      </c>
      <c r="O33" s="187" t="s">
        <v>957</v>
      </c>
      <c r="P33" s="186" t="s">
        <v>161</v>
      </c>
      <c r="Q33" s="188" t="s">
        <v>801</v>
      </c>
      <c r="R33" s="186" t="s">
        <v>331</v>
      </c>
      <c r="S33" s="158" t="str">
        <f>MID(PAA[[#This Row],[Meta Proyecto de Inversión]],1,4)</f>
        <v>No a</v>
      </c>
      <c r="T33" s="158" t="str">
        <f>MID(PAA[[#This Row],[Meta Proyecto de Inversión]],6,1)</f>
        <v>l</v>
      </c>
      <c r="U33" s="189" t="str">
        <f>IFERROR(VLOOKUP(N33,TD!$B$50:$F$54,2,0)," ")</f>
        <v>NA</v>
      </c>
      <c r="V33" s="189" t="str">
        <f>IFERROR(VLOOKUP(N33,TD!$B$50:$F$54,3,0)," ")</f>
        <v>NA</v>
      </c>
      <c r="W33" s="189" t="str">
        <f>IFERROR(VLOOKUP(N33,TD!$B$50:$F$54,4,0)," ")</f>
        <v>NA</v>
      </c>
      <c r="X33" s="186" t="s">
        <v>335</v>
      </c>
      <c r="Y33" s="189" t="str">
        <f>IFERROR(VLOOKUP(X33,TD!$J$51:$K$64,2,0)," ")</f>
        <v>N/A</v>
      </c>
      <c r="Z33" s="160" t="str">
        <f>CONCATENATE(X33,"-",Y33)</f>
        <v>N/A-N/A</v>
      </c>
      <c r="AA33" s="186" t="s">
        <v>335</v>
      </c>
      <c r="AB33" s="189" t="str">
        <f>IFERROR(VLOOKUP(AA33,TD!$N$51:$O$66,2,0)," ")</f>
        <v>N/A</v>
      </c>
      <c r="AC33" s="160" t="str">
        <f>CONCATENATE(AA33,"_",AB33)</f>
        <v>N/A_N/A</v>
      </c>
      <c r="AD33" s="160" t="str">
        <f>CONCATENATE(Z33," ",AC33)</f>
        <v>N/A-N/A N/A_N/A</v>
      </c>
      <c r="AE33" s="189" t="str">
        <f>CONCATENATE(U33,V33,W33,X33,AA33)</f>
        <v>NANANAN/AN/A</v>
      </c>
      <c r="AF33" s="189" t="str">
        <f>IFERROR(VLOOKUP(AD33,TD!$J$66:$K$89,2,0)," ")</f>
        <v>N/A</v>
      </c>
      <c r="AG33" s="190" t="s">
        <v>332</v>
      </c>
      <c r="AH33" s="186" t="s">
        <v>193</v>
      </c>
      <c r="AI33" s="191" t="str">
        <f>CONCATENATE(PAA[[#This Row],[Id Interno]],"-",PAA[[#This Row],[tipo de Contrato (TH talento humano - B/S bienes y/o servicios)]],"-",S33,"-",T33,"-",PAA[[#This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34" spans="2:35" s="145" customFormat="1" ht="56" x14ac:dyDescent="0.35">
      <c r="B34" s="180">
        <v>20260601</v>
      </c>
      <c r="C34" s="180" t="s">
        <v>959</v>
      </c>
      <c r="D34" s="180" t="s">
        <v>960</v>
      </c>
      <c r="E34" s="180" t="s">
        <v>402</v>
      </c>
      <c r="F34" s="180" t="s">
        <v>960</v>
      </c>
      <c r="G34" s="198" t="s">
        <v>373</v>
      </c>
      <c r="H34" s="200">
        <v>0</v>
      </c>
      <c r="I34" s="200">
        <v>0</v>
      </c>
      <c r="J34" s="190">
        <f>23000000</f>
        <v>23000000</v>
      </c>
      <c r="K34" s="193" t="s">
        <v>398</v>
      </c>
      <c r="L34" s="182" t="s">
        <v>155</v>
      </c>
      <c r="M34" s="194" t="s">
        <v>422</v>
      </c>
      <c r="N34" s="180" t="s">
        <v>197</v>
      </c>
      <c r="O34" s="187" t="s">
        <v>957</v>
      </c>
      <c r="P34" s="194" t="s">
        <v>348</v>
      </c>
      <c r="Q34" s="195" t="s">
        <v>961</v>
      </c>
      <c r="R34" s="194" t="s">
        <v>207</v>
      </c>
      <c r="S34" s="158" t="str">
        <f>MID(PAA[[#This Row],[Meta Proyecto de Inversión]],1,4)</f>
        <v>8126</v>
      </c>
      <c r="T34" s="158" t="str">
        <f>MID(PAA[[#This Row],[Meta Proyecto de Inversión]],6,1)</f>
        <v>8</v>
      </c>
      <c r="U34" s="196" t="str">
        <f>IFERROR(VLOOKUP(N34,TD!$B$50:$F$54,2,0)," ")</f>
        <v>O230117</v>
      </c>
      <c r="V34" s="196" t="str">
        <f>IFERROR(VLOOKUP(N34,TD!$B$50:$F$54,3,0)," ")</f>
        <v>4599</v>
      </c>
      <c r="W34" s="196">
        <f>IFERROR(VLOOKUP(N34,TD!$B$50:$F$54,4,0)," ")</f>
        <v>20240207</v>
      </c>
      <c r="X34" s="194" t="s">
        <v>174</v>
      </c>
      <c r="Y34" s="196" t="str">
        <f>IFERROR(VLOOKUP(X34,TD!$J$51:$K$64,2,0)," ")</f>
        <v>Infraestructura física, mantenimiento y dotación (Sedes construidas, mantenidas reforzadas)</v>
      </c>
      <c r="Z34" s="160" t="str">
        <f>CONCATENATE(X34,"-",Y34)</f>
        <v>08-Infraestructura física, mantenimiento y dotación (Sedes construidas, mantenidas reforzadas)</v>
      </c>
      <c r="AA34" s="194" t="s">
        <v>227</v>
      </c>
      <c r="AB34" s="196" t="str">
        <f>IFERROR(VLOOKUP(AA34,TD!$N$51:$O$66,2,0)," ")</f>
        <v>Sedes mantenidas</v>
      </c>
      <c r="AC34" s="160" t="str">
        <f>CONCATENATE(AA34,"_",AB34)</f>
        <v>016_Sedes mantenidas</v>
      </c>
      <c r="AD34" s="160" t="str">
        <f>CONCATENATE(Z34," ",AC34)</f>
        <v>08-Infraestructura física, mantenimiento y dotación (Sedes construidas, mantenidas reforzadas) 016_Sedes mantenidas</v>
      </c>
      <c r="AE34" s="196" t="str">
        <f>CONCATENATE(U34,V34,W34,X34,AA34)</f>
        <v>O23011745992024020708016</v>
      </c>
      <c r="AF34" s="196" t="str">
        <f>IFERROR(VLOOKUP(AD34,TD!$J$66:$K$89,2,0)," ")</f>
        <v>PM/0131/0108/45990160207</v>
      </c>
      <c r="AG34" s="190" t="s">
        <v>937</v>
      </c>
      <c r="AH34" s="194" t="s">
        <v>194</v>
      </c>
      <c r="AI34" s="204" t="str">
        <f>CONCATENATE(PAA[[#This Row],[Id Interno]],"-",PAA[[#This Row],[tipo de Contrato (TH talento humano - B/S bienes y/o servicios)]],"-",S34,"-",T34,"-",PAA[[#This Row],[Objeto de la contratación]])</f>
        <v>20260601-BS-8126-8-Adición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35" spans="2:35" s="145" customFormat="1" ht="84" x14ac:dyDescent="0.35">
      <c r="B35" s="180">
        <v>20260603</v>
      </c>
      <c r="C35" s="180" t="s">
        <v>964</v>
      </c>
      <c r="D35" s="180" t="s">
        <v>92</v>
      </c>
      <c r="E35" s="180" t="s">
        <v>402</v>
      </c>
      <c r="F35" s="180" t="s">
        <v>111</v>
      </c>
      <c r="G35" s="198" t="s">
        <v>377</v>
      </c>
      <c r="H35" s="200">
        <v>4</v>
      </c>
      <c r="I35" s="200">
        <v>0</v>
      </c>
      <c r="J35" s="190">
        <v>30000000</v>
      </c>
      <c r="K35" s="193" t="s">
        <v>398</v>
      </c>
      <c r="L35" s="182" t="s">
        <v>155</v>
      </c>
      <c r="M35" s="194" t="s">
        <v>422</v>
      </c>
      <c r="N35" s="180" t="s">
        <v>198</v>
      </c>
      <c r="O35" s="194" t="s">
        <v>958</v>
      </c>
      <c r="P35" s="194" t="s">
        <v>348</v>
      </c>
      <c r="Q35" s="195" t="s">
        <v>782</v>
      </c>
      <c r="R35" s="194" t="s">
        <v>351</v>
      </c>
      <c r="S35" s="158" t="str">
        <f>MID(PAA[[#This Row],[Meta Proyecto de Inversión]],1,4)</f>
        <v>8173</v>
      </c>
      <c r="T35" s="158" t="str">
        <f>MID(PAA[[#This Row],[Meta Proyecto de Inversión]],6,1)</f>
        <v>1</v>
      </c>
      <c r="U35" s="196" t="str">
        <f>IFERROR(VLOOKUP(N35,TD!$B$50:$F$54,2,0)," ")</f>
        <v>O230117</v>
      </c>
      <c r="V35" s="196" t="str">
        <f>IFERROR(VLOOKUP(N35,TD!$B$50:$F$54,3,0)," ")</f>
        <v>4503</v>
      </c>
      <c r="W35" s="196">
        <f>IFERROR(VLOOKUP(N35,TD!$B$50:$F$54,4,0)," ")</f>
        <v>20240255</v>
      </c>
      <c r="X35" s="194">
        <v>14</v>
      </c>
      <c r="Y35" s="196" t="str">
        <f>IFERROR(VLOOKUP(X35,TD!$J$51:$K$64,2,0)," ")</f>
        <v xml:space="preserve">Infraestructura física misional construida mantenida y dotada </v>
      </c>
      <c r="Z35" s="160" t="str">
        <f>CONCATENATE(X35,"-",Y35)</f>
        <v xml:space="preserve">14-Infraestructura física misional construida mantenida y dotada </v>
      </c>
      <c r="AA35" s="194" t="s">
        <v>225</v>
      </c>
      <c r="AB35" s="196" t="str">
        <f>IFERROR(VLOOKUP(AA35,TD!$N$51:$O$66,2,0)," ")</f>
        <v>Estaciones de bomberos adecuadas</v>
      </c>
      <c r="AC35" s="160" t="str">
        <f>CONCATENATE(AA35,"_",AB35)</f>
        <v>014_Estaciones de bomberos adecuadas</v>
      </c>
      <c r="AD35" s="160" t="str">
        <f>CONCATENATE(Z35," ",AC35)</f>
        <v>14-Infraestructura física misional construida mantenida y dotada  014_Estaciones de bomberos adecuadas</v>
      </c>
      <c r="AE35" s="196" t="str">
        <f>CONCATENATE(U35,V35,W35,X35,AA35)</f>
        <v>O23011745032024025514014</v>
      </c>
      <c r="AF35" s="196" t="str">
        <f>IFERROR(VLOOKUP(AD35,TD!$J$66:$K$89,2,0)," ")</f>
        <v>PM/0131/0114/45030140255</v>
      </c>
      <c r="AG35" s="190" t="s">
        <v>355</v>
      </c>
      <c r="AH35" s="194" t="s">
        <v>193</v>
      </c>
      <c r="AI35" s="204" t="str">
        <f>CONCATENATE(PAA[[#This Row],[Id Interno]],"-",PAA[[#This Row],[tipo de Contrato (TH talento humano - B/S bienes y/o servicios)]],"-",S35,"-",T35,"-",PAA[[#This Row],[Objeto de la contratación]])</f>
        <v>20260603-BS-8173-1-Suministro de banderas y accesorios para las sedes UAECOB-SGC</v>
      </c>
    </row>
    <row r="36" spans="2:35" s="145" customFormat="1" ht="56" x14ac:dyDescent="0.35">
      <c r="B36" s="179">
        <v>20260618</v>
      </c>
      <c r="C36" s="180" t="s">
        <v>986</v>
      </c>
      <c r="D36" s="179" t="s">
        <v>114</v>
      </c>
      <c r="E36" s="179" t="s">
        <v>402</v>
      </c>
      <c r="F36" s="179" t="s">
        <v>79</v>
      </c>
      <c r="G36" s="198" t="s">
        <v>374</v>
      </c>
      <c r="H36" s="199">
        <v>4</v>
      </c>
      <c r="I36" s="199">
        <v>0</v>
      </c>
      <c r="J36" s="184">
        <f>1200000000-931000000</f>
        <v>269000000</v>
      </c>
      <c r="K36" s="185" t="s">
        <v>397</v>
      </c>
      <c r="L36" s="181" t="s">
        <v>158</v>
      </c>
      <c r="M36" s="186" t="s">
        <v>421</v>
      </c>
      <c r="N36" s="179" t="s">
        <v>198</v>
      </c>
      <c r="O36" s="194" t="s">
        <v>958</v>
      </c>
      <c r="P36" s="186" t="s">
        <v>348</v>
      </c>
      <c r="Q36" s="188">
        <v>80111600</v>
      </c>
      <c r="R36" s="186" t="s">
        <v>212</v>
      </c>
      <c r="S36" s="201" t="str">
        <f>MID(PAA[[#This Row],[Meta Proyecto de Inversión]],1,4)</f>
        <v>8173</v>
      </c>
      <c r="T36" s="201" t="str">
        <f>MID(PAA[[#This Row],[Meta Proyecto de Inversión]],6,1)</f>
        <v>3</v>
      </c>
      <c r="U36" s="189" t="str">
        <f>IFERROR(VLOOKUP(N36,TD!$B$50:$F$54,2,0)," ")</f>
        <v>O230117</v>
      </c>
      <c r="V36" s="189" t="str">
        <f>IFERROR(VLOOKUP(N36,TD!$B$50:$F$54,3,0)," ")</f>
        <v>4503</v>
      </c>
      <c r="W36" s="189">
        <f>IFERROR(VLOOKUP(N36,TD!$B$50:$F$54,4,0)," ")</f>
        <v>20240255</v>
      </c>
      <c r="X36" s="194" t="s">
        <v>178</v>
      </c>
      <c r="Y36" s="196" t="str">
        <f>IFERROR(VLOOKUP(X36,TD!$J$51:$K$64,2,0)," ")</f>
        <v>Servicio de dotación y equipamento para el personal operativo</v>
      </c>
      <c r="Z36" s="202" t="str">
        <f>CONCATENATE(X36,"-",Y36)</f>
        <v>10-Servicio de dotación y equipamento para el personal operativo</v>
      </c>
      <c r="AA36" s="194" t="s">
        <v>221</v>
      </c>
      <c r="AB36" s="196" t="str">
        <f>IFERROR(VLOOKUP(AA36,TD!$N$51:$O$66,2,0)," ")</f>
        <v>Servicio de atención a emergencias y desastres</v>
      </c>
      <c r="AC36" s="202" t="str">
        <f>CONCATENATE(AA36,"_",AB36)</f>
        <v>004_Servicio de atención a emergencias y desastres</v>
      </c>
      <c r="AD36" s="202" t="str">
        <f>CONCATENATE(Z36," ",AC36)</f>
        <v>10-Servicio de dotación y equipamento para el personal operativo 004_Servicio de atención a emergencias y desastres</v>
      </c>
      <c r="AE36" s="189" t="str">
        <f>CONCATENATE(U36,V36,W36,X36,AA36)</f>
        <v>O23011745032024025510004</v>
      </c>
      <c r="AF36" s="189" t="str">
        <f>IFERROR(VLOOKUP(AD36,TD!$J$66:$K$89,2,0)," ")</f>
        <v>PM/0131/0110/45030040255</v>
      </c>
      <c r="AG36" s="190" t="s">
        <v>80</v>
      </c>
      <c r="AH36" s="186" t="s">
        <v>193</v>
      </c>
      <c r="AI36" s="204" t="str">
        <f>CONCATENATE(PAA[[#This Row],[Id Interno]],"-",PAA[[#This Row],[tipo de Contrato (TH talento humano - B/S bienes y/o servicios)]],"-",S36,"-",T36,"-",PAA[[#This Row],[Objeto de la contratación]])</f>
        <v>20260618-BS-8173-3-Adquisición de vehiculos operativos para la atención de emergencias para la UAE Cuerpo Oficial de Bomberos de Bogotá, S.O.</v>
      </c>
    </row>
    <row r="37" spans="2:35" s="145" customFormat="1" ht="84" x14ac:dyDescent="0.35">
      <c r="B37" s="179">
        <v>20260622</v>
      </c>
      <c r="C37" s="180" t="s">
        <v>1012</v>
      </c>
      <c r="D37" s="179" t="s">
        <v>114</v>
      </c>
      <c r="E37" s="179" t="s">
        <v>402</v>
      </c>
      <c r="F37" s="179" t="s">
        <v>111</v>
      </c>
      <c r="G37" s="198" t="s">
        <v>375</v>
      </c>
      <c r="H37" s="199">
        <v>10</v>
      </c>
      <c r="I37" s="199">
        <v>0</v>
      </c>
      <c r="J37" s="184">
        <v>800000000</v>
      </c>
      <c r="K37" s="185" t="s">
        <v>398</v>
      </c>
      <c r="L37" s="181" t="s">
        <v>157</v>
      </c>
      <c r="M37" s="186" t="s">
        <v>512</v>
      </c>
      <c r="N37" s="179" t="s">
        <v>198</v>
      </c>
      <c r="O37" s="186" t="s">
        <v>958</v>
      </c>
      <c r="P37" s="186" t="s">
        <v>348</v>
      </c>
      <c r="Q37" s="188">
        <v>15101500</v>
      </c>
      <c r="R37" s="186" t="s">
        <v>213</v>
      </c>
      <c r="S37" s="158" t="str">
        <f>MID(PAA[[#This Row],[Meta Proyecto de Inversión]],1,4)</f>
        <v>8173</v>
      </c>
      <c r="T37" s="158" t="str">
        <f>MID(PAA[[#This Row],[Meta Proyecto de Inversión]],6,1)</f>
        <v>4</v>
      </c>
      <c r="U37" s="189" t="str">
        <f>IFERROR(VLOOKUP(N37,TD!$B$50:$F$54,2,0)," ")</f>
        <v>O230117</v>
      </c>
      <c r="V37" s="189" t="str">
        <f>IFERROR(VLOOKUP(N37,TD!$B$50:$F$54,3,0)," ")</f>
        <v>4503</v>
      </c>
      <c r="W37" s="189">
        <f>IFERROR(VLOOKUP(N37,TD!$B$50:$F$54,4,0)," ")</f>
        <v>20240255</v>
      </c>
      <c r="X37" s="186" t="s">
        <v>180</v>
      </c>
      <c r="Y37" s="189" t="str">
        <f>IFERROR(VLOOKUP(X37,TD!$J$51:$K$64,2,0)," ")</f>
        <v>Servicio de apoyo   logístico  en eventos operativos y/o emergencias.</v>
      </c>
      <c r="Z37" s="160" t="str">
        <f>CONCATENATE(X37,"-",Y37)</f>
        <v>12-Servicio de apoyo   logístico  en eventos operativos y/o emergencias.</v>
      </c>
      <c r="AA37" s="186" t="s">
        <v>221</v>
      </c>
      <c r="AB37" s="189" t="str">
        <f>IFERROR(VLOOKUP(AA37,TD!$N$51:$O$66,2,0)," ")</f>
        <v>Servicio de atención a emergencias y desastres</v>
      </c>
      <c r="AC37" s="160" t="str">
        <f>CONCATENATE(AA37,"_",AB37)</f>
        <v>004_Servicio de atención a emergencias y desastres</v>
      </c>
      <c r="AD37" s="160" t="str">
        <f>CONCATENATE(Z37," ",AC37)</f>
        <v>12-Servicio de apoyo   logístico  en eventos operativos y/o emergencias. 004_Servicio de atención a emergencias y desastres</v>
      </c>
      <c r="AE37" s="189" t="str">
        <f>CONCATENATE(U37,V37,W37,X37,AA37)</f>
        <v>O23011745032024025512004</v>
      </c>
      <c r="AF37" s="189" t="str">
        <f>IFERROR(VLOOKUP(AD37,TD!$J$66:$K$89,2,0)," ")</f>
        <v>PM/0131/0112/45030040255</v>
      </c>
      <c r="AG37" s="190" t="s">
        <v>85</v>
      </c>
      <c r="AH37" s="186" t="s">
        <v>193</v>
      </c>
      <c r="AI37" s="204" t="str">
        <f>CONCATENATE(PAA[[#This Row],[Id Interno]],"-",PAA[[#This Row],[tipo de Contrato (TH talento humano - B/S bienes y/o servicios)]],"-",S37,"-",T37,"-",PAA[[#This Row],[Objeto de la contratación]])</f>
        <v>20260622-BS-8173-4-Suministrar combustible para el parque automotor y los equipos especializados de la U.A.E. Cuerpo Oficial de Bomberos Bogotá, dentro y fuera del perímetro del Distrito Capital – SBLG.</v>
      </c>
    </row>
    <row r="38" spans="2:35" s="145" customFormat="1" ht="84" x14ac:dyDescent="0.35">
      <c r="B38" s="179">
        <v>20260635</v>
      </c>
      <c r="C38" s="180" t="s">
        <v>1005</v>
      </c>
      <c r="D38" s="179" t="s">
        <v>78</v>
      </c>
      <c r="E38" s="179" t="s">
        <v>402</v>
      </c>
      <c r="F38" s="179" t="s">
        <v>89</v>
      </c>
      <c r="G38" s="198" t="s">
        <v>377</v>
      </c>
      <c r="H38" s="199">
        <v>0</v>
      </c>
      <c r="I38" s="199">
        <v>0</v>
      </c>
      <c r="J38" s="184">
        <v>497000000</v>
      </c>
      <c r="K38" s="185" t="s">
        <v>398</v>
      </c>
      <c r="L38" s="181" t="s">
        <v>155</v>
      </c>
      <c r="M38" s="186" t="s">
        <v>422</v>
      </c>
      <c r="N38" s="179" t="s">
        <v>197</v>
      </c>
      <c r="O38" s="186" t="s">
        <v>957</v>
      </c>
      <c r="P38" s="186" t="s">
        <v>348</v>
      </c>
      <c r="Q38" s="188" t="s">
        <v>775</v>
      </c>
      <c r="R38" s="186" t="s">
        <v>207</v>
      </c>
      <c r="S38" s="158" t="str">
        <f>MID(PAA[[#This Row],[Meta Proyecto de Inversión]],1,4)</f>
        <v>8126</v>
      </c>
      <c r="T38" s="158" t="str">
        <f>MID(PAA[[#This Row],[Meta Proyecto de Inversión]],6,1)</f>
        <v>8</v>
      </c>
      <c r="U38" s="189" t="str">
        <f>IFERROR(VLOOKUP(N38,TD!$B$50:$F$54,2,0)," ")</f>
        <v>O230117</v>
      </c>
      <c r="V38" s="189" t="str">
        <f>IFERROR(VLOOKUP(N38,TD!$B$50:$F$54,3,0)," ")</f>
        <v>4599</v>
      </c>
      <c r="W38" s="189">
        <f>IFERROR(VLOOKUP(N38,TD!$B$50:$F$54,4,0)," ")</f>
        <v>20240207</v>
      </c>
      <c r="X38" s="186" t="s">
        <v>174</v>
      </c>
      <c r="Y38" s="189" t="str">
        <f>IFERROR(VLOOKUP(X38,TD!$J$51:$K$64,2,0)," ")</f>
        <v>Infraestructura física, mantenimiento y dotación (Sedes construidas, mantenidas reforzadas)</v>
      </c>
      <c r="Z38" s="160" t="str">
        <f>CONCATENATE(X38,"-",Y38)</f>
        <v>08-Infraestructura física, mantenimiento y dotación (Sedes construidas, mantenidas reforzadas)</v>
      </c>
      <c r="AA38" s="186" t="s">
        <v>227</v>
      </c>
      <c r="AB38" s="189" t="str">
        <f>IFERROR(VLOOKUP(AA38,TD!$N$51:$O$66,2,0)," ")</f>
        <v>Sedes mantenidas</v>
      </c>
      <c r="AC38" s="160" t="str">
        <f>CONCATENATE(AA38,"_",AB38)</f>
        <v>016_Sedes mantenidas</v>
      </c>
      <c r="AD38" s="160" t="str">
        <f>CONCATENATE(Z38," ",AC38)</f>
        <v>08-Infraestructura física, mantenimiento y dotación (Sedes construidas, mantenidas reforzadas) 016_Sedes mantenidas</v>
      </c>
      <c r="AE38" s="189" t="str">
        <f>CONCATENATE(U38,V38,W38,X38,AA38)</f>
        <v>O23011745992024020708016</v>
      </c>
      <c r="AF38" s="189" t="str">
        <f>IFERROR(VLOOKUP(AD38,TD!$J$66:$K$89,2,0)," ")</f>
        <v>PM/0131/0108/45990160207</v>
      </c>
      <c r="AG38" s="190" t="s">
        <v>132</v>
      </c>
      <c r="AH38" s="186" t="s">
        <v>194</v>
      </c>
      <c r="AI38" s="204" t="str">
        <f>CONCATENATE(PAA[[#This Row],[Id Interno]],"-",PAA[[#This Row],[tipo de Contrato (TH talento humano - B/S bienes y/o servicios)]],"-",S38,"-",T38,"-",PAA[[#This Row],[Objeto de la contratación]])</f>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v>
      </c>
    </row>
    <row r="39" spans="2:35" s="145" customFormat="1" ht="70" x14ac:dyDescent="0.35">
      <c r="B39" s="179">
        <v>20260655</v>
      </c>
      <c r="C39" s="180" t="s">
        <v>831</v>
      </c>
      <c r="D39" s="179" t="s">
        <v>83</v>
      </c>
      <c r="E39" s="179" t="s">
        <v>402</v>
      </c>
      <c r="F39" s="179" t="s">
        <v>124</v>
      </c>
      <c r="G39" s="198" t="s">
        <v>375</v>
      </c>
      <c r="H39" s="199">
        <v>3</v>
      </c>
      <c r="I39" s="199">
        <v>0</v>
      </c>
      <c r="J39" s="184">
        <v>400000000</v>
      </c>
      <c r="K39" s="185" t="s">
        <v>398</v>
      </c>
      <c r="L39" s="181" t="s">
        <v>156</v>
      </c>
      <c r="M39" s="186" t="s">
        <v>513</v>
      </c>
      <c r="N39" s="179" t="s">
        <v>198</v>
      </c>
      <c r="O39" s="186" t="s">
        <v>958</v>
      </c>
      <c r="P39" s="186" t="s">
        <v>348</v>
      </c>
      <c r="Q39" s="188" t="s">
        <v>1015</v>
      </c>
      <c r="R39" s="186" t="s">
        <v>210</v>
      </c>
      <c r="S39" s="186" t="str">
        <f>MID(PAA[[#This Row],[Meta Proyecto de Inversión]],1,4)</f>
        <v>8173</v>
      </c>
      <c r="T39" s="186" t="str">
        <f>MID(PAA[[#This Row],[Meta Proyecto de Inversión]],6,1)</f>
        <v>1</v>
      </c>
      <c r="U39" s="189" t="str">
        <f>IFERROR(VLOOKUP(N39,TD!$B$50:$F$54,2,0)," ")</f>
        <v>O230117</v>
      </c>
      <c r="V39" s="189" t="str">
        <f>IFERROR(VLOOKUP(N39,TD!$B$50:$F$54,3,0)," ")</f>
        <v>4503</v>
      </c>
      <c r="W39" s="189">
        <f>IFERROR(VLOOKUP(N39,TD!$B$50:$F$54,4,0)," ")</f>
        <v>20240255</v>
      </c>
      <c r="X39" s="186" t="s">
        <v>166</v>
      </c>
      <c r="Y39" s="189" t="str">
        <f>IFERROR(VLOOKUP(X39,TD!$J$51:$K$64,2,0)," ")</f>
        <v>Servicio de capacitaciones en gestión del riesgo de incendios  a la ciudadania.</v>
      </c>
      <c r="Z39" s="232" t="str">
        <f>CONCATENATE(X39,"-",Y39)</f>
        <v>05-Servicio de capacitaciones en gestión del riesgo de incendios  a la ciudadania.</v>
      </c>
      <c r="AA39" s="186" t="s">
        <v>223</v>
      </c>
      <c r="AB39" s="189" t="str">
        <f>IFERROR(VLOOKUP(AA39,TD!$N$51:$O$66,2,0)," ")</f>
        <v>Servicio prevención y control de incendios</v>
      </c>
      <c r="AC39" s="232" t="str">
        <f>CONCATENATE(AA39,"_",AB39)</f>
        <v>035_Servicio prevención y control de incendios</v>
      </c>
      <c r="AD39" s="232" t="str">
        <f>CONCATENATE(Z39," ",AC39)</f>
        <v>05-Servicio de capacitaciones en gestión del riesgo de incendios  a la ciudadania. 035_Servicio prevención y control de incendios</v>
      </c>
      <c r="AE39" s="189" t="str">
        <f>CONCATENATE(U39,V39,W39,X39,AA39)</f>
        <v>O23011745032024025505035</v>
      </c>
      <c r="AF39" s="189" t="str">
        <f>IFERROR(VLOOKUP(AD39,TD!$J$66:$K$89,2,0)," ")</f>
        <v>PM/0131/0105/45030350255</v>
      </c>
      <c r="AG39" s="190" t="s">
        <v>931</v>
      </c>
      <c r="AH39" s="186" t="s">
        <v>193</v>
      </c>
      <c r="AI39" s="204" t="str">
        <f>CONCATENATE(PAA[[#This Row],[Id Interno]],"-",PAA[[#This Row],[tipo de Contrato (TH talento humano - B/S bienes y/o servicios)]],"-",S39,"-",T39,"-",PAA[[#This Row],[Objeto de la contratación]])</f>
        <v>20260655-BS-8173-1-Prestación de servicios como operador logístico, relacionados con la organización, administración y ejecución de las diferentes temáticas que fortalezcan la misionalidad de la entidad a través de la protección de la vida, el medio ambiente y el patrimonio</v>
      </c>
    </row>
    <row r="40" spans="2:35" s="145" customFormat="1" ht="84" x14ac:dyDescent="0.35">
      <c r="B40" s="179">
        <v>20260656</v>
      </c>
      <c r="C40" s="180" t="s">
        <v>1016</v>
      </c>
      <c r="D40" s="179" t="s">
        <v>114</v>
      </c>
      <c r="E40" s="179" t="s">
        <v>402</v>
      </c>
      <c r="F40" s="179" t="s">
        <v>89</v>
      </c>
      <c r="G40" s="198" t="s">
        <v>374</v>
      </c>
      <c r="H40" s="199">
        <v>3</v>
      </c>
      <c r="I40" s="199">
        <v>20</v>
      </c>
      <c r="J40" s="184">
        <v>52231036</v>
      </c>
      <c r="K40" s="185" t="s">
        <v>398</v>
      </c>
      <c r="L40" s="181" t="s">
        <v>155</v>
      </c>
      <c r="M40" s="186" t="s">
        <v>422</v>
      </c>
      <c r="N40" s="179" t="s">
        <v>330</v>
      </c>
      <c r="O40" s="186" t="s">
        <v>957</v>
      </c>
      <c r="P40" s="186" t="s">
        <v>161</v>
      </c>
      <c r="Q40" s="188" t="s">
        <v>795</v>
      </c>
      <c r="R40" s="186" t="s">
        <v>331</v>
      </c>
      <c r="S40" s="201" t="s">
        <v>1017</v>
      </c>
      <c r="T40" s="201" t="str">
        <f>MID(PAA[[#This Row],[Meta Proyecto de Inversión]],6,1)</f>
        <v>l</v>
      </c>
      <c r="U40" s="189" t="str">
        <f>IFERROR(VLOOKUP(N40,TD!$B$50:$F$54,2,0)," ")</f>
        <v>NA</v>
      </c>
      <c r="V40" s="189" t="str">
        <f>IFERROR(VLOOKUP(N40,TD!$B$50:$F$54,3,0)," ")</f>
        <v>NA</v>
      </c>
      <c r="W40" s="189" t="str">
        <f>IFERROR(VLOOKUP(N40,TD!$B$50:$F$54,4,0)," ")</f>
        <v>NA</v>
      </c>
      <c r="X40" s="186" t="s">
        <v>335</v>
      </c>
      <c r="Y40" s="189" t="str">
        <f>IFERROR(VLOOKUP(X40,TD!$J$51:$K$64,2,0)," ")</f>
        <v>N/A</v>
      </c>
      <c r="Z40" s="202" t="str">
        <f>CONCATENATE(X40,"-",Y40)</f>
        <v>N/A-N/A</v>
      </c>
      <c r="AA40" s="186" t="s">
        <v>335</v>
      </c>
      <c r="AB40" s="189" t="str">
        <f>IFERROR(VLOOKUP(AA40,TD!$N$51:$O$66,2,0)," ")</f>
        <v>N/A</v>
      </c>
      <c r="AC40" s="202" t="str">
        <f>CONCATENATE(AA40,"_",AB40)</f>
        <v>N/A_N/A</v>
      </c>
      <c r="AD40" s="202" t="str">
        <f>CONCATENATE(Z40," ",AC40)</f>
        <v>N/A-N/A N/A_N/A</v>
      </c>
      <c r="AE40" s="189" t="str">
        <f>CONCATENATE(U40,V40,W40,X40,AA40)</f>
        <v>NANANAN/AN/A</v>
      </c>
      <c r="AF40" s="189" t="str">
        <f>IFERROR(VLOOKUP(AD40,TD!$J$66:$K$89,2,0)," ")</f>
        <v>N/A</v>
      </c>
      <c r="AG40" s="190" t="s">
        <v>332</v>
      </c>
      <c r="AH40" s="186" t="s">
        <v>194</v>
      </c>
      <c r="AI40" s="204" t="str">
        <f>CONCATENATE(PAA[[#This Row],[Id Interno]],"-",PAA[[#This Row],[tipo de Contrato (TH talento humano - B/S bienes y/o servicios)]],"-",S40,"-",T40,"-",PAA[[#This Row],[Objeto de la contratación]])</f>
        <v>20260656-BS-No a-l-Adición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41" spans="2:35" s="145" customFormat="1" ht="84" x14ac:dyDescent="0.35">
      <c r="B41" s="179">
        <v>20260657</v>
      </c>
      <c r="C41" s="180" t="s">
        <v>750</v>
      </c>
      <c r="D41" s="179" t="s">
        <v>114</v>
      </c>
      <c r="E41" s="179" t="s">
        <v>402</v>
      </c>
      <c r="F41" s="179" t="s">
        <v>111</v>
      </c>
      <c r="G41" s="198" t="s">
        <v>376</v>
      </c>
      <c r="H41" s="199">
        <v>10</v>
      </c>
      <c r="I41" s="199">
        <v>0</v>
      </c>
      <c r="J41" s="184">
        <v>431001000</v>
      </c>
      <c r="K41" s="185" t="s">
        <v>398</v>
      </c>
      <c r="L41" s="181" t="s">
        <v>155</v>
      </c>
      <c r="M41" s="186" t="s">
        <v>422</v>
      </c>
      <c r="N41" s="179" t="s">
        <v>198</v>
      </c>
      <c r="O41" s="186" t="s">
        <v>958</v>
      </c>
      <c r="P41" s="186" t="s">
        <v>348</v>
      </c>
      <c r="Q41" s="188" t="s">
        <v>789</v>
      </c>
      <c r="R41" s="186" t="s">
        <v>351</v>
      </c>
      <c r="S41" s="201" t="str">
        <f>MID(PAA[[#This Row],[Meta Proyecto de Inversión]],1,4)</f>
        <v>8173</v>
      </c>
      <c r="T41" s="201" t="str">
        <f>MID(PAA[[#This Row],[Meta Proyecto de Inversión]],6,1)</f>
        <v>1</v>
      </c>
      <c r="U41" s="189" t="str">
        <f>IFERROR(VLOOKUP(N41,TD!$B$50:$F$54,2,0)," ")</f>
        <v>O230117</v>
      </c>
      <c r="V41" s="189" t="str">
        <f>IFERROR(VLOOKUP(N41,TD!$B$50:$F$54,3,0)," ")</f>
        <v>4503</v>
      </c>
      <c r="W41" s="189">
        <f>IFERROR(VLOOKUP(N41,TD!$B$50:$F$54,4,0)," ")</f>
        <v>20240255</v>
      </c>
      <c r="X41" s="186">
        <v>14</v>
      </c>
      <c r="Y41" s="189" t="str">
        <f>IFERROR(VLOOKUP(X41,TD!$J$51:$K$64,2,0)," ")</f>
        <v xml:space="preserve">Infraestructura física misional construida mantenida y dotada </v>
      </c>
      <c r="Z41" s="202" t="str">
        <f>CONCATENATE(X41,"-",Y41)</f>
        <v xml:space="preserve">14-Infraestructura física misional construida mantenida y dotada </v>
      </c>
      <c r="AA41" s="186" t="s">
        <v>225</v>
      </c>
      <c r="AB41" s="189" t="str">
        <f>IFERROR(VLOOKUP(AA41,TD!$N$51:$O$66,2,0)," ")</f>
        <v>Estaciones de bomberos adecuadas</v>
      </c>
      <c r="AC41" s="202" t="str">
        <f>CONCATENATE(AA41,"_",AB41)</f>
        <v>014_Estaciones de bomberos adecuadas</v>
      </c>
      <c r="AD41" s="202" t="str">
        <f>CONCATENATE(Z41," ",AC41)</f>
        <v>14-Infraestructura física misional construida mantenida y dotada  014_Estaciones de bomberos adecuadas</v>
      </c>
      <c r="AE41" s="189" t="str">
        <f>CONCATENATE(U41,V41,W41,X41,AA41)</f>
        <v>O23011745032024025514014</v>
      </c>
      <c r="AF41" s="189" t="str">
        <f>IFERROR(VLOOKUP(AD41,TD!$J$66:$K$89,2,0)," ")</f>
        <v>PM/0131/0114/45030140255</v>
      </c>
      <c r="AG41" s="190" t="s">
        <v>935</v>
      </c>
      <c r="AH41" s="186" t="s">
        <v>193</v>
      </c>
      <c r="AI41" s="204" t="str">
        <f>CONCATENATE(PAA[[#This Row],[Id Interno]],"-",PAA[[#This Row],[tipo de Contrato (TH talento humano - B/S bienes y/o servicios)]],"-",S41,"-",T41,"-",PAA[[#This Row],[Objeto de la contratación]])</f>
        <v>20260657-BS-8173-1-Suministro de materiales, equipos y herramientas para el mejoramiento integral de las instalaciones para la Unidad Administrativa Especial Cuerpo Oficial de Bomberos Bogotá -SGC</v>
      </c>
    </row>
    <row r="42" spans="2:35" s="145" customFormat="1" ht="70" x14ac:dyDescent="0.35">
      <c r="B42" s="179">
        <v>20260658</v>
      </c>
      <c r="C42" s="180" t="s">
        <v>1018</v>
      </c>
      <c r="D42" s="179" t="s">
        <v>114</v>
      </c>
      <c r="E42" s="179" t="s">
        <v>402</v>
      </c>
      <c r="F42" s="179" t="s">
        <v>89</v>
      </c>
      <c r="G42" s="198" t="s">
        <v>377</v>
      </c>
      <c r="H42" s="199">
        <v>2</v>
      </c>
      <c r="I42" s="199">
        <v>0</v>
      </c>
      <c r="J42" s="184">
        <v>200000000</v>
      </c>
      <c r="K42" s="185" t="s">
        <v>398</v>
      </c>
      <c r="L42" s="181" t="s">
        <v>155</v>
      </c>
      <c r="M42" s="186" t="s">
        <v>422</v>
      </c>
      <c r="N42" s="179" t="s">
        <v>197</v>
      </c>
      <c r="O42" s="186" t="s">
        <v>957</v>
      </c>
      <c r="P42" s="186" t="s">
        <v>348</v>
      </c>
      <c r="Q42" s="188" t="s">
        <v>779</v>
      </c>
      <c r="R42" s="186" t="s">
        <v>207</v>
      </c>
      <c r="S42" s="201" t="str">
        <f>MID(PAA[[#This Row],[Meta Proyecto de Inversión]],1,4)</f>
        <v>8126</v>
      </c>
      <c r="T42" s="201" t="str">
        <f>MID(PAA[[#This Row],[Meta Proyecto de Inversión]],6,1)</f>
        <v>8</v>
      </c>
      <c r="U42" s="189" t="str">
        <f>IFERROR(VLOOKUP(N42,TD!$B$50:$F$54,2,0)," ")</f>
        <v>O230117</v>
      </c>
      <c r="V42" s="189" t="str">
        <f>IFERROR(VLOOKUP(N42,TD!$B$50:$F$54,3,0)," ")</f>
        <v>4599</v>
      </c>
      <c r="W42" s="189">
        <f>IFERROR(VLOOKUP(N42,TD!$B$50:$F$54,4,0)," ")</f>
        <v>20240207</v>
      </c>
      <c r="X42" s="186" t="s">
        <v>174</v>
      </c>
      <c r="Y42" s="189" t="str">
        <f>IFERROR(VLOOKUP(X42,TD!$J$51:$K$64,2,0)," ")</f>
        <v>Infraestructura física, mantenimiento y dotación (Sedes construidas, mantenidas reforzadas)</v>
      </c>
      <c r="Z42" s="202" t="str">
        <f>CONCATENATE(X42,"-",Y42)</f>
        <v>08-Infraestructura física, mantenimiento y dotación (Sedes construidas, mantenidas reforzadas)</v>
      </c>
      <c r="AA42" s="186" t="s">
        <v>227</v>
      </c>
      <c r="AB42" s="189" t="str">
        <f>IFERROR(VLOOKUP(AA42,TD!$N$51:$O$66,2,0)," ")</f>
        <v>Sedes mantenidas</v>
      </c>
      <c r="AC42" s="202" t="str">
        <f>CONCATENATE(AA42,"_",AB42)</f>
        <v>016_Sedes mantenidas</v>
      </c>
      <c r="AD42" s="202" t="str">
        <f>CONCATENATE(Z42," ",AC42)</f>
        <v>08-Infraestructura física, mantenimiento y dotación (Sedes construidas, mantenidas reforzadas) 016_Sedes mantenidas</v>
      </c>
      <c r="AE42" s="189" t="str">
        <f>CONCATENATE(U42,V42,W42,X42,AA42)</f>
        <v>O23011745992024020708016</v>
      </c>
      <c r="AF42" s="189" t="str">
        <f>IFERROR(VLOOKUP(AD42,TD!$J$66:$K$89,2,0)," ")</f>
        <v>PM/0131/0108/45990160207</v>
      </c>
      <c r="AG42" s="190" t="s">
        <v>134</v>
      </c>
      <c r="AH42" s="186" t="s">
        <v>194</v>
      </c>
      <c r="AI42" s="204" t="str">
        <f>CONCATENATE(PAA[[#This Row],[Id Interno]],"-",PAA[[#This Row],[tipo de Contrato (TH talento humano - B/S bienes y/o servicios)]],"-",S42,"-",T42,"-",PAA[[#This Row],[Objeto de la contratación]])</f>
        <v>20260658-BS-8126-8-Adición y prórroga No. 1 al contrato que tiene como objeto " Contratar la prestación del servicio de aseo y cafetería incluido insumos para la UAE Cuerpo Oficial de Bomberos -SGC</v>
      </c>
    </row>
    <row r="43" spans="2:35" s="145" customFormat="1" ht="84" x14ac:dyDescent="0.35">
      <c r="B43" s="23">
        <v>20260001</v>
      </c>
      <c r="C43" s="99" t="s">
        <v>588</v>
      </c>
      <c r="D43" s="23" t="s">
        <v>105</v>
      </c>
      <c r="E43" s="23" t="s">
        <v>363</v>
      </c>
      <c r="F43" s="155" t="s">
        <v>144</v>
      </c>
      <c r="G43" s="156" t="s">
        <v>373</v>
      </c>
      <c r="H43" s="157">
        <v>12</v>
      </c>
      <c r="I43" s="157">
        <v>0</v>
      </c>
      <c r="J43" s="150">
        <v>120000000</v>
      </c>
      <c r="K43" s="88" t="s">
        <v>398</v>
      </c>
      <c r="L43" s="155" t="s">
        <v>151</v>
      </c>
      <c r="M43" s="158" t="s">
        <v>401</v>
      </c>
      <c r="N43" s="23" t="s">
        <v>197</v>
      </c>
      <c r="O43" s="151" t="s">
        <v>957</v>
      </c>
      <c r="P43" s="155" t="s">
        <v>348</v>
      </c>
      <c r="Q43" s="53">
        <v>80111600</v>
      </c>
      <c r="R43" s="158" t="s">
        <v>204</v>
      </c>
      <c r="S43" s="158" t="str">
        <f>MID(PAA[[#This Row],[Meta Proyecto de Inversión]],1,4)</f>
        <v>8126</v>
      </c>
      <c r="T43" s="158" t="str">
        <f>MID(PAA[[#This Row],[Meta Proyecto de Inversión]],6,1)</f>
        <v>5</v>
      </c>
      <c r="U43" s="159" t="str">
        <f>IFERROR(VLOOKUP(N43,TD!$B$50:$F$54,2,0)," ")</f>
        <v>O230117</v>
      </c>
      <c r="V43" s="159" t="str">
        <f>IFERROR(VLOOKUP(N43,TD!$B$50:$F$54,3,0)," ")</f>
        <v>4599</v>
      </c>
      <c r="W43" s="159">
        <f>IFERROR(VLOOKUP(N43,TD!$B$50:$F$54,4,0)," ")</f>
        <v>20240207</v>
      </c>
      <c r="X43" s="158" t="s">
        <v>168</v>
      </c>
      <c r="Y43" s="159" t="str">
        <f>IFERROR(VLOOKUP(X43,TD!$J$51:$K$64,2,0)," ")</f>
        <v>Infraestructura Tecnológica   (Sistemas de Información y Tecnologia)</v>
      </c>
      <c r="Z43" s="160" t="str">
        <f>CONCATENATE(X43,"-",Y43)</f>
        <v>11-Infraestructura Tecnológica   (Sistemas de Información y Tecnologia)</v>
      </c>
      <c r="AA43" s="158" t="s">
        <v>228</v>
      </c>
      <c r="AB43" s="159" t="str">
        <f>IFERROR(VLOOKUP(AA43,TD!$N$51:$O$66,2,0)," ")</f>
        <v>Servicios tecnológicos</v>
      </c>
      <c r="AC43" s="160" t="str">
        <f>CONCATENATE(AA43,"_",AB43)</f>
        <v>007_Servicios tecnológicos</v>
      </c>
      <c r="AD43" s="160" t="str">
        <f>CONCATENATE(Z43," ",AC43)</f>
        <v>11-Infraestructura Tecnológica   (Sistemas de Información y Tecnologia) 007_Servicios tecnológicos</v>
      </c>
      <c r="AE43" s="159" t="str">
        <f>CONCATENATE(U43,V43,W43,X43,AA43)</f>
        <v>O23011745992024020711007</v>
      </c>
      <c r="AF43" s="159" t="str">
        <f>IFERROR(VLOOKUP(AD43,TD!$J$66:$K$89,2,0)," ")</f>
        <v>PM/0131/0111/45990070207</v>
      </c>
      <c r="AG43" s="118" t="s">
        <v>385</v>
      </c>
      <c r="AH43" s="158" t="s">
        <v>193</v>
      </c>
      <c r="AI43" s="161" t="str">
        <f>CONCATENATE(PAA[[#This Row],[Id Interno]],"-",PAA[[#This Row],[tipo de Contrato (TH talento humano - B/S bienes y/o servicios)]],"-",S43,"-",T43,"-",PAA[[#This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44" spans="2:35" s="145" customFormat="1" ht="42" x14ac:dyDescent="0.35">
      <c r="B44" s="23">
        <v>20260002</v>
      </c>
      <c r="C44" s="99" t="s">
        <v>589</v>
      </c>
      <c r="D44" s="23" t="s">
        <v>105</v>
      </c>
      <c r="E44" s="23" t="s">
        <v>363</v>
      </c>
      <c r="F44" s="155" t="s">
        <v>144</v>
      </c>
      <c r="G44" s="156" t="s">
        <v>373</v>
      </c>
      <c r="H44" s="157">
        <v>6</v>
      </c>
      <c r="I44" s="157">
        <v>0</v>
      </c>
      <c r="J44" s="150">
        <v>45000000</v>
      </c>
      <c r="K44" s="88" t="s">
        <v>398</v>
      </c>
      <c r="L44" s="155" t="s">
        <v>151</v>
      </c>
      <c r="M44" s="158" t="s">
        <v>401</v>
      </c>
      <c r="N44" s="23" t="s">
        <v>197</v>
      </c>
      <c r="O44" s="151" t="s">
        <v>957</v>
      </c>
      <c r="P44" s="155" t="s">
        <v>348</v>
      </c>
      <c r="Q44" s="53">
        <v>80111600</v>
      </c>
      <c r="R44" s="158" t="s">
        <v>204</v>
      </c>
      <c r="S44" s="158" t="str">
        <f>MID(PAA[[#This Row],[Meta Proyecto de Inversión]],1,4)</f>
        <v>8126</v>
      </c>
      <c r="T44" s="158" t="str">
        <f>MID(PAA[[#This Row],[Meta Proyecto de Inversión]],6,1)</f>
        <v>5</v>
      </c>
      <c r="U44" s="159" t="str">
        <f>IFERROR(VLOOKUP(N44,TD!$B$50:$F$54,2,0)," ")</f>
        <v>O230117</v>
      </c>
      <c r="V44" s="159" t="str">
        <f>IFERROR(VLOOKUP(N44,TD!$B$50:$F$54,3,0)," ")</f>
        <v>4599</v>
      </c>
      <c r="W44" s="159">
        <f>IFERROR(VLOOKUP(N44,TD!$B$50:$F$54,4,0)," ")</f>
        <v>20240207</v>
      </c>
      <c r="X44" s="158" t="s">
        <v>168</v>
      </c>
      <c r="Y44" s="159" t="str">
        <f>IFERROR(VLOOKUP(X44,TD!$J$51:$K$64,2,0)," ")</f>
        <v>Infraestructura Tecnológica   (Sistemas de Información y Tecnologia)</v>
      </c>
      <c r="Z44" s="160" t="str">
        <f>CONCATENATE(X44,"-",Y44)</f>
        <v>11-Infraestructura Tecnológica   (Sistemas de Información y Tecnologia)</v>
      </c>
      <c r="AA44" s="158" t="s">
        <v>228</v>
      </c>
      <c r="AB44" s="159" t="str">
        <f>IFERROR(VLOOKUP(AA44,TD!$N$51:$O$66,2,0)," ")</f>
        <v>Servicios tecnológicos</v>
      </c>
      <c r="AC44" s="160" t="str">
        <f>CONCATENATE(AA44,"_",AB44)</f>
        <v>007_Servicios tecnológicos</v>
      </c>
      <c r="AD44" s="160" t="str">
        <f>CONCATENATE(Z44," ",AC44)</f>
        <v>11-Infraestructura Tecnológica   (Sistemas de Información y Tecnologia) 007_Servicios tecnológicos</v>
      </c>
      <c r="AE44" s="159" t="str">
        <f>CONCATENATE(U44,V44,W44,X44,AA44)</f>
        <v>O23011745992024020711007</v>
      </c>
      <c r="AF44" s="159" t="str">
        <f>IFERROR(VLOOKUP(AD44,TD!$J$66:$K$89,2,0)," ")</f>
        <v>PM/0131/0111/45990070207</v>
      </c>
      <c r="AG44" s="118" t="s">
        <v>385</v>
      </c>
      <c r="AH44" s="158" t="s">
        <v>193</v>
      </c>
      <c r="AI44" s="161" t="str">
        <f>CONCATENATE(PAA[[#This Row],[Id Interno]],"-",PAA[[#This Row],[tipo de Contrato (TH talento humano - B/S bienes y/o servicios)]],"-",S44,"-",T44,"-",PAA[[#This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45" spans="2:35" s="145" customFormat="1" ht="70" x14ac:dyDescent="0.35">
      <c r="B45" s="23">
        <v>20260003</v>
      </c>
      <c r="C45" s="99" t="s">
        <v>590</v>
      </c>
      <c r="D45" s="23" t="s">
        <v>105</v>
      </c>
      <c r="E45" s="23" t="s">
        <v>363</v>
      </c>
      <c r="F45" s="155" t="s">
        <v>144</v>
      </c>
      <c r="G45" s="156" t="s">
        <v>373</v>
      </c>
      <c r="H45" s="157">
        <v>6</v>
      </c>
      <c r="I45" s="157">
        <v>0</v>
      </c>
      <c r="J45" s="150">
        <v>33000000</v>
      </c>
      <c r="K45" s="88" t="s">
        <v>398</v>
      </c>
      <c r="L45" s="155" t="s">
        <v>151</v>
      </c>
      <c r="M45" s="158" t="s">
        <v>401</v>
      </c>
      <c r="N45" s="23" t="s">
        <v>197</v>
      </c>
      <c r="O45" s="151" t="s">
        <v>957</v>
      </c>
      <c r="P45" s="155" t="s">
        <v>348</v>
      </c>
      <c r="Q45" s="53">
        <v>80111600</v>
      </c>
      <c r="R45" s="158" t="s">
        <v>203</v>
      </c>
      <c r="S45" s="158" t="str">
        <f>MID(PAA[[#This Row],[Meta Proyecto de Inversión]],1,4)</f>
        <v>8126</v>
      </c>
      <c r="T45" s="158" t="str">
        <f>MID(PAA[[#This Row],[Meta Proyecto de Inversión]],6,1)</f>
        <v>4</v>
      </c>
      <c r="U45" s="159" t="str">
        <f>IFERROR(VLOOKUP(N45,TD!$B$50:$F$54,2,0)," ")</f>
        <v>O230117</v>
      </c>
      <c r="V45" s="159" t="str">
        <f>IFERROR(VLOOKUP(N45,TD!$B$50:$F$54,3,0)," ")</f>
        <v>4599</v>
      </c>
      <c r="W45" s="159">
        <f>IFERROR(VLOOKUP(N45,TD!$B$50:$F$54,4,0)," ")</f>
        <v>20240207</v>
      </c>
      <c r="X45" s="158" t="s">
        <v>168</v>
      </c>
      <c r="Y45" s="159" t="str">
        <f>IFERROR(VLOOKUP(X45,TD!$J$51:$K$64,2,0)," ")</f>
        <v>Infraestructura Tecnológica   (Sistemas de Información y Tecnologia)</v>
      </c>
      <c r="Z45" s="160" t="str">
        <f>CONCATENATE(X45,"-",Y45)</f>
        <v>11-Infraestructura Tecnológica   (Sistemas de Información y Tecnologia)</v>
      </c>
      <c r="AA45" s="158" t="s">
        <v>228</v>
      </c>
      <c r="AB45" s="159" t="str">
        <f>IFERROR(VLOOKUP(AA45,TD!$N$51:$O$66,2,0)," ")</f>
        <v>Servicios tecnológicos</v>
      </c>
      <c r="AC45" s="160" t="str">
        <f>CONCATENATE(AA45,"_",AB45)</f>
        <v>007_Servicios tecnológicos</v>
      </c>
      <c r="AD45" s="160" t="str">
        <f>CONCATENATE(Z45," ",AC45)</f>
        <v>11-Infraestructura Tecnológica   (Sistemas de Información y Tecnologia) 007_Servicios tecnológicos</v>
      </c>
      <c r="AE45" s="159" t="str">
        <f>CONCATENATE(U45,V45,W45,X45,AA45)</f>
        <v>O23011745992024020711007</v>
      </c>
      <c r="AF45" s="159" t="str">
        <f>IFERROR(VLOOKUP(AD45,TD!$J$66:$K$89,2,0)," ")</f>
        <v>PM/0131/0111/45990070207</v>
      </c>
      <c r="AG45" s="118" t="s">
        <v>385</v>
      </c>
      <c r="AH45" s="158" t="s">
        <v>193</v>
      </c>
      <c r="AI45" s="161" t="str">
        <f>CONCATENATE(PAA[[#This Row],[Id Interno]],"-",PAA[[#This Row],[tipo de Contrato (TH talento humano - B/S bienes y/o servicios)]],"-",S45,"-",T45,"-",PAA[[#This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46" spans="2:35" ht="70" x14ac:dyDescent="0.35">
      <c r="B46" s="23">
        <v>20260004</v>
      </c>
      <c r="C46" s="99" t="s">
        <v>591</v>
      </c>
      <c r="D46" s="23" t="s">
        <v>105</v>
      </c>
      <c r="E46" s="23" t="s">
        <v>363</v>
      </c>
      <c r="F46" s="155" t="s">
        <v>144</v>
      </c>
      <c r="G46" s="156" t="s">
        <v>373</v>
      </c>
      <c r="H46" s="157">
        <v>6</v>
      </c>
      <c r="I46" s="157">
        <v>0</v>
      </c>
      <c r="J46" s="150">
        <v>57000000</v>
      </c>
      <c r="K46" s="88" t="s">
        <v>398</v>
      </c>
      <c r="L46" s="155" t="s">
        <v>151</v>
      </c>
      <c r="M46" s="158" t="s">
        <v>401</v>
      </c>
      <c r="N46" s="23" t="s">
        <v>197</v>
      </c>
      <c r="O46" s="151" t="s">
        <v>957</v>
      </c>
      <c r="P46" s="155" t="s">
        <v>348</v>
      </c>
      <c r="Q46" s="53">
        <v>80111600</v>
      </c>
      <c r="R46" s="158" t="s">
        <v>203</v>
      </c>
      <c r="S46" s="158" t="str">
        <f>MID(PAA[[#This Row],[Meta Proyecto de Inversión]],1,4)</f>
        <v>8126</v>
      </c>
      <c r="T46" s="158" t="str">
        <f>MID(PAA[[#This Row],[Meta Proyecto de Inversión]],6,1)</f>
        <v>4</v>
      </c>
      <c r="U46" s="159" t="str">
        <f>IFERROR(VLOOKUP(N46,TD!$B$50:$F$54,2,0)," ")</f>
        <v>O230117</v>
      </c>
      <c r="V46" s="159" t="str">
        <f>IFERROR(VLOOKUP(N46,TD!$B$50:$F$54,3,0)," ")</f>
        <v>4599</v>
      </c>
      <c r="W46" s="159">
        <f>IFERROR(VLOOKUP(N46,TD!$B$50:$F$54,4,0)," ")</f>
        <v>20240207</v>
      </c>
      <c r="X46" s="158" t="s">
        <v>168</v>
      </c>
      <c r="Y46" s="159" t="str">
        <f>IFERROR(VLOOKUP(X46,TD!$J$51:$K$64,2,0)," ")</f>
        <v>Infraestructura Tecnológica   (Sistemas de Información y Tecnologia)</v>
      </c>
      <c r="Z46" s="160" t="str">
        <f>CONCATENATE(X46,"-",Y46)</f>
        <v>11-Infraestructura Tecnológica   (Sistemas de Información y Tecnologia)</v>
      </c>
      <c r="AA46" s="158" t="s">
        <v>228</v>
      </c>
      <c r="AB46" s="159" t="str">
        <f>IFERROR(VLOOKUP(AA46,TD!$N$51:$O$66,2,0)," ")</f>
        <v>Servicios tecnológicos</v>
      </c>
      <c r="AC46" s="160" t="str">
        <f>CONCATENATE(AA46,"_",AB46)</f>
        <v>007_Servicios tecnológicos</v>
      </c>
      <c r="AD46" s="160" t="str">
        <f>CONCATENATE(Z46," ",AC46)</f>
        <v>11-Infraestructura Tecnológica   (Sistemas de Información y Tecnologia) 007_Servicios tecnológicos</v>
      </c>
      <c r="AE46" s="159" t="str">
        <f>CONCATENATE(U46,V46,W46,X46,AA46)</f>
        <v>O23011745992024020711007</v>
      </c>
      <c r="AF46" s="159" t="str">
        <f>IFERROR(VLOOKUP(AD46,TD!$J$66:$K$89,2,0)," ")</f>
        <v>PM/0131/0111/45990070207</v>
      </c>
      <c r="AG46" s="118" t="s">
        <v>385</v>
      </c>
      <c r="AH46" s="158" t="s">
        <v>193</v>
      </c>
      <c r="AI46" s="161" t="str">
        <f>CONCATENATE(PAA[[#This Row],[Id Interno]],"-",PAA[[#This Row],[tipo de Contrato (TH talento humano - B/S bienes y/o servicios)]],"-",S46,"-",T46,"-",PAA[[#This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47" spans="2:35" ht="56" x14ac:dyDescent="0.35">
      <c r="B47" s="23">
        <v>20260005</v>
      </c>
      <c r="C47" s="99" t="s">
        <v>592</v>
      </c>
      <c r="D47" s="23" t="s">
        <v>105</v>
      </c>
      <c r="E47" s="23" t="s">
        <v>363</v>
      </c>
      <c r="F47" s="155" t="s">
        <v>144</v>
      </c>
      <c r="G47" s="156" t="s">
        <v>373</v>
      </c>
      <c r="H47" s="157">
        <v>12</v>
      </c>
      <c r="I47" s="157">
        <v>0</v>
      </c>
      <c r="J47" s="150">
        <v>93600000</v>
      </c>
      <c r="K47" s="88" t="s">
        <v>398</v>
      </c>
      <c r="L47" s="155" t="s">
        <v>151</v>
      </c>
      <c r="M47" s="158" t="s">
        <v>401</v>
      </c>
      <c r="N47" s="23" t="s">
        <v>197</v>
      </c>
      <c r="O47" s="151" t="s">
        <v>957</v>
      </c>
      <c r="P47" s="155" t="s">
        <v>348</v>
      </c>
      <c r="Q47" s="53">
        <v>80111600</v>
      </c>
      <c r="R47" s="158" t="s">
        <v>204</v>
      </c>
      <c r="S47" s="158" t="str">
        <f>MID(PAA[[#This Row],[Meta Proyecto de Inversión]],1,4)</f>
        <v>8126</v>
      </c>
      <c r="T47" s="158" t="str">
        <f>MID(PAA[[#This Row],[Meta Proyecto de Inversión]],6,1)</f>
        <v>5</v>
      </c>
      <c r="U47" s="159" t="str">
        <f>IFERROR(VLOOKUP(N47,TD!$B$50:$F$54,2,0)," ")</f>
        <v>O230117</v>
      </c>
      <c r="V47" s="159" t="str">
        <f>IFERROR(VLOOKUP(N47,TD!$B$50:$F$54,3,0)," ")</f>
        <v>4599</v>
      </c>
      <c r="W47" s="159">
        <f>IFERROR(VLOOKUP(N47,TD!$B$50:$F$54,4,0)," ")</f>
        <v>20240207</v>
      </c>
      <c r="X47" s="158" t="s">
        <v>168</v>
      </c>
      <c r="Y47" s="159" t="str">
        <f>IFERROR(VLOOKUP(X47,TD!$J$51:$K$64,2,0)," ")</f>
        <v>Infraestructura Tecnológica   (Sistemas de Información y Tecnologia)</v>
      </c>
      <c r="Z47" s="160" t="str">
        <f>CONCATENATE(X47,"-",Y47)</f>
        <v>11-Infraestructura Tecnológica   (Sistemas de Información y Tecnologia)</v>
      </c>
      <c r="AA47" s="158" t="s">
        <v>228</v>
      </c>
      <c r="AB47" s="159" t="str">
        <f>IFERROR(VLOOKUP(AA47,TD!$N$51:$O$66,2,0)," ")</f>
        <v>Servicios tecnológicos</v>
      </c>
      <c r="AC47" s="160" t="str">
        <f>CONCATENATE(AA47,"_",AB47)</f>
        <v>007_Servicios tecnológicos</v>
      </c>
      <c r="AD47" s="160" t="str">
        <f>CONCATENATE(Z47," ",AC47)</f>
        <v>11-Infraestructura Tecnológica   (Sistemas de Información y Tecnologia) 007_Servicios tecnológicos</v>
      </c>
      <c r="AE47" s="159" t="str">
        <f>CONCATENATE(U47,V47,W47,X47,AA47)</f>
        <v>O23011745992024020711007</v>
      </c>
      <c r="AF47" s="159" t="str">
        <f>IFERROR(VLOOKUP(AD47,TD!$J$66:$K$89,2,0)," ")</f>
        <v>PM/0131/0111/45990070207</v>
      </c>
      <c r="AG47" s="118" t="s">
        <v>385</v>
      </c>
      <c r="AH47" s="158" t="s">
        <v>193</v>
      </c>
      <c r="AI47" s="161" t="str">
        <f>CONCATENATE(PAA[[#This Row],[Id Interno]],"-",PAA[[#This Row],[tipo de Contrato (TH talento humano - B/S bienes y/o servicios)]],"-",S47,"-",T47,"-",PAA[[#This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48" spans="2:35" ht="56" x14ac:dyDescent="0.35">
      <c r="B48" s="23">
        <v>20260006</v>
      </c>
      <c r="C48" s="99" t="s">
        <v>593</v>
      </c>
      <c r="D48" s="23" t="s">
        <v>105</v>
      </c>
      <c r="E48" s="23" t="s">
        <v>363</v>
      </c>
      <c r="F48" s="155" t="s">
        <v>144</v>
      </c>
      <c r="G48" s="156" t="s">
        <v>373</v>
      </c>
      <c r="H48" s="157">
        <v>10</v>
      </c>
      <c r="I48" s="157">
        <v>0</v>
      </c>
      <c r="J48" s="150">
        <v>78000000</v>
      </c>
      <c r="K48" s="88" t="s">
        <v>398</v>
      </c>
      <c r="L48" s="155" t="s">
        <v>151</v>
      </c>
      <c r="M48" s="158" t="s">
        <v>401</v>
      </c>
      <c r="N48" s="23" t="s">
        <v>197</v>
      </c>
      <c r="O48" s="151" t="s">
        <v>957</v>
      </c>
      <c r="P48" s="155" t="s">
        <v>348</v>
      </c>
      <c r="Q48" s="53">
        <v>80111600</v>
      </c>
      <c r="R48" s="158" t="s">
        <v>204</v>
      </c>
      <c r="S48" s="158" t="str">
        <f>MID(PAA[[#This Row],[Meta Proyecto de Inversión]],1,4)</f>
        <v>8126</v>
      </c>
      <c r="T48" s="158" t="str">
        <f>MID(PAA[[#This Row],[Meta Proyecto de Inversión]],6,1)</f>
        <v>5</v>
      </c>
      <c r="U48" s="159" t="str">
        <f>IFERROR(VLOOKUP(N48,TD!$B$50:$F$54,2,0)," ")</f>
        <v>O230117</v>
      </c>
      <c r="V48" s="159" t="str">
        <f>IFERROR(VLOOKUP(N48,TD!$B$50:$F$54,3,0)," ")</f>
        <v>4599</v>
      </c>
      <c r="W48" s="159">
        <f>IFERROR(VLOOKUP(N48,TD!$B$50:$F$54,4,0)," ")</f>
        <v>20240207</v>
      </c>
      <c r="X48" s="158" t="s">
        <v>168</v>
      </c>
      <c r="Y48" s="159" t="str">
        <f>IFERROR(VLOOKUP(X48,TD!$J$51:$K$64,2,0)," ")</f>
        <v>Infraestructura Tecnológica   (Sistemas de Información y Tecnologia)</v>
      </c>
      <c r="Z48" s="160" t="str">
        <f>CONCATENATE(X48,"-",Y48)</f>
        <v>11-Infraestructura Tecnológica   (Sistemas de Información y Tecnologia)</v>
      </c>
      <c r="AA48" s="158" t="s">
        <v>228</v>
      </c>
      <c r="AB48" s="159" t="str">
        <f>IFERROR(VLOOKUP(AA48,TD!$N$51:$O$66,2,0)," ")</f>
        <v>Servicios tecnológicos</v>
      </c>
      <c r="AC48" s="160" t="str">
        <f>CONCATENATE(AA48,"_",AB48)</f>
        <v>007_Servicios tecnológicos</v>
      </c>
      <c r="AD48" s="160" t="str">
        <f>CONCATENATE(Z48," ",AC48)</f>
        <v>11-Infraestructura Tecnológica   (Sistemas de Información y Tecnologia) 007_Servicios tecnológicos</v>
      </c>
      <c r="AE48" s="159" t="str">
        <f>CONCATENATE(U48,V48,W48,X48,AA48)</f>
        <v>O23011745992024020711007</v>
      </c>
      <c r="AF48" s="159" t="str">
        <f>IFERROR(VLOOKUP(AD48,TD!$J$66:$K$89,2,0)," ")</f>
        <v>PM/0131/0111/45990070207</v>
      </c>
      <c r="AG48" s="118" t="s">
        <v>385</v>
      </c>
      <c r="AH48" s="158" t="s">
        <v>193</v>
      </c>
      <c r="AI48" s="161" t="str">
        <f>CONCATENATE(PAA[[#This Row],[Id Interno]],"-",PAA[[#This Row],[tipo de Contrato (TH talento humano - B/S bienes y/o servicios)]],"-",S48,"-",T48,"-",PAA[[#This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49" spans="2:35" ht="56" x14ac:dyDescent="0.35">
      <c r="B49" s="23">
        <v>20260007</v>
      </c>
      <c r="C49" s="99" t="s">
        <v>594</v>
      </c>
      <c r="D49" s="23" t="s">
        <v>105</v>
      </c>
      <c r="E49" s="23" t="s">
        <v>363</v>
      </c>
      <c r="F49" s="155" t="s">
        <v>144</v>
      </c>
      <c r="G49" s="156" t="s">
        <v>373</v>
      </c>
      <c r="H49" s="157">
        <v>12</v>
      </c>
      <c r="I49" s="157">
        <v>0</v>
      </c>
      <c r="J49" s="150">
        <v>60500000</v>
      </c>
      <c r="K49" s="88" t="s">
        <v>398</v>
      </c>
      <c r="L49" s="155" t="s">
        <v>151</v>
      </c>
      <c r="M49" s="158" t="s">
        <v>401</v>
      </c>
      <c r="N49" s="23" t="s">
        <v>197</v>
      </c>
      <c r="O49" s="151" t="s">
        <v>957</v>
      </c>
      <c r="P49" s="155" t="s">
        <v>348</v>
      </c>
      <c r="Q49" s="53">
        <v>80111600</v>
      </c>
      <c r="R49" s="158" t="s">
        <v>204</v>
      </c>
      <c r="S49" s="158" t="str">
        <f>MID(PAA[[#This Row],[Meta Proyecto de Inversión]],1,4)</f>
        <v>8126</v>
      </c>
      <c r="T49" s="158" t="str">
        <f>MID(PAA[[#This Row],[Meta Proyecto de Inversión]],6,1)</f>
        <v>5</v>
      </c>
      <c r="U49" s="159" t="str">
        <f>IFERROR(VLOOKUP(N49,TD!$B$50:$F$54,2,0)," ")</f>
        <v>O230117</v>
      </c>
      <c r="V49" s="159" t="str">
        <f>IFERROR(VLOOKUP(N49,TD!$B$50:$F$54,3,0)," ")</f>
        <v>4599</v>
      </c>
      <c r="W49" s="159">
        <f>IFERROR(VLOOKUP(N49,TD!$B$50:$F$54,4,0)," ")</f>
        <v>20240207</v>
      </c>
      <c r="X49" s="158" t="s">
        <v>168</v>
      </c>
      <c r="Y49" s="159" t="str">
        <f>IFERROR(VLOOKUP(X49,TD!$J$51:$K$64,2,0)," ")</f>
        <v>Infraestructura Tecnológica   (Sistemas de Información y Tecnologia)</v>
      </c>
      <c r="Z49" s="160" t="str">
        <f>CONCATENATE(X49,"-",Y49)</f>
        <v>11-Infraestructura Tecnológica   (Sistemas de Información y Tecnologia)</v>
      </c>
      <c r="AA49" s="158" t="s">
        <v>228</v>
      </c>
      <c r="AB49" s="159" t="str">
        <f>IFERROR(VLOOKUP(AA49,TD!$N$51:$O$66,2,0)," ")</f>
        <v>Servicios tecnológicos</v>
      </c>
      <c r="AC49" s="160" t="str">
        <f>CONCATENATE(AA49,"_",AB49)</f>
        <v>007_Servicios tecnológicos</v>
      </c>
      <c r="AD49" s="160" t="str">
        <f>CONCATENATE(Z49," ",AC49)</f>
        <v>11-Infraestructura Tecnológica   (Sistemas de Información y Tecnologia) 007_Servicios tecnológicos</v>
      </c>
      <c r="AE49" s="159" t="str">
        <f>CONCATENATE(U49,V49,W49,X49,AA49)</f>
        <v>O23011745992024020711007</v>
      </c>
      <c r="AF49" s="159" t="str">
        <f>IFERROR(VLOOKUP(AD49,TD!$J$66:$K$89,2,0)," ")</f>
        <v>PM/0131/0111/45990070207</v>
      </c>
      <c r="AG49" s="118" t="s">
        <v>385</v>
      </c>
      <c r="AH49" s="158" t="s">
        <v>193</v>
      </c>
      <c r="AI49" s="161" t="str">
        <f>CONCATENATE(PAA[[#This Row],[Id Interno]],"-",PAA[[#This Row],[tipo de Contrato (TH talento humano - B/S bienes y/o servicios)]],"-",S49,"-",T49,"-",PAA[[#This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50" spans="2:35" ht="56" x14ac:dyDescent="0.35">
      <c r="B50" s="23">
        <v>20260008</v>
      </c>
      <c r="C50" s="99" t="s">
        <v>595</v>
      </c>
      <c r="D50" s="23" t="s">
        <v>105</v>
      </c>
      <c r="E50" s="23" t="s">
        <v>363</v>
      </c>
      <c r="F50" s="155" t="s">
        <v>145</v>
      </c>
      <c r="G50" s="156" t="s">
        <v>374</v>
      </c>
      <c r="H50" s="157">
        <v>10</v>
      </c>
      <c r="I50" s="157">
        <v>0</v>
      </c>
      <c r="J50" s="150">
        <v>40000000</v>
      </c>
      <c r="K50" s="88" t="s">
        <v>398</v>
      </c>
      <c r="L50" s="155" t="s">
        <v>151</v>
      </c>
      <c r="M50" s="158" t="s">
        <v>401</v>
      </c>
      <c r="N50" s="23" t="s">
        <v>197</v>
      </c>
      <c r="O50" s="151" t="s">
        <v>957</v>
      </c>
      <c r="P50" s="155" t="s">
        <v>348</v>
      </c>
      <c r="Q50" s="53">
        <v>80111600</v>
      </c>
      <c r="R50" s="158" t="s">
        <v>204</v>
      </c>
      <c r="S50" s="158" t="str">
        <f>MID(PAA[[#This Row],[Meta Proyecto de Inversión]],1,4)</f>
        <v>8126</v>
      </c>
      <c r="T50" s="158" t="str">
        <f>MID(PAA[[#This Row],[Meta Proyecto de Inversión]],6,1)</f>
        <v>5</v>
      </c>
      <c r="U50" s="159" t="str">
        <f>IFERROR(VLOOKUP(N50,TD!$B$50:$F$54,2,0)," ")</f>
        <v>O230117</v>
      </c>
      <c r="V50" s="159" t="str">
        <f>IFERROR(VLOOKUP(N50,TD!$B$50:$F$54,3,0)," ")</f>
        <v>4599</v>
      </c>
      <c r="W50" s="159">
        <f>IFERROR(VLOOKUP(N50,TD!$B$50:$F$54,4,0)," ")</f>
        <v>20240207</v>
      </c>
      <c r="X50" s="158" t="s">
        <v>168</v>
      </c>
      <c r="Y50" s="159" t="str">
        <f>IFERROR(VLOOKUP(X50,TD!$J$51:$K$64,2,0)," ")</f>
        <v>Infraestructura Tecnológica   (Sistemas de Información y Tecnologia)</v>
      </c>
      <c r="Z50" s="160" t="str">
        <f>CONCATENATE(X50,"-",Y50)</f>
        <v>11-Infraestructura Tecnológica   (Sistemas de Información y Tecnologia)</v>
      </c>
      <c r="AA50" s="158" t="s">
        <v>228</v>
      </c>
      <c r="AB50" s="159" t="str">
        <f>IFERROR(VLOOKUP(AA50,TD!$N$51:$O$66,2,0)," ")</f>
        <v>Servicios tecnológicos</v>
      </c>
      <c r="AC50" s="160" t="str">
        <f>CONCATENATE(AA50,"_",AB50)</f>
        <v>007_Servicios tecnológicos</v>
      </c>
      <c r="AD50" s="160" t="str">
        <f>CONCATENATE(Z50," ",AC50)</f>
        <v>11-Infraestructura Tecnológica   (Sistemas de Información y Tecnologia) 007_Servicios tecnológicos</v>
      </c>
      <c r="AE50" s="159" t="str">
        <f>CONCATENATE(U50,V50,W50,X50,AA50)</f>
        <v>O23011745992024020711007</v>
      </c>
      <c r="AF50" s="159" t="str">
        <f>IFERROR(VLOOKUP(AD50,TD!$J$66:$K$89,2,0)," ")</f>
        <v>PM/0131/0111/45990070207</v>
      </c>
      <c r="AG50" s="118" t="s">
        <v>385</v>
      </c>
      <c r="AH50" s="158" t="s">
        <v>193</v>
      </c>
      <c r="AI50" s="161" t="str">
        <f>CONCATENATE(PAA[[#This Row],[Id Interno]],"-",PAA[[#This Row],[tipo de Contrato (TH talento humano - B/S bienes y/o servicios)]],"-",S50,"-",T50,"-",PAA[[#This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51" spans="2:35" ht="70" x14ac:dyDescent="0.35">
      <c r="B51" s="23">
        <v>20260009</v>
      </c>
      <c r="C51" s="121" t="s">
        <v>595</v>
      </c>
      <c r="D51" s="23" t="s">
        <v>105</v>
      </c>
      <c r="E51" s="23" t="s">
        <v>363</v>
      </c>
      <c r="F51" s="155" t="s">
        <v>145</v>
      </c>
      <c r="G51" s="156" t="s">
        <v>373</v>
      </c>
      <c r="H51" s="157">
        <v>6</v>
      </c>
      <c r="I51" s="157">
        <v>0</v>
      </c>
      <c r="J51" s="150">
        <v>24000000</v>
      </c>
      <c r="K51" s="88" t="s">
        <v>398</v>
      </c>
      <c r="L51" s="155" t="s">
        <v>151</v>
      </c>
      <c r="M51" s="158" t="s">
        <v>401</v>
      </c>
      <c r="N51" s="23" t="s">
        <v>197</v>
      </c>
      <c r="O51" s="151" t="s">
        <v>957</v>
      </c>
      <c r="P51" s="155" t="s">
        <v>348</v>
      </c>
      <c r="Q51" s="53">
        <v>80111600</v>
      </c>
      <c r="R51" s="158" t="s">
        <v>204</v>
      </c>
      <c r="S51" s="158" t="str">
        <f>MID(PAA[[#This Row],[Meta Proyecto de Inversión]],1,4)</f>
        <v>8126</v>
      </c>
      <c r="T51" s="158" t="str">
        <f>MID(PAA[[#This Row],[Meta Proyecto de Inversión]],6,1)</f>
        <v>5</v>
      </c>
      <c r="U51" s="159" t="str">
        <f>IFERROR(VLOOKUP(N51,TD!$B$50:$F$54,2,0)," ")</f>
        <v>O230117</v>
      </c>
      <c r="V51" s="159" t="str">
        <f>IFERROR(VLOOKUP(N51,TD!$B$50:$F$54,3,0)," ")</f>
        <v>4599</v>
      </c>
      <c r="W51" s="159">
        <f>IFERROR(VLOOKUP(N51,TD!$B$50:$F$54,4,0)," ")</f>
        <v>20240207</v>
      </c>
      <c r="X51" s="158" t="s">
        <v>168</v>
      </c>
      <c r="Y51" s="159" t="str">
        <f>IFERROR(VLOOKUP(X51,TD!$J$51:$K$64,2,0)," ")</f>
        <v>Infraestructura Tecnológica   (Sistemas de Información y Tecnologia)</v>
      </c>
      <c r="Z51" s="160" t="str">
        <f>CONCATENATE(X51,"-",Y51)</f>
        <v>11-Infraestructura Tecnológica   (Sistemas de Información y Tecnologia)</v>
      </c>
      <c r="AA51" s="158" t="s">
        <v>228</v>
      </c>
      <c r="AB51" s="159" t="str">
        <f>IFERROR(VLOOKUP(AA51,TD!$N$51:$O$66,2,0)," ")</f>
        <v>Servicios tecnológicos</v>
      </c>
      <c r="AC51" s="160" t="str">
        <f>CONCATENATE(AA51,"_",AB51)</f>
        <v>007_Servicios tecnológicos</v>
      </c>
      <c r="AD51" s="160" t="str">
        <f>CONCATENATE(Z51," ",AC51)</f>
        <v>11-Infraestructura Tecnológica   (Sistemas de Información y Tecnologia) 007_Servicios tecnológicos</v>
      </c>
      <c r="AE51" s="159" t="str">
        <f>CONCATENATE(U51,V51,W51,X51,AA51)</f>
        <v>O23011745992024020711007</v>
      </c>
      <c r="AF51" s="159" t="str">
        <f>IFERROR(VLOOKUP(AD51,TD!$J$66:$K$89,2,0)," ")</f>
        <v>PM/0131/0111/45990070207</v>
      </c>
      <c r="AG51" s="118" t="s">
        <v>385</v>
      </c>
      <c r="AH51" s="158" t="s">
        <v>193</v>
      </c>
      <c r="AI51" s="161" t="str">
        <f>CONCATENATE(PAA[[#This Row],[Id Interno]],"-",PAA[[#This Row],[tipo de Contrato (TH talento humano - B/S bienes y/o servicios)]],"-",S51,"-",T51,"-",PAA[[#This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52" spans="2:35" ht="42" x14ac:dyDescent="0.35">
      <c r="B52" s="23">
        <v>20260010</v>
      </c>
      <c r="C52" s="99" t="s">
        <v>596</v>
      </c>
      <c r="D52" s="23" t="s">
        <v>105</v>
      </c>
      <c r="E52" s="23" t="s">
        <v>363</v>
      </c>
      <c r="F52" s="155" t="s">
        <v>144</v>
      </c>
      <c r="G52" s="156" t="s">
        <v>373</v>
      </c>
      <c r="H52" s="157">
        <v>12</v>
      </c>
      <c r="I52" s="157">
        <v>0</v>
      </c>
      <c r="J52" s="150">
        <v>84000000</v>
      </c>
      <c r="K52" s="88" t="s">
        <v>398</v>
      </c>
      <c r="L52" s="155" t="s">
        <v>151</v>
      </c>
      <c r="M52" s="158" t="s">
        <v>401</v>
      </c>
      <c r="N52" s="23" t="s">
        <v>197</v>
      </c>
      <c r="O52" s="151" t="s">
        <v>957</v>
      </c>
      <c r="P52" s="155" t="s">
        <v>348</v>
      </c>
      <c r="Q52" s="53">
        <v>80111600</v>
      </c>
      <c r="R52" s="158" t="s">
        <v>203</v>
      </c>
      <c r="S52" s="158" t="str">
        <f>MID(PAA[[#This Row],[Meta Proyecto de Inversión]],1,4)</f>
        <v>8126</v>
      </c>
      <c r="T52" s="158" t="str">
        <f>MID(PAA[[#This Row],[Meta Proyecto de Inversión]],6,1)</f>
        <v>4</v>
      </c>
      <c r="U52" s="159" t="str">
        <f>IFERROR(VLOOKUP(N52,TD!$B$50:$F$54,2,0)," ")</f>
        <v>O230117</v>
      </c>
      <c r="V52" s="159" t="str">
        <f>IFERROR(VLOOKUP(N52,TD!$B$50:$F$54,3,0)," ")</f>
        <v>4599</v>
      </c>
      <c r="W52" s="159">
        <f>IFERROR(VLOOKUP(N52,TD!$B$50:$F$54,4,0)," ")</f>
        <v>20240207</v>
      </c>
      <c r="X52" s="158" t="s">
        <v>168</v>
      </c>
      <c r="Y52" s="159" t="str">
        <f>IFERROR(VLOOKUP(X52,TD!$J$51:$K$64,2,0)," ")</f>
        <v>Infraestructura Tecnológica   (Sistemas de Información y Tecnologia)</v>
      </c>
      <c r="Z52" s="160" t="str">
        <f>CONCATENATE(X52,"-",Y52)</f>
        <v>11-Infraestructura Tecnológica   (Sistemas de Información y Tecnologia)</v>
      </c>
      <c r="AA52" s="158" t="s">
        <v>228</v>
      </c>
      <c r="AB52" s="159" t="str">
        <f>IFERROR(VLOOKUP(AA52,TD!$N$51:$O$66,2,0)," ")</f>
        <v>Servicios tecnológicos</v>
      </c>
      <c r="AC52" s="160" t="str">
        <f>CONCATENATE(AA52,"_",AB52)</f>
        <v>007_Servicios tecnológicos</v>
      </c>
      <c r="AD52" s="160" t="str">
        <f>CONCATENATE(Z52," ",AC52)</f>
        <v>11-Infraestructura Tecnológica   (Sistemas de Información y Tecnologia) 007_Servicios tecnológicos</v>
      </c>
      <c r="AE52" s="159" t="str">
        <f>CONCATENATE(U52,V52,W52,X52,AA52)</f>
        <v>O23011745992024020711007</v>
      </c>
      <c r="AF52" s="159" t="str">
        <f>IFERROR(VLOOKUP(AD52,TD!$J$66:$K$89,2,0)," ")</f>
        <v>PM/0131/0111/45990070207</v>
      </c>
      <c r="AG52" s="118" t="s">
        <v>385</v>
      </c>
      <c r="AH52" s="158" t="s">
        <v>193</v>
      </c>
      <c r="AI52" s="161" t="str">
        <f>CONCATENATE(PAA[[#This Row],[Id Interno]],"-",PAA[[#This Row],[tipo de Contrato (TH talento humano - B/S bienes y/o servicios)]],"-",S52,"-",T52,"-",PAA[[#This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53" spans="2:35" ht="56" x14ac:dyDescent="0.35">
      <c r="B53" s="23">
        <v>20260011</v>
      </c>
      <c r="C53" s="99" t="s">
        <v>597</v>
      </c>
      <c r="D53" s="23" t="s">
        <v>105</v>
      </c>
      <c r="E53" s="23" t="s">
        <v>363</v>
      </c>
      <c r="F53" s="155" t="s">
        <v>144</v>
      </c>
      <c r="G53" s="156" t="s">
        <v>374</v>
      </c>
      <c r="H53" s="157">
        <v>10</v>
      </c>
      <c r="I53" s="157">
        <v>0</v>
      </c>
      <c r="J53" s="150">
        <v>78000000</v>
      </c>
      <c r="K53" s="88" t="s">
        <v>398</v>
      </c>
      <c r="L53" s="155" t="s">
        <v>151</v>
      </c>
      <c r="M53" s="158" t="s">
        <v>401</v>
      </c>
      <c r="N53" s="23" t="s">
        <v>197</v>
      </c>
      <c r="O53" s="151" t="s">
        <v>957</v>
      </c>
      <c r="P53" s="155" t="s">
        <v>348</v>
      </c>
      <c r="Q53" s="53">
        <v>80111600</v>
      </c>
      <c r="R53" s="158" t="s">
        <v>206</v>
      </c>
      <c r="S53" s="158" t="str">
        <f>MID(PAA[[#This Row],[Meta Proyecto de Inversión]],1,4)</f>
        <v>8126</v>
      </c>
      <c r="T53" s="158" t="str">
        <f>MID(PAA[[#This Row],[Meta Proyecto de Inversión]],6,1)</f>
        <v>7</v>
      </c>
      <c r="U53" s="159" t="str">
        <f>IFERROR(VLOOKUP(N53,TD!$B$50:$F$54,2,0)," ")</f>
        <v>O230117</v>
      </c>
      <c r="V53" s="159" t="str">
        <f>IFERROR(VLOOKUP(N53,TD!$B$50:$F$54,3,0)," ")</f>
        <v>4599</v>
      </c>
      <c r="W53" s="159">
        <f>IFERROR(VLOOKUP(N53,TD!$B$50:$F$54,4,0)," ")</f>
        <v>20240207</v>
      </c>
      <c r="X53" s="158" t="s">
        <v>168</v>
      </c>
      <c r="Y53" s="159" t="str">
        <f>IFERROR(VLOOKUP(X53,TD!$J$51:$K$64,2,0)," ")</f>
        <v>Infraestructura Tecnológica   (Sistemas de Información y Tecnologia)</v>
      </c>
      <c r="Z53" s="160" t="str">
        <f>CONCATENATE(X53,"-",Y53)</f>
        <v>11-Infraestructura Tecnológica   (Sistemas de Información y Tecnologia)</v>
      </c>
      <c r="AA53" s="158" t="s">
        <v>228</v>
      </c>
      <c r="AB53" s="159" t="str">
        <f>IFERROR(VLOOKUP(AA53,TD!$N$51:$O$66,2,0)," ")</f>
        <v>Servicios tecnológicos</v>
      </c>
      <c r="AC53" s="160" t="str">
        <f>CONCATENATE(AA53,"_",AB53)</f>
        <v>007_Servicios tecnológicos</v>
      </c>
      <c r="AD53" s="160" t="str">
        <f>CONCATENATE(Z53," ",AC53)</f>
        <v>11-Infraestructura Tecnológica   (Sistemas de Información y Tecnologia) 007_Servicios tecnológicos</v>
      </c>
      <c r="AE53" s="159" t="str">
        <f>CONCATENATE(U53,V53,W53,X53,AA53)</f>
        <v>O23011745992024020711007</v>
      </c>
      <c r="AF53" s="159" t="str">
        <f>IFERROR(VLOOKUP(AD53,TD!$J$66:$K$89,2,0)," ")</f>
        <v>PM/0131/0111/45990070207</v>
      </c>
      <c r="AG53" s="118" t="s">
        <v>385</v>
      </c>
      <c r="AH53" s="158" t="s">
        <v>193</v>
      </c>
      <c r="AI53" s="161" t="str">
        <f>CONCATENATE(PAA[[#This Row],[Id Interno]],"-",PAA[[#This Row],[tipo de Contrato (TH talento humano - B/S bienes y/o servicios)]],"-",S53,"-",T53,"-",PAA[[#This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54" spans="2:35" ht="56" x14ac:dyDescent="0.35">
      <c r="B54" s="23">
        <v>20260012</v>
      </c>
      <c r="C54" s="121" t="s">
        <v>598</v>
      </c>
      <c r="D54" s="23" t="s">
        <v>105</v>
      </c>
      <c r="E54" s="23" t="s">
        <v>363</v>
      </c>
      <c r="F54" s="155" t="s">
        <v>144</v>
      </c>
      <c r="G54" s="156" t="s">
        <v>373</v>
      </c>
      <c r="H54" s="157">
        <v>12</v>
      </c>
      <c r="I54" s="157">
        <v>0</v>
      </c>
      <c r="J54" s="150">
        <v>66000000</v>
      </c>
      <c r="K54" s="88" t="s">
        <v>398</v>
      </c>
      <c r="L54" s="155" t="s">
        <v>151</v>
      </c>
      <c r="M54" s="158" t="s">
        <v>401</v>
      </c>
      <c r="N54" s="23" t="s">
        <v>197</v>
      </c>
      <c r="O54" s="151" t="s">
        <v>957</v>
      </c>
      <c r="P54" s="155" t="s">
        <v>348</v>
      </c>
      <c r="Q54" s="53">
        <v>80111600</v>
      </c>
      <c r="R54" s="158" t="s">
        <v>205</v>
      </c>
      <c r="S54" s="158" t="str">
        <f>MID(PAA[[#This Row],[Meta Proyecto de Inversión]],1,4)</f>
        <v>8126</v>
      </c>
      <c r="T54" s="158" t="str">
        <f>MID(PAA[[#This Row],[Meta Proyecto de Inversión]],6,1)</f>
        <v>6</v>
      </c>
      <c r="U54" s="159" t="str">
        <f>IFERROR(VLOOKUP(N54,TD!$B$50:$F$54,2,0)," ")</f>
        <v>O230117</v>
      </c>
      <c r="V54" s="159" t="str">
        <f>IFERROR(VLOOKUP(N54,TD!$B$50:$F$54,3,0)," ")</f>
        <v>4599</v>
      </c>
      <c r="W54" s="159">
        <f>IFERROR(VLOOKUP(N54,TD!$B$50:$F$54,4,0)," ")</f>
        <v>20240207</v>
      </c>
      <c r="X54" s="158" t="s">
        <v>168</v>
      </c>
      <c r="Y54" s="159" t="str">
        <f>IFERROR(VLOOKUP(X54,TD!$J$51:$K$64,2,0)," ")</f>
        <v>Infraestructura Tecnológica   (Sistemas de Información y Tecnologia)</v>
      </c>
      <c r="Z54" s="160" t="str">
        <f>CONCATENATE(X54,"-",Y54)</f>
        <v>11-Infraestructura Tecnológica   (Sistemas de Información y Tecnologia)</v>
      </c>
      <c r="AA54" s="158" t="s">
        <v>228</v>
      </c>
      <c r="AB54" s="159" t="str">
        <f>IFERROR(VLOOKUP(AA54,TD!$N$51:$O$66,2,0)," ")</f>
        <v>Servicios tecnológicos</v>
      </c>
      <c r="AC54" s="160" t="str">
        <f>CONCATENATE(AA54,"_",AB54)</f>
        <v>007_Servicios tecnológicos</v>
      </c>
      <c r="AD54" s="160" t="str">
        <f>CONCATENATE(Z54," ",AC54)</f>
        <v>11-Infraestructura Tecnológica   (Sistemas de Información y Tecnologia) 007_Servicios tecnológicos</v>
      </c>
      <c r="AE54" s="159" t="str">
        <f>CONCATENATE(U54,V54,W54,X54,AA54)</f>
        <v>O23011745992024020711007</v>
      </c>
      <c r="AF54" s="159" t="str">
        <f>IFERROR(VLOOKUP(AD54,TD!$J$66:$K$89,2,0)," ")</f>
        <v>PM/0131/0111/45990070207</v>
      </c>
      <c r="AG54" s="118" t="s">
        <v>385</v>
      </c>
      <c r="AH54" s="158" t="s">
        <v>193</v>
      </c>
      <c r="AI54" s="161" t="str">
        <f>CONCATENATE(PAA[[#This Row],[Id Interno]],"-",PAA[[#This Row],[tipo de Contrato (TH talento humano - B/S bienes y/o servicios)]],"-",S54,"-",T54,"-",PAA[[#This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55" spans="2:35" ht="56" x14ac:dyDescent="0.35">
      <c r="B55" s="23">
        <v>20260013</v>
      </c>
      <c r="C55" s="99" t="s">
        <v>599</v>
      </c>
      <c r="D55" s="23" t="s">
        <v>105</v>
      </c>
      <c r="E55" s="23" t="s">
        <v>363</v>
      </c>
      <c r="F55" s="155" t="s">
        <v>144</v>
      </c>
      <c r="G55" s="156" t="s">
        <v>374</v>
      </c>
      <c r="H55" s="157">
        <v>6</v>
      </c>
      <c r="I55" s="157">
        <v>0</v>
      </c>
      <c r="J55" s="150">
        <v>42000000</v>
      </c>
      <c r="K55" s="88" t="s">
        <v>398</v>
      </c>
      <c r="L55" s="155" t="s">
        <v>151</v>
      </c>
      <c r="M55" s="158" t="s">
        <v>401</v>
      </c>
      <c r="N55" s="23" t="s">
        <v>197</v>
      </c>
      <c r="O55" s="151" t="s">
        <v>957</v>
      </c>
      <c r="P55" s="155" t="s">
        <v>348</v>
      </c>
      <c r="Q55" s="53">
        <v>80111600</v>
      </c>
      <c r="R55" s="158" t="s">
        <v>203</v>
      </c>
      <c r="S55" s="158" t="str">
        <f>MID(PAA[[#This Row],[Meta Proyecto de Inversión]],1,4)</f>
        <v>8126</v>
      </c>
      <c r="T55" s="158" t="str">
        <f>MID(PAA[[#This Row],[Meta Proyecto de Inversión]],6,1)</f>
        <v>4</v>
      </c>
      <c r="U55" s="159" t="str">
        <f>IFERROR(VLOOKUP(N55,TD!$B$50:$F$54,2,0)," ")</f>
        <v>O230117</v>
      </c>
      <c r="V55" s="159" t="str">
        <f>IFERROR(VLOOKUP(N55,TD!$B$50:$F$54,3,0)," ")</f>
        <v>4599</v>
      </c>
      <c r="W55" s="159">
        <f>IFERROR(VLOOKUP(N55,TD!$B$50:$F$54,4,0)," ")</f>
        <v>20240207</v>
      </c>
      <c r="X55" s="158" t="s">
        <v>168</v>
      </c>
      <c r="Y55" s="159" t="str">
        <f>IFERROR(VLOOKUP(X55,TD!$J$51:$K$64,2,0)," ")</f>
        <v>Infraestructura Tecnológica   (Sistemas de Información y Tecnologia)</v>
      </c>
      <c r="Z55" s="160" t="str">
        <f>CONCATENATE(X55,"-",Y55)</f>
        <v>11-Infraestructura Tecnológica   (Sistemas de Información y Tecnologia)</v>
      </c>
      <c r="AA55" s="158" t="s">
        <v>228</v>
      </c>
      <c r="AB55" s="159" t="str">
        <f>IFERROR(VLOOKUP(AA55,TD!$N$51:$O$66,2,0)," ")</f>
        <v>Servicios tecnológicos</v>
      </c>
      <c r="AC55" s="160" t="str">
        <f>CONCATENATE(AA55,"_",AB55)</f>
        <v>007_Servicios tecnológicos</v>
      </c>
      <c r="AD55" s="160" t="str">
        <f>CONCATENATE(Z55," ",AC55)</f>
        <v>11-Infraestructura Tecnológica   (Sistemas de Información y Tecnologia) 007_Servicios tecnológicos</v>
      </c>
      <c r="AE55" s="159" t="str">
        <f>CONCATENATE(U55,V55,W55,X55,AA55)</f>
        <v>O23011745992024020711007</v>
      </c>
      <c r="AF55" s="159" t="str">
        <f>IFERROR(VLOOKUP(AD55,TD!$J$66:$K$89,2,0)," ")</f>
        <v>PM/0131/0111/45990070207</v>
      </c>
      <c r="AG55" s="118" t="s">
        <v>385</v>
      </c>
      <c r="AH55" s="158" t="s">
        <v>193</v>
      </c>
      <c r="AI55" s="161" t="str">
        <f>CONCATENATE(PAA[[#This Row],[Id Interno]],"-",PAA[[#This Row],[tipo de Contrato (TH talento humano - B/S bienes y/o servicios)]],"-",S55,"-",T55,"-",PAA[[#This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56" spans="2:35" ht="42" x14ac:dyDescent="0.35">
      <c r="B56" s="23">
        <v>20260014</v>
      </c>
      <c r="C56" s="99" t="s">
        <v>600</v>
      </c>
      <c r="D56" s="23" t="s">
        <v>105</v>
      </c>
      <c r="E56" s="23" t="s">
        <v>363</v>
      </c>
      <c r="F56" s="155" t="s">
        <v>145</v>
      </c>
      <c r="G56" s="156" t="s">
        <v>373</v>
      </c>
      <c r="H56" s="157">
        <v>6</v>
      </c>
      <c r="I56" s="157">
        <v>0</v>
      </c>
      <c r="J56" s="150">
        <v>28200000</v>
      </c>
      <c r="K56" s="88" t="s">
        <v>398</v>
      </c>
      <c r="L56" s="155" t="s">
        <v>151</v>
      </c>
      <c r="M56" s="158" t="s">
        <v>401</v>
      </c>
      <c r="N56" s="23" t="s">
        <v>197</v>
      </c>
      <c r="O56" s="151" t="s">
        <v>957</v>
      </c>
      <c r="P56" s="155" t="s">
        <v>348</v>
      </c>
      <c r="Q56" s="53">
        <v>80111600</v>
      </c>
      <c r="R56" s="158" t="s">
        <v>203</v>
      </c>
      <c r="S56" s="158" t="str">
        <f>MID(PAA[[#This Row],[Meta Proyecto de Inversión]],1,4)</f>
        <v>8126</v>
      </c>
      <c r="T56" s="158" t="str">
        <f>MID(PAA[[#This Row],[Meta Proyecto de Inversión]],6,1)</f>
        <v>4</v>
      </c>
      <c r="U56" s="159" t="str">
        <f>IFERROR(VLOOKUP(N56,TD!$B$50:$F$54,2,0)," ")</f>
        <v>O230117</v>
      </c>
      <c r="V56" s="159" t="str">
        <f>IFERROR(VLOOKUP(N56,TD!$B$50:$F$54,3,0)," ")</f>
        <v>4599</v>
      </c>
      <c r="W56" s="159">
        <f>IFERROR(VLOOKUP(N56,TD!$B$50:$F$54,4,0)," ")</f>
        <v>20240207</v>
      </c>
      <c r="X56" s="158" t="s">
        <v>168</v>
      </c>
      <c r="Y56" s="159" t="str">
        <f>IFERROR(VLOOKUP(X56,TD!$J$51:$K$64,2,0)," ")</f>
        <v>Infraestructura Tecnológica   (Sistemas de Información y Tecnologia)</v>
      </c>
      <c r="Z56" s="160" t="str">
        <f>CONCATENATE(X56,"-",Y56)</f>
        <v>11-Infraestructura Tecnológica   (Sistemas de Información y Tecnologia)</v>
      </c>
      <c r="AA56" s="158" t="s">
        <v>228</v>
      </c>
      <c r="AB56" s="159" t="str">
        <f>IFERROR(VLOOKUP(AA56,TD!$N$51:$O$66,2,0)," ")</f>
        <v>Servicios tecnológicos</v>
      </c>
      <c r="AC56" s="160" t="str">
        <f>CONCATENATE(AA56,"_",AB56)</f>
        <v>007_Servicios tecnológicos</v>
      </c>
      <c r="AD56" s="160" t="str">
        <f>CONCATENATE(Z56," ",AC56)</f>
        <v>11-Infraestructura Tecnológica   (Sistemas de Información y Tecnologia) 007_Servicios tecnológicos</v>
      </c>
      <c r="AE56" s="159" t="str">
        <f>CONCATENATE(U56,V56,W56,X56,AA56)</f>
        <v>O23011745992024020711007</v>
      </c>
      <c r="AF56" s="159" t="str">
        <f>IFERROR(VLOOKUP(AD56,TD!$J$66:$K$89,2,0)," ")</f>
        <v>PM/0131/0111/45990070207</v>
      </c>
      <c r="AG56" s="118" t="s">
        <v>385</v>
      </c>
      <c r="AH56" s="158" t="s">
        <v>193</v>
      </c>
      <c r="AI56" s="161" t="str">
        <f>CONCATENATE(PAA[[#This Row],[Id Interno]],"-",PAA[[#This Row],[tipo de Contrato (TH talento humano - B/S bienes y/o servicios)]],"-",S56,"-",T56,"-",PAA[[#This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57" spans="2:35" ht="56" x14ac:dyDescent="0.35">
      <c r="B57" s="23">
        <v>20260015</v>
      </c>
      <c r="C57" s="121" t="s">
        <v>595</v>
      </c>
      <c r="D57" s="23" t="s">
        <v>105</v>
      </c>
      <c r="E57" s="23" t="s">
        <v>363</v>
      </c>
      <c r="F57" s="155" t="s">
        <v>145</v>
      </c>
      <c r="G57" s="156" t="s">
        <v>373</v>
      </c>
      <c r="H57" s="157">
        <v>11</v>
      </c>
      <c r="I57" s="157">
        <v>0</v>
      </c>
      <c r="J57" s="150">
        <v>44000000</v>
      </c>
      <c r="K57" s="88" t="s">
        <v>398</v>
      </c>
      <c r="L57" s="155" t="s">
        <v>151</v>
      </c>
      <c r="M57" s="158" t="s">
        <v>401</v>
      </c>
      <c r="N57" s="23" t="s">
        <v>197</v>
      </c>
      <c r="O57" s="151" t="s">
        <v>957</v>
      </c>
      <c r="P57" s="155" t="s">
        <v>348</v>
      </c>
      <c r="Q57" s="53">
        <v>80111600</v>
      </c>
      <c r="R57" s="158" t="s">
        <v>204</v>
      </c>
      <c r="S57" s="158" t="str">
        <f>MID(PAA[[#This Row],[Meta Proyecto de Inversión]],1,4)</f>
        <v>8126</v>
      </c>
      <c r="T57" s="158" t="str">
        <f>MID(PAA[[#This Row],[Meta Proyecto de Inversión]],6,1)</f>
        <v>5</v>
      </c>
      <c r="U57" s="159" t="str">
        <f>IFERROR(VLOOKUP(N57,TD!$B$50:$F$54,2,0)," ")</f>
        <v>O230117</v>
      </c>
      <c r="V57" s="159" t="str">
        <f>IFERROR(VLOOKUP(N57,TD!$B$50:$F$54,3,0)," ")</f>
        <v>4599</v>
      </c>
      <c r="W57" s="159">
        <f>IFERROR(VLOOKUP(N57,TD!$B$50:$F$54,4,0)," ")</f>
        <v>20240207</v>
      </c>
      <c r="X57" s="158" t="s">
        <v>168</v>
      </c>
      <c r="Y57" s="159" t="str">
        <f>IFERROR(VLOOKUP(X57,TD!$J$51:$K$64,2,0)," ")</f>
        <v>Infraestructura Tecnológica   (Sistemas de Información y Tecnologia)</v>
      </c>
      <c r="Z57" s="160" t="str">
        <f>CONCATENATE(X57,"-",Y57)</f>
        <v>11-Infraestructura Tecnológica   (Sistemas de Información y Tecnologia)</v>
      </c>
      <c r="AA57" s="158" t="s">
        <v>228</v>
      </c>
      <c r="AB57" s="159" t="str">
        <f>IFERROR(VLOOKUP(AA57,TD!$N$51:$O$66,2,0)," ")</f>
        <v>Servicios tecnológicos</v>
      </c>
      <c r="AC57" s="160" t="str">
        <f>CONCATENATE(AA57,"_",AB57)</f>
        <v>007_Servicios tecnológicos</v>
      </c>
      <c r="AD57" s="160" t="str">
        <f>CONCATENATE(Z57," ",AC57)</f>
        <v>11-Infraestructura Tecnológica   (Sistemas de Información y Tecnologia) 007_Servicios tecnológicos</v>
      </c>
      <c r="AE57" s="159" t="str">
        <f>CONCATENATE(U57,V57,W57,X57,AA57)</f>
        <v>O23011745992024020711007</v>
      </c>
      <c r="AF57" s="159" t="str">
        <f>IFERROR(VLOOKUP(AD57,TD!$J$66:$K$89,2,0)," ")</f>
        <v>PM/0131/0111/45990070207</v>
      </c>
      <c r="AG57" s="118" t="s">
        <v>385</v>
      </c>
      <c r="AH57" s="158" t="s">
        <v>193</v>
      </c>
      <c r="AI57" s="161" t="str">
        <f>CONCATENATE(PAA[[#This Row],[Id Interno]],"-",PAA[[#This Row],[tipo de Contrato (TH talento humano - B/S bienes y/o servicios)]],"-",S57,"-",T57,"-",PAA[[#This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58" spans="2:35" ht="56" x14ac:dyDescent="0.35">
      <c r="B58" s="23">
        <v>20260016</v>
      </c>
      <c r="C58" s="99" t="s">
        <v>601</v>
      </c>
      <c r="D58" s="23" t="s">
        <v>105</v>
      </c>
      <c r="E58" s="23" t="s">
        <v>363</v>
      </c>
      <c r="F58" s="155" t="s">
        <v>145</v>
      </c>
      <c r="G58" s="156" t="s">
        <v>373</v>
      </c>
      <c r="H58" s="157">
        <v>11</v>
      </c>
      <c r="I58" s="157">
        <v>0</v>
      </c>
      <c r="J58" s="150">
        <v>44000000</v>
      </c>
      <c r="K58" s="88" t="s">
        <v>398</v>
      </c>
      <c r="L58" s="155" t="s">
        <v>151</v>
      </c>
      <c r="M58" s="158" t="s">
        <v>401</v>
      </c>
      <c r="N58" s="23" t="s">
        <v>197</v>
      </c>
      <c r="O58" s="151" t="s">
        <v>957</v>
      </c>
      <c r="P58" s="155" t="s">
        <v>348</v>
      </c>
      <c r="Q58" s="53">
        <v>80111600</v>
      </c>
      <c r="R58" s="158" t="s">
        <v>205</v>
      </c>
      <c r="S58" s="158" t="str">
        <f>MID(PAA[[#This Row],[Meta Proyecto de Inversión]],1,4)</f>
        <v>8126</v>
      </c>
      <c r="T58" s="158" t="str">
        <f>MID(PAA[[#This Row],[Meta Proyecto de Inversión]],6,1)</f>
        <v>6</v>
      </c>
      <c r="U58" s="159" t="str">
        <f>IFERROR(VLOOKUP(N58,TD!$B$50:$F$54,2,0)," ")</f>
        <v>O230117</v>
      </c>
      <c r="V58" s="159" t="str">
        <f>IFERROR(VLOOKUP(N58,TD!$B$50:$F$54,3,0)," ")</f>
        <v>4599</v>
      </c>
      <c r="W58" s="159">
        <f>IFERROR(VLOOKUP(N58,TD!$B$50:$F$54,4,0)," ")</f>
        <v>20240207</v>
      </c>
      <c r="X58" s="158" t="s">
        <v>168</v>
      </c>
      <c r="Y58" s="159" t="str">
        <f>IFERROR(VLOOKUP(X58,TD!$J$51:$K$64,2,0)," ")</f>
        <v>Infraestructura Tecnológica   (Sistemas de Información y Tecnologia)</v>
      </c>
      <c r="Z58" s="160" t="str">
        <f>CONCATENATE(X58,"-",Y58)</f>
        <v>11-Infraestructura Tecnológica   (Sistemas de Información y Tecnologia)</v>
      </c>
      <c r="AA58" s="158" t="s">
        <v>228</v>
      </c>
      <c r="AB58" s="159" t="str">
        <f>IFERROR(VLOOKUP(AA58,TD!$N$51:$O$66,2,0)," ")</f>
        <v>Servicios tecnológicos</v>
      </c>
      <c r="AC58" s="160" t="str">
        <f>CONCATENATE(AA58,"_",AB58)</f>
        <v>007_Servicios tecnológicos</v>
      </c>
      <c r="AD58" s="160" t="str">
        <f>CONCATENATE(Z58," ",AC58)</f>
        <v>11-Infraestructura Tecnológica   (Sistemas de Información y Tecnologia) 007_Servicios tecnológicos</v>
      </c>
      <c r="AE58" s="159" t="str">
        <f>CONCATENATE(U58,V58,W58,X58,AA58)</f>
        <v>O23011745992024020711007</v>
      </c>
      <c r="AF58" s="159" t="str">
        <f>IFERROR(VLOOKUP(AD58,TD!$J$66:$K$89,2,0)," ")</f>
        <v>PM/0131/0111/45990070207</v>
      </c>
      <c r="AG58" s="118" t="s">
        <v>385</v>
      </c>
      <c r="AH58" s="158" t="s">
        <v>193</v>
      </c>
      <c r="AI58" s="161" t="str">
        <f>CONCATENATE(PAA[[#This Row],[Id Interno]],"-",PAA[[#This Row],[tipo de Contrato (TH talento humano - B/S bienes y/o servicios)]],"-",S58,"-",T58,"-",PAA[[#This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59" spans="2:35" ht="42" x14ac:dyDescent="0.35">
      <c r="B59" s="23">
        <v>20260017</v>
      </c>
      <c r="C59" s="99" t="s">
        <v>602</v>
      </c>
      <c r="D59" s="23" t="s">
        <v>105</v>
      </c>
      <c r="E59" s="23" t="s">
        <v>363</v>
      </c>
      <c r="F59" s="155" t="s">
        <v>144</v>
      </c>
      <c r="G59" s="156" t="s">
        <v>373</v>
      </c>
      <c r="H59" s="157">
        <v>10</v>
      </c>
      <c r="I59" s="157">
        <v>0</v>
      </c>
      <c r="J59" s="150">
        <v>78000000</v>
      </c>
      <c r="K59" s="88" t="s">
        <v>398</v>
      </c>
      <c r="L59" s="155" t="s">
        <v>151</v>
      </c>
      <c r="M59" s="158" t="s">
        <v>401</v>
      </c>
      <c r="N59" s="23" t="s">
        <v>197</v>
      </c>
      <c r="O59" s="151" t="s">
        <v>957</v>
      </c>
      <c r="P59" s="155" t="s">
        <v>348</v>
      </c>
      <c r="Q59" s="53">
        <v>80111600</v>
      </c>
      <c r="R59" s="158" t="s">
        <v>205</v>
      </c>
      <c r="S59" s="158" t="str">
        <f>MID(PAA[[#This Row],[Meta Proyecto de Inversión]],1,4)</f>
        <v>8126</v>
      </c>
      <c r="T59" s="158" t="str">
        <f>MID(PAA[[#This Row],[Meta Proyecto de Inversión]],6,1)</f>
        <v>6</v>
      </c>
      <c r="U59" s="159" t="str">
        <f>IFERROR(VLOOKUP(N59,TD!$B$50:$F$54,2,0)," ")</f>
        <v>O230117</v>
      </c>
      <c r="V59" s="159" t="str">
        <f>IFERROR(VLOOKUP(N59,TD!$B$50:$F$54,3,0)," ")</f>
        <v>4599</v>
      </c>
      <c r="W59" s="159">
        <f>IFERROR(VLOOKUP(N59,TD!$B$50:$F$54,4,0)," ")</f>
        <v>20240207</v>
      </c>
      <c r="X59" s="158" t="s">
        <v>168</v>
      </c>
      <c r="Y59" s="159" t="str">
        <f>IFERROR(VLOOKUP(X59,TD!$J$51:$K$64,2,0)," ")</f>
        <v>Infraestructura Tecnológica   (Sistemas de Información y Tecnologia)</v>
      </c>
      <c r="Z59" s="160" t="str">
        <f>CONCATENATE(X59,"-",Y59)</f>
        <v>11-Infraestructura Tecnológica   (Sistemas de Información y Tecnologia)</v>
      </c>
      <c r="AA59" s="158" t="s">
        <v>228</v>
      </c>
      <c r="AB59" s="159" t="str">
        <f>IFERROR(VLOOKUP(AA59,TD!$N$51:$O$66,2,0)," ")</f>
        <v>Servicios tecnológicos</v>
      </c>
      <c r="AC59" s="160" t="str">
        <f>CONCATENATE(AA59,"_",AB59)</f>
        <v>007_Servicios tecnológicos</v>
      </c>
      <c r="AD59" s="160" t="str">
        <f>CONCATENATE(Z59," ",AC59)</f>
        <v>11-Infraestructura Tecnológica   (Sistemas de Información y Tecnologia) 007_Servicios tecnológicos</v>
      </c>
      <c r="AE59" s="159" t="str">
        <f>CONCATENATE(U59,V59,W59,X59,AA59)</f>
        <v>O23011745992024020711007</v>
      </c>
      <c r="AF59" s="159" t="str">
        <f>IFERROR(VLOOKUP(AD59,TD!$J$66:$K$89,2,0)," ")</f>
        <v>PM/0131/0111/45990070207</v>
      </c>
      <c r="AG59" s="118" t="s">
        <v>385</v>
      </c>
      <c r="AH59" s="158" t="s">
        <v>193</v>
      </c>
      <c r="AI59" s="161" t="str">
        <f>CONCATENATE(PAA[[#This Row],[Id Interno]],"-",PAA[[#This Row],[tipo de Contrato (TH talento humano - B/S bienes y/o servicios)]],"-",S59,"-",T59,"-",PAA[[#This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60" spans="2:35" ht="56" x14ac:dyDescent="0.35">
      <c r="B60" s="23">
        <v>20260018</v>
      </c>
      <c r="C60" s="121" t="s">
        <v>603</v>
      </c>
      <c r="D60" s="23" t="s">
        <v>105</v>
      </c>
      <c r="E60" s="23" t="s">
        <v>363</v>
      </c>
      <c r="F60" s="155" t="s">
        <v>144</v>
      </c>
      <c r="G60" s="156" t="s">
        <v>373</v>
      </c>
      <c r="H60" s="157">
        <v>10</v>
      </c>
      <c r="I60" s="157">
        <v>0</v>
      </c>
      <c r="J60" s="150">
        <v>75000000</v>
      </c>
      <c r="K60" s="88" t="s">
        <v>398</v>
      </c>
      <c r="L60" s="155" t="s">
        <v>151</v>
      </c>
      <c r="M60" s="158" t="s">
        <v>401</v>
      </c>
      <c r="N60" s="23" t="s">
        <v>197</v>
      </c>
      <c r="O60" s="151" t="s">
        <v>957</v>
      </c>
      <c r="P60" s="155" t="s">
        <v>348</v>
      </c>
      <c r="Q60" s="53">
        <v>80111600</v>
      </c>
      <c r="R60" s="158" t="s">
        <v>204</v>
      </c>
      <c r="S60" s="158" t="str">
        <f>MID(PAA[[#This Row],[Meta Proyecto de Inversión]],1,4)</f>
        <v>8126</v>
      </c>
      <c r="T60" s="158" t="str">
        <f>MID(PAA[[#This Row],[Meta Proyecto de Inversión]],6,1)</f>
        <v>5</v>
      </c>
      <c r="U60" s="159" t="str">
        <f>IFERROR(VLOOKUP(N60,TD!$B$50:$F$54,2,0)," ")</f>
        <v>O230117</v>
      </c>
      <c r="V60" s="159" t="str">
        <f>IFERROR(VLOOKUP(N60,TD!$B$50:$F$54,3,0)," ")</f>
        <v>4599</v>
      </c>
      <c r="W60" s="159">
        <f>IFERROR(VLOOKUP(N60,TD!$B$50:$F$54,4,0)," ")</f>
        <v>20240207</v>
      </c>
      <c r="X60" s="158" t="s">
        <v>168</v>
      </c>
      <c r="Y60" s="159" t="str">
        <f>IFERROR(VLOOKUP(X60,TD!$J$51:$K$64,2,0)," ")</f>
        <v>Infraestructura Tecnológica   (Sistemas de Información y Tecnologia)</v>
      </c>
      <c r="Z60" s="160" t="str">
        <f>CONCATENATE(X60,"-",Y60)</f>
        <v>11-Infraestructura Tecnológica   (Sistemas de Información y Tecnologia)</v>
      </c>
      <c r="AA60" s="158" t="s">
        <v>228</v>
      </c>
      <c r="AB60" s="159" t="str">
        <f>IFERROR(VLOOKUP(AA60,TD!$N$51:$O$66,2,0)," ")</f>
        <v>Servicios tecnológicos</v>
      </c>
      <c r="AC60" s="160" t="str">
        <f>CONCATENATE(AA60,"_",AB60)</f>
        <v>007_Servicios tecnológicos</v>
      </c>
      <c r="AD60" s="160" t="str">
        <f>CONCATENATE(Z60," ",AC60)</f>
        <v>11-Infraestructura Tecnológica   (Sistemas de Información y Tecnologia) 007_Servicios tecnológicos</v>
      </c>
      <c r="AE60" s="159" t="str">
        <f>CONCATENATE(U60,V60,W60,X60,AA60)</f>
        <v>O23011745992024020711007</v>
      </c>
      <c r="AF60" s="159" t="str">
        <f>IFERROR(VLOOKUP(AD60,TD!$J$66:$K$89,2,0)," ")</f>
        <v>PM/0131/0111/45990070207</v>
      </c>
      <c r="AG60" s="118" t="s">
        <v>385</v>
      </c>
      <c r="AH60" s="158" t="s">
        <v>193</v>
      </c>
      <c r="AI60" s="161" t="str">
        <f>CONCATENATE(PAA[[#This Row],[Id Interno]],"-",PAA[[#This Row],[tipo de Contrato (TH talento humano - B/S bienes y/o servicios)]],"-",S60,"-",T60,"-",PAA[[#This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61" spans="2:35" ht="126" x14ac:dyDescent="0.35">
      <c r="B61" s="23">
        <v>20260019</v>
      </c>
      <c r="C61" s="121" t="s">
        <v>599</v>
      </c>
      <c r="D61" s="23" t="s">
        <v>105</v>
      </c>
      <c r="E61" s="23" t="s">
        <v>363</v>
      </c>
      <c r="F61" s="155" t="s">
        <v>144</v>
      </c>
      <c r="G61" s="156" t="s">
        <v>374</v>
      </c>
      <c r="H61" s="157">
        <v>6</v>
      </c>
      <c r="I61" s="157">
        <v>0</v>
      </c>
      <c r="J61" s="150">
        <v>42000000</v>
      </c>
      <c r="K61" s="88" t="s">
        <v>398</v>
      </c>
      <c r="L61" s="155" t="s">
        <v>151</v>
      </c>
      <c r="M61" s="158" t="s">
        <v>401</v>
      </c>
      <c r="N61" s="23" t="s">
        <v>197</v>
      </c>
      <c r="O61" s="151" t="s">
        <v>957</v>
      </c>
      <c r="P61" s="155" t="s">
        <v>348</v>
      </c>
      <c r="Q61" s="53">
        <v>80111600</v>
      </c>
      <c r="R61" s="158" t="s">
        <v>203</v>
      </c>
      <c r="S61" s="158" t="str">
        <f>MID(PAA[[#This Row],[Meta Proyecto de Inversión]],1,4)</f>
        <v>8126</v>
      </c>
      <c r="T61" s="158" t="str">
        <f>MID(PAA[[#This Row],[Meta Proyecto de Inversión]],6,1)</f>
        <v>4</v>
      </c>
      <c r="U61" s="159" t="str">
        <f>IFERROR(VLOOKUP(N61,TD!$B$50:$F$54,2,0)," ")</f>
        <v>O230117</v>
      </c>
      <c r="V61" s="159" t="str">
        <f>IFERROR(VLOOKUP(N61,TD!$B$50:$F$54,3,0)," ")</f>
        <v>4599</v>
      </c>
      <c r="W61" s="159">
        <f>IFERROR(VLOOKUP(N61,TD!$B$50:$F$54,4,0)," ")</f>
        <v>20240207</v>
      </c>
      <c r="X61" s="158" t="s">
        <v>168</v>
      </c>
      <c r="Y61" s="159" t="str">
        <f>IFERROR(VLOOKUP(X61,TD!$J$51:$K$64,2,0)," ")</f>
        <v>Infraestructura Tecnológica   (Sistemas de Información y Tecnologia)</v>
      </c>
      <c r="Z61" s="160" t="str">
        <f>CONCATENATE(X61,"-",Y61)</f>
        <v>11-Infraestructura Tecnológica   (Sistemas de Información y Tecnologia)</v>
      </c>
      <c r="AA61" s="158" t="s">
        <v>228</v>
      </c>
      <c r="AB61" s="159" t="str">
        <f>IFERROR(VLOOKUP(AA61,TD!$N$51:$O$66,2,0)," ")</f>
        <v>Servicios tecnológicos</v>
      </c>
      <c r="AC61" s="160" t="str">
        <f>CONCATENATE(AA61,"_",AB61)</f>
        <v>007_Servicios tecnológicos</v>
      </c>
      <c r="AD61" s="160" t="str">
        <f>CONCATENATE(Z61," ",AC61)</f>
        <v>11-Infraestructura Tecnológica   (Sistemas de Información y Tecnologia) 007_Servicios tecnológicos</v>
      </c>
      <c r="AE61" s="159" t="str">
        <f>CONCATENATE(U61,V61,W61,X61,AA61)</f>
        <v>O23011745992024020711007</v>
      </c>
      <c r="AF61" s="159" t="str">
        <f>IFERROR(VLOOKUP(AD61,TD!$J$66:$K$89,2,0)," ")</f>
        <v>PM/0131/0111/45990070207</v>
      </c>
      <c r="AG61" s="118" t="s">
        <v>385</v>
      </c>
      <c r="AH61" s="158" t="s">
        <v>193</v>
      </c>
      <c r="AI61" s="161" t="str">
        <f>CONCATENATE(PAA[[#This Row],[Id Interno]],"-",PAA[[#This Row],[tipo de Contrato (TH talento humano - B/S bienes y/o servicios)]],"-",S61,"-",T61,"-",PAA[[#This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62" spans="2:35" ht="126" x14ac:dyDescent="0.35">
      <c r="B62" s="23">
        <v>20260020</v>
      </c>
      <c r="C62" s="99" t="s">
        <v>604</v>
      </c>
      <c r="D62" s="23" t="s">
        <v>105</v>
      </c>
      <c r="E62" s="23" t="s">
        <v>363</v>
      </c>
      <c r="F62" s="155" t="s">
        <v>144</v>
      </c>
      <c r="G62" s="156" t="s">
        <v>374</v>
      </c>
      <c r="H62" s="157">
        <v>10</v>
      </c>
      <c r="I62" s="157">
        <v>0</v>
      </c>
      <c r="J62" s="150">
        <v>78000000</v>
      </c>
      <c r="K62" s="88" t="s">
        <v>398</v>
      </c>
      <c r="L62" s="155" t="s">
        <v>151</v>
      </c>
      <c r="M62" s="158" t="s">
        <v>401</v>
      </c>
      <c r="N62" s="23" t="s">
        <v>197</v>
      </c>
      <c r="O62" s="151" t="s">
        <v>957</v>
      </c>
      <c r="P62" s="155" t="s">
        <v>348</v>
      </c>
      <c r="Q62" s="53">
        <v>80111600</v>
      </c>
      <c r="R62" s="158" t="s">
        <v>204</v>
      </c>
      <c r="S62" s="158" t="str">
        <f>MID(PAA[[#This Row],[Meta Proyecto de Inversión]],1,4)</f>
        <v>8126</v>
      </c>
      <c r="T62" s="158" t="str">
        <f>MID(PAA[[#This Row],[Meta Proyecto de Inversión]],6,1)</f>
        <v>5</v>
      </c>
      <c r="U62" s="159" t="str">
        <f>IFERROR(VLOOKUP(N62,TD!$B$50:$F$54,2,0)," ")</f>
        <v>O230117</v>
      </c>
      <c r="V62" s="159" t="str">
        <f>IFERROR(VLOOKUP(N62,TD!$B$50:$F$54,3,0)," ")</f>
        <v>4599</v>
      </c>
      <c r="W62" s="159">
        <f>IFERROR(VLOOKUP(N62,TD!$B$50:$F$54,4,0)," ")</f>
        <v>20240207</v>
      </c>
      <c r="X62" s="158" t="s">
        <v>168</v>
      </c>
      <c r="Y62" s="159" t="str">
        <f>IFERROR(VLOOKUP(X62,TD!$J$51:$K$64,2,0)," ")</f>
        <v>Infraestructura Tecnológica   (Sistemas de Información y Tecnologia)</v>
      </c>
      <c r="Z62" s="160" t="str">
        <f>CONCATENATE(X62,"-",Y62)</f>
        <v>11-Infraestructura Tecnológica   (Sistemas de Información y Tecnologia)</v>
      </c>
      <c r="AA62" s="158" t="s">
        <v>228</v>
      </c>
      <c r="AB62" s="159" t="str">
        <f>IFERROR(VLOOKUP(AA62,TD!$N$51:$O$66,2,0)," ")</f>
        <v>Servicios tecnológicos</v>
      </c>
      <c r="AC62" s="160" t="str">
        <f>CONCATENATE(AA62,"_",AB62)</f>
        <v>007_Servicios tecnológicos</v>
      </c>
      <c r="AD62" s="160" t="str">
        <f>CONCATENATE(Z62," ",AC62)</f>
        <v>11-Infraestructura Tecnológica   (Sistemas de Información y Tecnologia) 007_Servicios tecnológicos</v>
      </c>
      <c r="AE62" s="159" t="str">
        <f>CONCATENATE(U62,V62,W62,X62,AA62)</f>
        <v>O23011745992024020711007</v>
      </c>
      <c r="AF62" s="159" t="str">
        <f>IFERROR(VLOOKUP(AD62,TD!$J$66:$K$89,2,0)," ")</f>
        <v>PM/0131/0111/45990070207</v>
      </c>
      <c r="AG62" s="118" t="s">
        <v>385</v>
      </c>
      <c r="AH62" s="158" t="s">
        <v>193</v>
      </c>
      <c r="AI62" s="161" t="str">
        <f>CONCATENATE(PAA[[#This Row],[Id Interno]],"-",PAA[[#This Row],[tipo de Contrato (TH talento humano - B/S bienes y/o servicios)]],"-",S62,"-",T62,"-",PAA[[#This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63" spans="2:35" ht="56" x14ac:dyDescent="0.35">
      <c r="B63" s="23">
        <v>20260021</v>
      </c>
      <c r="C63" s="121" t="s">
        <v>605</v>
      </c>
      <c r="D63" s="23" t="s">
        <v>105</v>
      </c>
      <c r="E63" s="23" t="s">
        <v>363</v>
      </c>
      <c r="F63" s="155" t="s">
        <v>144</v>
      </c>
      <c r="G63" s="156" t="s">
        <v>374</v>
      </c>
      <c r="H63" s="157">
        <v>11</v>
      </c>
      <c r="I63" s="157">
        <v>0</v>
      </c>
      <c r="J63" s="150">
        <v>55000000</v>
      </c>
      <c r="K63" s="88" t="s">
        <v>398</v>
      </c>
      <c r="L63" s="155" t="s">
        <v>151</v>
      </c>
      <c r="M63" s="158" t="s">
        <v>401</v>
      </c>
      <c r="N63" s="23" t="s">
        <v>197</v>
      </c>
      <c r="O63" s="151" t="s">
        <v>957</v>
      </c>
      <c r="P63" s="155" t="s">
        <v>348</v>
      </c>
      <c r="Q63" s="53">
        <v>80111600</v>
      </c>
      <c r="R63" s="158" t="s">
        <v>206</v>
      </c>
      <c r="S63" s="158" t="str">
        <f>MID(PAA[[#This Row],[Meta Proyecto de Inversión]],1,4)</f>
        <v>8126</v>
      </c>
      <c r="T63" s="158" t="str">
        <f>MID(PAA[[#This Row],[Meta Proyecto de Inversión]],6,1)</f>
        <v>7</v>
      </c>
      <c r="U63" s="159" t="str">
        <f>IFERROR(VLOOKUP(N63,TD!$B$50:$F$54,2,0)," ")</f>
        <v>O230117</v>
      </c>
      <c r="V63" s="159" t="str">
        <f>IFERROR(VLOOKUP(N63,TD!$B$50:$F$54,3,0)," ")</f>
        <v>4599</v>
      </c>
      <c r="W63" s="159">
        <f>IFERROR(VLOOKUP(N63,TD!$B$50:$F$54,4,0)," ")</f>
        <v>20240207</v>
      </c>
      <c r="X63" s="158" t="s">
        <v>168</v>
      </c>
      <c r="Y63" s="159" t="str">
        <f>IFERROR(VLOOKUP(X63,TD!$J$51:$K$64,2,0)," ")</f>
        <v>Infraestructura Tecnológica   (Sistemas de Información y Tecnologia)</v>
      </c>
      <c r="Z63" s="160" t="str">
        <f>CONCATENATE(X63,"-",Y63)</f>
        <v>11-Infraestructura Tecnológica   (Sistemas de Información y Tecnologia)</v>
      </c>
      <c r="AA63" s="158" t="s">
        <v>228</v>
      </c>
      <c r="AB63" s="159" t="str">
        <f>IFERROR(VLOOKUP(AA63,TD!$N$51:$O$66,2,0)," ")</f>
        <v>Servicios tecnológicos</v>
      </c>
      <c r="AC63" s="160" t="str">
        <f>CONCATENATE(AA63,"_",AB63)</f>
        <v>007_Servicios tecnológicos</v>
      </c>
      <c r="AD63" s="160" t="str">
        <f>CONCATENATE(Z63," ",AC63)</f>
        <v>11-Infraestructura Tecnológica   (Sistemas de Información y Tecnologia) 007_Servicios tecnológicos</v>
      </c>
      <c r="AE63" s="159" t="str">
        <f>CONCATENATE(U63,V63,W63,X63,AA63)</f>
        <v>O23011745992024020711007</v>
      </c>
      <c r="AF63" s="159" t="str">
        <f>IFERROR(VLOOKUP(AD63,TD!$J$66:$K$89,2,0)," ")</f>
        <v>PM/0131/0111/45990070207</v>
      </c>
      <c r="AG63" s="118" t="s">
        <v>385</v>
      </c>
      <c r="AH63" s="158" t="s">
        <v>193</v>
      </c>
      <c r="AI63" s="161" t="str">
        <f>CONCATENATE(PAA[[#This Row],[Id Interno]],"-",PAA[[#This Row],[tipo de Contrato (TH talento humano - B/S bienes y/o servicios)]],"-",S63,"-",T63,"-",PAA[[#This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64" spans="2:35" ht="42" x14ac:dyDescent="0.35">
      <c r="B64" s="23">
        <v>20260022</v>
      </c>
      <c r="C64" s="99" t="s">
        <v>606</v>
      </c>
      <c r="D64" s="23" t="s">
        <v>105</v>
      </c>
      <c r="E64" s="23" t="s">
        <v>363</v>
      </c>
      <c r="F64" s="155" t="s">
        <v>144</v>
      </c>
      <c r="G64" s="156" t="s">
        <v>374</v>
      </c>
      <c r="H64" s="157">
        <v>6</v>
      </c>
      <c r="I64" s="157">
        <v>0</v>
      </c>
      <c r="J64" s="150">
        <v>30000000</v>
      </c>
      <c r="K64" s="88" t="s">
        <v>398</v>
      </c>
      <c r="L64" s="155" t="s">
        <v>151</v>
      </c>
      <c r="M64" s="158" t="s">
        <v>401</v>
      </c>
      <c r="N64" s="23" t="s">
        <v>197</v>
      </c>
      <c r="O64" s="151" t="s">
        <v>957</v>
      </c>
      <c r="P64" s="155" t="s">
        <v>348</v>
      </c>
      <c r="Q64" s="53">
        <v>80111600</v>
      </c>
      <c r="R64" s="158" t="s">
        <v>203</v>
      </c>
      <c r="S64" s="158" t="str">
        <f>MID(PAA[[#This Row],[Meta Proyecto de Inversión]],1,4)</f>
        <v>8126</v>
      </c>
      <c r="T64" s="158" t="str">
        <f>MID(PAA[[#This Row],[Meta Proyecto de Inversión]],6,1)</f>
        <v>4</v>
      </c>
      <c r="U64" s="159" t="str">
        <f>IFERROR(VLOOKUP(N64,TD!$B$50:$F$54,2,0)," ")</f>
        <v>O230117</v>
      </c>
      <c r="V64" s="159" t="str">
        <f>IFERROR(VLOOKUP(N64,TD!$B$50:$F$54,3,0)," ")</f>
        <v>4599</v>
      </c>
      <c r="W64" s="159">
        <f>IFERROR(VLOOKUP(N64,TD!$B$50:$F$54,4,0)," ")</f>
        <v>20240207</v>
      </c>
      <c r="X64" s="158" t="s">
        <v>168</v>
      </c>
      <c r="Y64" s="159" t="str">
        <f>IFERROR(VLOOKUP(X64,TD!$J$51:$K$64,2,0)," ")</f>
        <v>Infraestructura Tecnológica   (Sistemas de Información y Tecnologia)</v>
      </c>
      <c r="Z64" s="160" t="str">
        <f>CONCATENATE(X64,"-",Y64)</f>
        <v>11-Infraestructura Tecnológica   (Sistemas de Información y Tecnologia)</v>
      </c>
      <c r="AA64" s="158" t="s">
        <v>228</v>
      </c>
      <c r="AB64" s="159" t="str">
        <f>IFERROR(VLOOKUP(AA64,TD!$N$51:$O$66,2,0)," ")</f>
        <v>Servicios tecnológicos</v>
      </c>
      <c r="AC64" s="160" t="str">
        <f>CONCATENATE(AA64,"_",AB64)</f>
        <v>007_Servicios tecnológicos</v>
      </c>
      <c r="AD64" s="160" t="str">
        <f>CONCATENATE(Z64," ",AC64)</f>
        <v>11-Infraestructura Tecnológica   (Sistemas de Información y Tecnologia) 007_Servicios tecnológicos</v>
      </c>
      <c r="AE64" s="159" t="str">
        <f>CONCATENATE(U64,V64,W64,X64,AA64)</f>
        <v>O23011745992024020711007</v>
      </c>
      <c r="AF64" s="159" t="str">
        <f>IFERROR(VLOOKUP(AD64,TD!$J$66:$K$89,2,0)," ")</f>
        <v>PM/0131/0111/45990070207</v>
      </c>
      <c r="AG64" s="118" t="s">
        <v>385</v>
      </c>
      <c r="AH64" s="158" t="s">
        <v>193</v>
      </c>
      <c r="AI64" s="161" t="str">
        <f>CONCATENATE(PAA[[#This Row],[Id Interno]],"-",PAA[[#This Row],[tipo de Contrato (TH talento humano - B/S bienes y/o servicios)]],"-",S64,"-",T64,"-",PAA[[#This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65" spans="2:35" ht="28" x14ac:dyDescent="0.35">
      <c r="B65" s="23">
        <v>20260023</v>
      </c>
      <c r="C65" s="121" t="s">
        <v>607</v>
      </c>
      <c r="D65" s="23" t="s">
        <v>105</v>
      </c>
      <c r="E65" s="23" t="s">
        <v>363</v>
      </c>
      <c r="F65" s="155" t="s">
        <v>145</v>
      </c>
      <c r="G65" s="156" t="s">
        <v>373</v>
      </c>
      <c r="H65" s="157">
        <v>10</v>
      </c>
      <c r="I65" s="157">
        <v>0</v>
      </c>
      <c r="J65" s="150">
        <v>40000000</v>
      </c>
      <c r="K65" s="88" t="s">
        <v>398</v>
      </c>
      <c r="L65" s="155" t="s">
        <v>151</v>
      </c>
      <c r="M65" s="158" t="s">
        <v>401</v>
      </c>
      <c r="N65" s="23" t="s">
        <v>197</v>
      </c>
      <c r="O65" s="151" t="s">
        <v>957</v>
      </c>
      <c r="P65" s="155" t="s">
        <v>348</v>
      </c>
      <c r="Q65" s="53">
        <v>80111600</v>
      </c>
      <c r="R65" s="158" t="s">
        <v>205</v>
      </c>
      <c r="S65" s="158" t="str">
        <f>MID(PAA[[#This Row],[Meta Proyecto de Inversión]],1,4)</f>
        <v>8126</v>
      </c>
      <c r="T65" s="158" t="str">
        <f>MID(PAA[[#This Row],[Meta Proyecto de Inversión]],6,1)</f>
        <v>6</v>
      </c>
      <c r="U65" s="159" t="str">
        <f>IFERROR(VLOOKUP(N65,TD!$B$50:$F$54,2,0)," ")</f>
        <v>O230117</v>
      </c>
      <c r="V65" s="159" t="str">
        <f>IFERROR(VLOOKUP(N65,TD!$B$50:$F$54,3,0)," ")</f>
        <v>4599</v>
      </c>
      <c r="W65" s="159">
        <f>IFERROR(VLOOKUP(N65,TD!$B$50:$F$54,4,0)," ")</f>
        <v>20240207</v>
      </c>
      <c r="X65" s="158" t="s">
        <v>168</v>
      </c>
      <c r="Y65" s="159" t="str">
        <f>IFERROR(VLOOKUP(X65,TD!$J$51:$K$64,2,0)," ")</f>
        <v>Infraestructura Tecnológica   (Sistemas de Información y Tecnologia)</v>
      </c>
      <c r="Z65" s="160" t="str">
        <f>CONCATENATE(X65,"-",Y65)</f>
        <v>11-Infraestructura Tecnológica   (Sistemas de Información y Tecnologia)</v>
      </c>
      <c r="AA65" s="158" t="s">
        <v>228</v>
      </c>
      <c r="AB65" s="159" t="str">
        <f>IFERROR(VLOOKUP(AA65,TD!$N$51:$O$66,2,0)," ")</f>
        <v>Servicios tecnológicos</v>
      </c>
      <c r="AC65" s="160" t="str">
        <f>CONCATENATE(AA65,"_",AB65)</f>
        <v>007_Servicios tecnológicos</v>
      </c>
      <c r="AD65" s="160" t="str">
        <f>CONCATENATE(Z65," ",AC65)</f>
        <v>11-Infraestructura Tecnológica   (Sistemas de Información y Tecnologia) 007_Servicios tecnológicos</v>
      </c>
      <c r="AE65" s="159" t="str">
        <f>CONCATENATE(U65,V65,W65,X65,AA65)</f>
        <v>O23011745992024020711007</v>
      </c>
      <c r="AF65" s="159" t="str">
        <f>IFERROR(VLOOKUP(AD65,TD!$J$66:$K$89,2,0)," ")</f>
        <v>PM/0131/0111/45990070207</v>
      </c>
      <c r="AG65" s="118" t="s">
        <v>385</v>
      </c>
      <c r="AH65" s="158" t="s">
        <v>193</v>
      </c>
      <c r="AI65" s="161" t="str">
        <f>CONCATENATE(PAA[[#This Row],[Id Interno]],"-",PAA[[#This Row],[tipo de Contrato (TH talento humano - B/S bienes y/o servicios)]],"-",S65,"-",T65,"-",PAA[[#This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66" spans="2:35" ht="112" x14ac:dyDescent="0.35">
      <c r="B66" s="23">
        <v>20260024</v>
      </c>
      <c r="C66" s="99" t="s">
        <v>608</v>
      </c>
      <c r="D66" s="23" t="s">
        <v>105</v>
      </c>
      <c r="E66" s="23" t="s">
        <v>363</v>
      </c>
      <c r="F66" s="155" t="s">
        <v>144</v>
      </c>
      <c r="G66" s="156" t="s">
        <v>374</v>
      </c>
      <c r="H66" s="157">
        <v>6</v>
      </c>
      <c r="I66" s="157">
        <v>0</v>
      </c>
      <c r="J66" s="127">
        <v>60000000</v>
      </c>
      <c r="K66" s="88" t="s">
        <v>398</v>
      </c>
      <c r="L66" s="155" t="s">
        <v>151</v>
      </c>
      <c r="M66" s="158" t="s">
        <v>401</v>
      </c>
      <c r="N66" s="23" t="s">
        <v>197</v>
      </c>
      <c r="O66" s="151" t="s">
        <v>957</v>
      </c>
      <c r="P66" s="155" t="s">
        <v>348</v>
      </c>
      <c r="Q66" s="53">
        <v>80111600</v>
      </c>
      <c r="R66" s="158" t="s">
        <v>203</v>
      </c>
      <c r="S66" s="158" t="str">
        <f>MID(PAA[[#This Row],[Meta Proyecto de Inversión]],1,4)</f>
        <v>8126</v>
      </c>
      <c r="T66" s="158" t="str">
        <f>MID(PAA[[#This Row],[Meta Proyecto de Inversión]],6,1)</f>
        <v>4</v>
      </c>
      <c r="U66" s="159" t="str">
        <f>IFERROR(VLOOKUP(N66,TD!$B$50:$F$54,2,0)," ")</f>
        <v>O230117</v>
      </c>
      <c r="V66" s="159" t="str">
        <f>IFERROR(VLOOKUP(N66,TD!$B$50:$F$54,3,0)," ")</f>
        <v>4599</v>
      </c>
      <c r="W66" s="159">
        <f>IFERROR(VLOOKUP(N66,TD!$B$50:$F$54,4,0)," ")</f>
        <v>20240207</v>
      </c>
      <c r="X66" s="158" t="s">
        <v>168</v>
      </c>
      <c r="Y66" s="159" t="str">
        <f>IFERROR(VLOOKUP(X66,TD!$J$51:$K$64,2,0)," ")</f>
        <v>Infraestructura Tecnológica   (Sistemas de Información y Tecnologia)</v>
      </c>
      <c r="Z66" s="160" t="str">
        <f>CONCATENATE(X66,"-",Y66)</f>
        <v>11-Infraestructura Tecnológica   (Sistemas de Información y Tecnologia)</v>
      </c>
      <c r="AA66" s="158" t="s">
        <v>228</v>
      </c>
      <c r="AB66" s="159" t="str">
        <f>IFERROR(VLOOKUP(AA66,TD!$N$51:$O$66,2,0)," ")</f>
        <v>Servicios tecnológicos</v>
      </c>
      <c r="AC66" s="160" t="str">
        <f>CONCATENATE(AA66,"_",AB66)</f>
        <v>007_Servicios tecnológicos</v>
      </c>
      <c r="AD66" s="160" t="str">
        <f>CONCATENATE(Z66," ",AC66)</f>
        <v>11-Infraestructura Tecnológica   (Sistemas de Información y Tecnologia) 007_Servicios tecnológicos</v>
      </c>
      <c r="AE66" s="159" t="str">
        <f>CONCATENATE(U66,V66,W66,X66,AA66)</f>
        <v>O23011745992024020711007</v>
      </c>
      <c r="AF66" s="159" t="str">
        <f>IFERROR(VLOOKUP(AD66,TD!$J$66:$K$89,2,0)," ")</f>
        <v>PM/0131/0111/45990070207</v>
      </c>
      <c r="AG66" s="118" t="s">
        <v>385</v>
      </c>
      <c r="AH66" s="158" t="s">
        <v>193</v>
      </c>
      <c r="AI66" s="161" t="str">
        <f>CONCATENATE(PAA[[#This Row],[Id Interno]],"-",PAA[[#This Row],[tipo de Contrato (TH talento humano - B/S bienes y/o servicios)]],"-",S66,"-",T66,"-",PAA[[#This Row],[Objeto de la contratación]])</f>
        <v>20260024-TH-8126-4-Prestar los servicios profesionales en la implementación, de las herramientas misionales, creadas como soporte a los procesos y procedimientos de la U.A.E. Cuerpo Oficial de Bomberos de Bogotá.</v>
      </c>
    </row>
    <row r="67" spans="2:35" ht="56" x14ac:dyDescent="0.35">
      <c r="B67" s="23">
        <v>20260025</v>
      </c>
      <c r="C67" s="99" t="s">
        <v>593</v>
      </c>
      <c r="D67" s="23" t="s">
        <v>105</v>
      </c>
      <c r="E67" s="23" t="s">
        <v>363</v>
      </c>
      <c r="F67" s="155" t="s">
        <v>144</v>
      </c>
      <c r="G67" s="156" t="s">
        <v>373</v>
      </c>
      <c r="H67" s="157">
        <v>10</v>
      </c>
      <c r="I67" s="157">
        <v>0</v>
      </c>
      <c r="J67" s="127">
        <v>78000000</v>
      </c>
      <c r="K67" s="88" t="s">
        <v>398</v>
      </c>
      <c r="L67" s="155" t="s">
        <v>151</v>
      </c>
      <c r="M67" s="158" t="s">
        <v>401</v>
      </c>
      <c r="N67" s="23" t="s">
        <v>197</v>
      </c>
      <c r="O67" s="151" t="s">
        <v>957</v>
      </c>
      <c r="P67" s="155" t="s">
        <v>348</v>
      </c>
      <c r="Q67" s="53">
        <v>80111600</v>
      </c>
      <c r="R67" s="158" t="s">
        <v>204</v>
      </c>
      <c r="S67" s="158" t="str">
        <f>MID(PAA[[#This Row],[Meta Proyecto de Inversión]],1,4)</f>
        <v>8126</v>
      </c>
      <c r="T67" s="158" t="str">
        <f>MID(PAA[[#This Row],[Meta Proyecto de Inversión]],6,1)</f>
        <v>5</v>
      </c>
      <c r="U67" s="159" t="str">
        <f>IFERROR(VLOOKUP(N67,TD!$B$50:$F$54,2,0)," ")</f>
        <v>O230117</v>
      </c>
      <c r="V67" s="159" t="str">
        <f>IFERROR(VLOOKUP(N67,TD!$B$50:$F$54,3,0)," ")</f>
        <v>4599</v>
      </c>
      <c r="W67" s="159">
        <f>IFERROR(VLOOKUP(N67,TD!$B$50:$F$54,4,0)," ")</f>
        <v>20240207</v>
      </c>
      <c r="X67" s="158" t="s">
        <v>168</v>
      </c>
      <c r="Y67" s="159" t="str">
        <f>IFERROR(VLOOKUP(X67,TD!$J$51:$K$64,2,0)," ")</f>
        <v>Infraestructura Tecnológica   (Sistemas de Información y Tecnologia)</v>
      </c>
      <c r="Z67" s="160" t="str">
        <f>CONCATENATE(X67,"-",Y67)</f>
        <v>11-Infraestructura Tecnológica   (Sistemas de Información y Tecnologia)</v>
      </c>
      <c r="AA67" s="158" t="s">
        <v>228</v>
      </c>
      <c r="AB67" s="159" t="str">
        <f>IFERROR(VLOOKUP(AA67,TD!$N$51:$O$66,2,0)," ")</f>
        <v>Servicios tecnológicos</v>
      </c>
      <c r="AC67" s="160" t="str">
        <f>CONCATENATE(AA67,"_",AB67)</f>
        <v>007_Servicios tecnológicos</v>
      </c>
      <c r="AD67" s="160" t="str">
        <f>CONCATENATE(Z67," ",AC67)</f>
        <v>11-Infraestructura Tecnológica   (Sistemas de Información y Tecnologia) 007_Servicios tecnológicos</v>
      </c>
      <c r="AE67" s="159" t="str">
        <f>CONCATENATE(U67,V67,W67,X67,AA67)</f>
        <v>O23011745992024020711007</v>
      </c>
      <c r="AF67" s="159" t="str">
        <f>IFERROR(VLOOKUP(AD67,TD!$J$66:$K$89,2,0)," ")</f>
        <v>PM/0131/0111/45990070207</v>
      </c>
      <c r="AG67" s="118" t="s">
        <v>385</v>
      </c>
      <c r="AH67" s="158" t="s">
        <v>193</v>
      </c>
      <c r="AI67" s="161" t="str">
        <f>CONCATENATE(PAA[[#This Row],[Id Interno]],"-",PAA[[#This Row],[tipo de Contrato (TH talento humano - B/S bienes y/o servicios)]],"-",S67,"-",T67,"-",PAA[[#This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68" spans="2:35" ht="28" x14ac:dyDescent="0.35">
      <c r="B68" s="23">
        <v>20260026</v>
      </c>
      <c r="C68" s="99" t="s">
        <v>609</v>
      </c>
      <c r="D68" s="23" t="s">
        <v>105</v>
      </c>
      <c r="E68" s="23" t="s">
        <v>363</v>
      </c>
      <c r="F68" s="155" t="s">
        <v>144</v>
      </c>
      <c r="G68" s="156" t="s">
        <v>373</v>
      </c>
      <c r="H68" s="157">
        <v>10</v>
      </c>
      <c r="I68" s="157">
        <v>0</v>
      </c>
      <c r="J68" s="127">
        <v>74500000</v>
      </c>
      <c r="K68" s="88" t="s">
        <v>398</v>
      </c>
      <c r="L68" s="155" t="s">
        <v>151</v>
      </c>
      <c r="M68" s="158" t="s">
        <v>401</v>
      </c>
      <c r="N68" s="23" t="s">
        <v>197</v>
      </c>
      <c r="O68" s="151" t="s">
        <v>957</v>
      </c>
      <c r="P68" s="155" t="s">
        <v>348</v>
      </c>
      <c r="Q68" s="53">
        <v>80111600</v>
      </c>
      <c r="R68" s="158" t="s">
        <v>204</v>
      </c>
      <c r="S68" s="158" t="str">
        <f>MID(PAA[[#This Row],[Meta Proyecto de Inversión]],1,4)</f>
        <v>8126</v>
      </c>
      <c r="T68" s="158" t="str">
        <f>MID(PAA[[#This Row],[Meta Proyecto de Inversión]],6,1)</f>
        <v>5</v>
      </c>
      <c r="U68" s="159" t="str">
        <f>IFERROR(VLOOKUP(N68,TD!$B$50:$F$54,2,0)," ")</f>
        <v>O230117</v>
      </c>
      <c r="V68" s="159" t="str">
        <f>IFERROR(VLOOKUP(N68,TD!$B$50:$F$54,3,0)," ")</f>
        <v>4599</v>
      </c>
      <c r="W68" s="159">
        <f>IFERROR(VLOOKUP(N68,TD!$B$50:$F$54,4,0)," ")</f>
        <v>20240207</v>
      </c>
      <c r="X68" s="158" t="s">
        <v>168</v>
      </c>
      <c r="Y68" s="159" t="str">
        <f>IFERROR(VLOOKUP(X68,TD!$J$51:$K$64,2,0)," ")</f>
        <v>Infraestructura Tecnológica   (Sistemas de Información y Tecnologia)</v>
      </c>
      <c r="Z68" s="160" t="str">
        <f>CONCATENATE(X68,"-",Y68)</f>
        <v>11-Infraestructura Tecnológica   (Sistemas de Información y Tecnologia)</v>
      </c>
      <c r="AA68" s="158" t="s">
        <v>228</v>
      </c>
      <c r="AB68" s="159" t="str">
        <f>IFERROR(VLOOKUP(AA68,TD!$N$51:$O$66,2,0)," ")</f>
        <v>Servicios tecnológicos</v>
      </c>
      <c r="AC68" s="160" t="str">
        <f>CONCATENATE(AA68,"_",AB68)</f>
        <v>007_Servicios tecnológicos</v>
      </c>
      <c r="AD68" s="160" t="str">
        <f>CONCATENATE(Z68," ",AC68)</f>
        <v>11-Infraestructura Tecnológica   (Sistemas de Información y Tecnologia) 007_Servicios tecnológicos</v>
      </c>
      <c r="AE68" s="159" t="str">
        <f>CONCATENATE(U68,V68,W68,X68,AA68)</f>
        <v>O23011745992024020711007</v>
      </c>
      <c r="AF68" s="159" t="str">
        <f>IFERROR(VLOOKUP(AD68,TD!$J$66:$K$89,2,0)," ")</f>
        <v>PM/0131/0111/45990070207</v>
      </c>
      <c r="AG68" s="118" t="s">
        <v>385</v>
      </c>
      <c r="AH68" s="158" t="s">
        <v>193</v>
      </c>
      <c r="AI68" s="161" t="str">
        <f>CONCATENATE(PAA[[#This Row],[Id Interno]],"-",PAA[[#This Row],[tipo de Contrato (TH talento humano - B/S bienes y/o servicios)]],"-",S68,"-",T68,"-",PAA[[#This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69" spans="2:35" ht="70" x14ac:dyDescent="0.35">
      <c r="B69" s="23">
        <v>20260027</v>
      </c>
      <c r="C69" s="99" t="s">
        <v>610</v>
      </c>
      <c r="D69" s="23" t="s">
        <v>105</v>
      </c>
      <c r="E69" s="23" t="s">
        <v>363</v>
      </c>
      <c r="F69" s="155" t="s">
        <v>144</v>
      </c>
      <c r="G69" s="156" t="s">
        <v>373</v>
      </c>
      <c r="H69" s="157">
        <v>11</v>
      </c>
      <c r="I69" s="157">
        <v>0</v>
      </c>
      <c r="J69" s="127">
        <v>92400000</v>
      </c>
      <c r="K69" s="88" t="s">
        <v>398</v>
      </c>
      <c r="L69" s="155" t="s">
        <v>151</v>
      </c>
      <c r="M69" s="158" t="s">
        <v>401</v>
      </c>
      <c r="N69" s="23" t="s">
        <v>197</v>
      </c>
      <c r="O69" s="151" t="s">
        <v>957</v>
      </c>
      <c r="P69" s="155" t="s">
        <v>348</v>
      </c>
      <c r="Q69" s="53">
        <v>80111600</v>
      </c>
      <c r="R69" s="158" t="s">
        <v>204</v>
      </c>
      <c r="S69" s="158" t="str">
        <f>MID(PAA[[#This Row],[Meta Proyecto de Inversión]],1,4)</f>
        <v>8126</v>
      </c>
      <c r="T69" s="158" t="str">
        <f>MID(PAA[[#This Row],[Meta Proyecto de Inversión]],6,1)</f>
        <v>5</v>
      </c>
      <c r="U69" s="159" t="str">
        <f>IFERROR(VLOOKUP(N69,TD!$B$50:$F$54,2,0)," ")</f>
        <v>O230117</v>
      </c>
      <c r="V69" s="159" t="str">
        <f>IFERROR(VLOOKUP(N69,TD!$B$50:$F$54,3,0)," ")</f>
        <v>4599</v>
      </c>
      <c r="W69" s="159">
        <f>IFERROR(VLOOKUP(N69,TD!$B$50:$F$54,4,0)," ")</f>
        <v>20240207</v>
      </c>
      <c r="X69" s="158" t="s">
        <v>168</v>
      </c>
      <c r="Y69" s="159" t="str">
        <f>IFERROR(VLOOKUP(X69,TD!$J$51:$K$64,2,0)," ")</f>
        <v>Infraestructura Tecnológica   (Sistemas de Información y Tecnologia)</v>
      </c>
      <c r="Z69" s="160" t="str">
        <f>CONCATENATE(X69,"-",Y69)</f>
        <v>11-Infraestructura Tecnológica   (Sistemas de Información y Tecnologia)</v>
      </c>
      <c r="AA69" s="158" t="s">
        <v>228</v>
      </c>
      <c r="AB69" s="159" t="str">
        <f>IFERROR(VLOOKUP(AA69,TD!$N$51:$O$66,2,0)," ")</f>
        <v>Servicios tecnológicos</v>
      </c>
      <c r="AC69" s="160" t="str">
        <f>CONCATENATE(AA69,"_",AB69)</f>
        <v>007_Servicios tecnológicos</v>
      </c>
      <c r="AD69" s="160" t="str">
        <f>CONCATENATE(Z69," ",AC69)</f>
        <v>11-Infraestructura Tecnológica   (Sistemas de Información y Tecnologia) 007_Servicios tecnológicos</v>
      </c>
      <c r="AE69" s="159" t="str">
        <f>CONCATENATE(U69,V69,W69,X69,AA69)</f>
        <v>O23011745992024020711007</v>
      </c>
      <c r="AF69" s="159" t="str">
        <f>IFERROR(VLOOKUP(AD69,TD!$J$66:$K$89,2,0)," ")</f>
        <v>PM/0131/0111/45990070207</v>
      </c>
      <c r="AG69" s="118" t="s">
        <v>385</v>
      </c>
      <c r="AH69" s="158" t="s">
        <v>193</v>
      </c>
      <c r="AI69" s="161" t="str">
        <f>CONCATENATE(PAA[[#This Row],[Id Interno]],"-",PAA[[#This Row],[tipo de Contrato (TH talento humano - B/S bienes y/o servicios)]],"-",S69,"-",T69,"-",PAA[[#This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70" spans="2:35" ht="126" x14ac:dyDescent="0.35">
      <c r="B70" s="23">
        <v>20260028</v>
      </c>
      <c r="C70" s="99" t="s">
        <v>593</v>
      </c>
      <c r="D70" s="23" t="s">
        <v>105</v>
      </c>
      <c r="E70" s="23" t="s">
        <v>363</v>
      </c>
      <c r="F70" s="155" t="s">
        <v>144</v>
      </c>
      <c r="G70" s="156" t="s">
        <v>373</v>
      </c>
      <c r="H70" s="157">
        <v>11</v>
      </c>
      <c r="I70" s="157">
        <v>0</v>
      </c>
      <c r="J70" s="127">
        <v>85800000</v>
      </c>
      <c r="K70" s="88" t="s">
        <v>398</v>
      </c>
      <c r="L70" s="155" t="s">
        <v>151</v>
      </c>
      <c r="M70" s="158" t="s">
        <v>401</v>
      </c>
      <c r="N70" s="23" t="s">
        <v>197</v>
      </c>
      <c r="O70" s="151" t="s">
        <v>957</v>
      </c>
      <c r="P70" s="155" t="s">
        <v>348</v>
      </c>
      <c r="Q70" s="53">
        <v>80111600</v>
      </c>
      <c r="R70" s="158" t="s">
        <v>204</v>
      </c>
      <c r="S70" s="158" t="str">
        <f>MID(PAA[[#This Row],[Meta Proyecto de Inversión]],1,4)</f>
        <v>8126</v>
      </c>
      <c r="T70" s="158" t="str">
        <f>MID(PAA[[#This Row],[Meta Proyecto de Inversión]],6,1)</f>
        <v>5</v>
      </c>
      <c r="U70" s="159" t="str">
        <f>IFERROR(VLOOKUP(N70,TD!$B$50:$F$54,2,0)," ")</f>
        <v>O230117</v>
      </c>
      <c r="V70" s="159" t="str">
        <f>IFERROR(VLOOKUP(N70,TD!$B$50:$F$54,3,0)," ")</f>
        <v>4599</v>
      </c>
      <c r="W70" s="159">
        <f>IFERROR(VLOOKUP(N70,TD!$B$50:$F$54,4,0)," ")</f>
        <v>20240207</v>
      </c>
      <c r="X70" s="158" t="s">
        <v>168</v>
      </c>
      <c r="Y70" s="159" t="str">
        <f>IFERROR(VLOOKUP(X70,TD!$J$51:$K$64,2,0)," ")</f>
        <v>Infraestructura Tecnológica   (Sistemas de Información y Tecnologia)</v>
      </c>
      <c r="Z70" s="160" t="str">
        <f>CONCATENATE(X70,"-",Y70)</f>
        <v>11-Infraestructura Tecnológica   (Sistemas de Información y Tecnologia)</v>
      </c>
      <c r="AA70" s="158" t="s">
        <v>228</v>
      </c>
      <c r="AB70" s="159" t="str">
        <f>IFERROR(VLOOKUP(AA70,TD!$N$51:$O$66,2,0)," ")</f>
        <v>Servicios tecnológicos</v>
      </c>
      <c r="AC70" s="160" t="str">
        <f>CONCATENATE(AA70,"_",AB70)</f>
        <v>007_Servicios tecnológicos</v>
      </c>
      <c r="AD70" s="160" t="str">
        <f>CONCATENATE(Z70," ",AC70)</f>
        <v>11-Infraestructura Tecnológica   (Sistemas de Información y Tecnologia) 007_Servicios tecnológicos</v>
      </c>
      <c r="AE70" s="159" t="str">
        <f>CONCATENATE(U70,V70,W70,X70,AA70)</f>
        <v>O23011745992024020711007</v>
      </c>
      <c r="AF70" s="159" t="str">
        <f>IFERROR(VLOOKUP(AD70,TD!$J$66:$K$89,2,0)," ")</f>
        <v>PM/0131/0111/45990070207</v>
      </c>
      <c r="AG70" s="118" t="s">
        <v>385</v>
      </c>
      <c r="AH70" s="158" t="s">
        <v>193</v>
      </c>
      <c r="AI70" s="161" t="str">
        <f>CONCATENATE(PAA[[#This Row],[Id Interno]],"-",PAA[[#This Row],[tipo de Contrato (TH talento humano - B/S bienes y/o servicios)]],"-",S70,"-",T70,"-",PAA[[#This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71" spans="2:35" ht="70" x14ac:dyDescent="0.35">
      <c r="B71" s="23">
        <v>20260029</v>
      </c>
      <c r="C71" s="99" t="s">
        <v>611</v>
      </c>
      <c r="D71" s="23" t="s">
        <v>105</v>
      </c>
      <c r="E71" s="23" t="s">
        <v>363</v>
      </c>
      <c r="F71" s="155" t="s">
        <v>144</v>
      </c>
      <c r="G71" s="156" t="s">
        <v>373</v>
      </c>
      <c r="H71" s="157">
        <v>10</v>
      </c>
      <c r="I71" s="157">
        <v>0</v>
      </c>
      <c r="J71" s="127">
        <v>78000000</v>
      </c>
      <c r="K71" s="88" t="s">
        <v>398</v>
      </c>
      <c r="L71" s="155" t="s">
        <v>151</v>
      </c>
      <c r="M71" s="158" t="s">
        <v>401</v>
      </c>
      <c r="N71" s="23" t="s">
        <v>197</v>
      </c>
      <c r="O71" s="151" t="s">
        <v>957</v>
      </c>
      <c r="P71" s="155" t="s">
        <v>348</v>
      </c>
      <c r="Q71" s="53">
        <v>80111600</v>
      </c>
      <c r="R71" s="158" t="s">
        <v>203</v>
      </c>
      <c r="S71" s="158" t="str">
        <f>MID(PAA[[#This Row],[Meta Proyecto de Inversión]],1,4)</f>
        <v>8126</v>
      </c>
      <c r="T71" s="158" t="str">
        <f>MID(PAA[[#This Row],[Meta Proyecto de Inversión]],6,1)</f>
        <v>4</v>
      </c>
      <c r="U71" s="159" t="str">
        <f>IFERROR(VLOOKUP(N71,TD!$B$50:$F$54,2,0)," ")</f>
        <v>O230117</v>
      </c>
      <c r="V71" s="159" t="str">
        <f>IFERROR(VLOOKUP(N71,TD!$B$50:$F$54,3,0)," ")</f>
        <v>4599</v>
      </c>
      <c r="W71" s="159">
        <f>IFERROR(VLOOKUP(N71,TD!$B$50:$F$54,4,0)," ")</f>
        <v>20240207</v>
      </c>
      <c r="X71" s="158" t="s">
        <v>168</v>
      </c>
      <c r="Y71" s="159" t="str">
        <f>IFERROR(VLOOKUP(X71,TD!$J$51:$K$64,2,0)," ")</f>
        <v>Infraestructura Tecnológica   (Sistemas de Información y Tecnologia)</v>
      </c>
      <c r="Z71" s="160" t="str">
        <f>CONCATENATE(X71,"-",Y71)</f>
        <v>11-Infraestructura Tecnológica   (Sistemas de Información y Tecnologia)</v>
      </c>
      <c r="AA71" s="158" t="s">
        <v>228</v>
      </c>
      <c r="AB71" s="159" t="str">
        <f>IFERROR(VLOOKUP(AA71,TD!$N$51:$O$66,2,0)," ")</f>
        <v>Servicios tecnológicos</v>
      </c>
      <c r="AC71" s="160" t="str">
        <f>CONCATENATE(AA71,"_",AB71)</f>
        <v>007_Servicios tecnológicos</v>
      </c>
      <c r="AD71" s="160" t="str">
        <f>CONCATENATE(Z71," ",AC71)</f>
        <v>11-Infraestructura Tecnológica   (Sistemas de Información y Tecnologia) 007_Servicios tecnológicos</v>
      </c>
      <c r="AE71" s="159" t="str">
        <f>CONCATENATE(U71,V71,W71,X71,AA71)</f>
        <v>O23011745992024020711007</v>
      </c>
      <c r="AF71" s="159" t="str">
        <f>IFERROR(VLOOKUP(AD71,TD!$J$66:$K$89,2,0)," ")</f>
        <v>PM/0131/0111/45990070207</v>
      </c>
      <c r="AG71" s="118" t="s">
        <v>385</v>
      </c>
      <c r="AH71" s="158" t="s">
        <v>193</v>
      </c>
      <c r="AI71" s="161" t="str">
        <f>CONCATENATE(PAA[[#This Row],[Id Interno]],"-",PAA[[#This Row],[tipo de Contrato (TH talento humano - B/S bienes y/o servicios)]],"-",S71,"-",T71,"-",PAA[[#This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72" spans="2:35" ht="70" x14ac:dyDescent="0.35">
      <c r="B72" s="23">
        <v>20260030</v>
      </c>
      <c r="C72" s="99" t="s">
        <v>612</v>
      </c>
      <c r="D72" s="23" t="s">
        <v>105</v>
      </c>
      <c r="E72" s="23" t="s">
        <v>363</v>
      </c>
      <c r="F72" s="155" t="s">
        <v>144</v>
      </c>
      <c r="G72" s="156" t="s">
        <v>373</v>
      </c>
      <c r="H72" s="157">
        <v>10</v>
      </c>
      <c r="I72" s="157">
        <v>0</v>
      </c>
      <c r="J72" s="127">
        <v>55000000</v>
      </c>
      <c r="K72" s="88" t="s">
        <v>398</v>
      </c>
      <c r="L72" s="155" t="s">
        <v>151</v>
      </c>
      <c r="M72" s="158" t="s">
        <v>401</v>
      </c>
      <c r="N72" s="23" t="s">
        <v>197</v>
      </c>
      <c r="O72" s="151" t="s">
        <v>957</v>
      </c>
      <c r="P72" s="155" t="s">
        <v>348</v>
      </c>
      <c r="Q72" s="53">
        <v>80111600</v>
      </c>
      <c r="R72" s="158" t="s">
        <v>205</v>
      </c>
      <c r="S72" s="158" t="str">
        <f>MID(PAA[[#This Row],[Meta Proyecto de Inversión]],1,4)</f>
        <v>8126</v>
      </c>
      <c r="T72" s="158" t="str">
        <f>MID(PAA[[#This Row],[Meta Proyecto de Inversión]],6,1)</f>
        <v>6</v>
      </c>
      <c r="U72" s="159" t="str">
        <f>IFERROR(VLOOKUP(N72,TD!$B$50:$F$54,2,0)," ")</f>
        <v>O230117</v>
      </c>
      <c r="V72" s="159" t="str">
        <f>IFERROR(VLOOKUP(N72,TD!$B$50:$F$54,3,0)," ")</f>
        <v>4599</v>
      </c>
      <c r="W72" s="159">
        <f>IFERROR(VLOOKUP(N72,TD!$B$50:$F$54,4,0)," ")</f>
        <v>20240207</v>
      </c>
      <c r="X72" s="158" t="s">
        <v>168</v>
      </c>
      <c r="Y72" s="159" t="str">
        <f>IFERROR(VLOOKUP(X72,TD!$J$51:$K$64,2,0)," ")</f>
        <v>Infraestructura Tecnológica   (Sistemas de Información y Tecnologia)</v>
      </c>
      <c r="Z72" s="160" t="str">
        <f>CONCATENATE(X72,"-",Y72)</f>
        <v>11-Infraestructura Tecnológica   (Sistemas de Información y Tecnologia)</v>
      </c>
      <c r="AA72" s="158" t="s">
        <v>228</v>
      </c>
      <c r="AB72" s="159" t="str">
        <f>IFERROR(VLOOKUP(AA72,TD!$N$51:$O$66,2,0)," ")</f>
        <v>Servicios tecnológicos</v>
      </c>
      <c r="AC72" s="160" t="str">
        <f>CONCATENATE(AA72,"_",AB72)</f>
        <v>007_Servicios tecnológicos</v>
      </c>
      <c r="AD72" s="160" t="str">
        <f>CONCATENATE(Z72," ",AC72)</f>
        <v>11-Infraestructura Tecnológica   (Sistemas de Información y Tecnologia) 007_Servicios tecnológicos</v>
      </c>
      <c r="AE72" s="159" t="str">
        <f>CONCATENATE(U72,V72,W72,X72,AA72)</f>
        <v>O23011745992024020711007</v>
      </c>
      <c r="AF72" s="159" t="str">
        <f>IFERROR(VLOOKUP(AD72,TD!$J$66:$K$89,2,0)," ")</f>
        <v>PM/0131/0111/45990070207</v>
      </c>
      <c r="AG72" s="118" t="s">
        <v>385</v>
      </c>
      <c r="AH72" s="158" t="s">
        <v>193</v>
      </c>
      <c r="AI72" s="161" t="str">
        <f>CONCATENATE(PAA[[#This Row],[Id Interno]],"-",PAA[[#This Row],[tipo de Contrato (TH talento humano - B/S bienes y/o servicios)]],"-",S72,"-",T72,"-",PAA[[#This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73" spans="2:35" ht="98" x14ac:dyDescent="0.35">
      <c r="B73" s="23">
        <v>20260031</v>
      </c>
      <c r="C73" s="99" t="s">
        <v>613</v>
      </c>
      <c r="D73" s="23" t="s">
        <v>105</v>
      </c>
      <c r="E73" s="23" t="s">
        <v>363</v>
      </c>
      <c r="F73" s="155" t="s">
        <v>144</v>
      </c>
      <c r="G73" s="156" t="s">
        <v>373</v>
      </c>
      <c r="H73" s="157">
        <v>10</v>
      </c>
      <c r="I73" s="157">
        <v>0</v>
      </c>
      <c r="J73" s="127">
        <v>75000000</v>
      </c>
      <c r="K73" s="88" t="s">
        <v>398</v>
      </c>
      <c r="L73" s="155" t="s">
        <v>151</v>
      </c>
      <c r="M73" s="158" t="s">
        <v>401</v>
      </c>
      <c r="N73" s="23" t="s">
        <v>197</v>
      </c>
      <c r="O73" s="151" t="s">
        <v>957</v>
      </c>
      <c r="P73" s="155" t="s">
        <v>348</v>
      </c>
      <c r="Q73" s="53">
        <v>80111600</v>
      </c>
      <c r="R73" s="158" t="s">
        <v>205</v>
      </c>
      <c r="S73" s="158" t="str">
        <f>MID(PAA[[#This Row],[Meta Proyecto de Inversión]],1,4)</f>
        <v>8126</v>
      </c>
      <c r="T73" s="158" t="str">
        <f>MID(PAA[[#This Row],[Meta Proyecto de Inversión]],6,1)</f>
        <v>6</v>
      </c>
      <c r="U73" s="159" t="str">
        <f>IFERROR(VLOOKUP(N73,TD!$B$50:$F$54,2,0)," ")</f>
        <v>O230117</v>
      </c>
      <c r="V73" s="159" t="str">
        <f>IFERROR(VLOOKUP(N73,TD!$B$50:$F$54,3,0)," ")</f>
        <v>4599</v>
      </c>
      <c r="W73" s="159">
        <f>IFERROR(VLOOKUP(N73,TD!$B$50:$F$54,4,0)," ")</f>
        <v>20240207</v>
      </c>
      <c r="X73" s="158" t="s">
        <v>168</v>
      </c>
      <c r="Y73" s="159" t="str">
        <f>IFERROR(VLOOKUP(X73,TD!$J$51:$K$64,2,0)," ")</f>
        <v>Infraestructura Tecnológica   (Sistemas de Información y Tecnologia)</v>
      </c>
      <c r="Z73" s="160" t="str">
        <f>CONCATENATE(X73,"-",Y73)</f>
        <v>11-Infraestructura Tecnológica   (Sistemas de Información y Tecnologia)</v>
      </c>
      <c r="AA73" s="158" t="s">
        <v>228</v>
      </c>
      <c r="AB73" s="159" t="str">
        <f>IFERROR(VLOOKUP(AA73,TD!$N$51:$O$66,2,0)," ")</f>
        <v>Servicios tecnológicos</v>
      </c>
      <c r="AC73" s="160" t="str">
        <f>CONCATENATE(AA73,"_",AB73)</f>
        <v>007_Servicios tecnológicos</v>
      </c>
      <c r="AD73" s="160" t="str">
        <f>CONCATENATE(Z73," ",AC73)</f>
        <v>11-Infraestructura Tecnológica   (Sistemas de Información y Tecnologia) 007_Servicios tecnológicos</v>
      </c>
      <c r="AE73" s="159" t="str">
        <f>CONCATENATE(U73,V73,W73,X73,AA73)</f>
        <v>O23011745992024020711007</v>
      </c>
      <c r="AF73" s="159" t="str">
        <f>IFERROR(VLOOKUP(AD73,TD!$J$66:$K$89,2,0)," ")</f>
        <v>PM/0131/0111/45990070207</v>
      </c>
      <c r="AG73" s="118" t="s">
        <v>385</v>
      </c>
      <c r="AH73" s="158" t="s">
        <v>193</v>
      </c>
      <c r="AI73" s="161" t="str">
        <f>CONCATENATE(PAA[[#This Row],[Id Interno]],"-",PAA[[#This Row],[tipo de Contrato (TH talento humano - B/S bienes y/o servicios)]],"-",S73,"-",T73,"-",PAA[[#This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74" spans="2:35" ht="84" x14ac:dyDescent="0.35">
      <c r="B74" s="23">
        <v>20260033</v>
      </c>
      <c r="C74" s="99" t="s">
        <v>430</v>
      </c>
      <c r="D74" s="23" t="s">
        <v>83</v>
      </c>
      <c r="E74" s="23" t="s">
        <v>402</v>
      </c>
      <c r="F74" s="155" t="s">
        <v>89</v>
      </c>
      <c r="G74" s="156" t="s">
        <v>382</v>
      </c>
      <c r="H74" s="157">
        <v>6</v>
      </c>
      <c r="I74" s="157">
        <v>0</v>
      </c>
      <c r="J74" s="127">
        <f>122500000-20296300-38029786</f>
        <v>64173914</v>
      </c>
      <c r="K74" s="88" t="s">
        <v>398</v>
      </c>
      <c r="L74" s="155" t="s">
        <v>151</v>
      </c>
      <c r="M74" s="158" t="s">
        <v>401</v>
      </c>
      <c r="N74" s="23" t="s">
        <v>197</v>
      </c>
      <c r="O74" s="151" t="s">
        <v>957</v>
      </c>
      <c r="P74" s="155" t="s">
        <v>348</v>
      </c>
      <c r="Q74" s="53" t="s">
        <v>447</v>
      </c>
      <c r="R74" s="158" t="s">
        <v>204</v>
      </c>
      <c r="S74" s="158" t="str">
        <f>MID(PAA[[#This Row],[Meta Proyecto de Inversión]],1,4)</f>
        <v>8126</v>
      </c>
      <c r="T74" s="158" t="str">
        <f>MID(PAA[[#This Row],[Meta Proyecto de Inversión]],6,1)</f>
        <v>5</v>
      </c>
      <c r="U74" s="159" t="str">
        <f>IFERROR(VLOOKUP(N74,TD!$B$50:$F$54,2,0)," ")</f>
        <v>O230117</v>
      </c>
      <c r="V74" s="159" t="str">
        <f>IFERROR(VLOOKUP(N74,TD!$B$50:$F$54,3,0)," ")</f>
        <v>4599</v>
      </c>
      <c r="W74" s="159">
        <f>IFERROR(VLOOKUP(N74,TD!$B$50:$F$54,4,0)," ")</f>
        <v>20240207</v>
      </c>
      <c r="X74" s="158" t="s">
        <v>168</v>
      </c>
      <c r="Y74" s="159" t="str">
        <f>IFERROR(VLOOKUP(X74,TD!$J$51:$K$64,2,0)," ")</f>
        <v>Infraestructura Tecnológica   (Sistemas de Información y Tecnologia)</v>
      </c>
      <c r="Z74" s="160" t="str">
        <f>CONCATENATE(X74,"-",Y74)</f>
        <v>11-Infraestructura Tecnológica   (Sistemas de Información y Tecnologia)</v>
      </c>
      <c r="AA74" s="158" t="s">
        <v>228</v>
      </c>
      <c r="AB74" s="159" t="str">
        <f>IFERROR(VLOOKUP(AA74,TD!$N$51:$O$66,2,0)," ")</f>
        <v>Servicios tecnológicos</v>
      </c>
      <c r="AC74" s="160" t="str">
        <f>CONCATENATE(AA74,"_",AB74)</f>
        <v>007_Servicios tecnológicos</v>
      </c>
      <c r="AD74" s="160" t="str">
        <f>CONCATENATE(Z74," ",AC74)</f>
        <v>11-Infraestructura Tecnológica   (Sistemas de Información y Tecnologia) 007_Servicios tecnológicos</v>
      </c>
      <c r="AE74" s="159" t="str">
        <f>CONCATENATE(U74,V74,W74,X74,AA74)</f>
        <v>O23011745992024020711007</v>
      </c>
      <c r="AF74" s="159" t="str">
        <f>IFERROR(VLOOKUP(AD74,TD!$J$66:$K$89,2,0)," ")</f>
        <v>PM/0131/0111/45990070207</v>
      </c>
      <c r="AG74" s="118" t="s">
        <v>121</v>
      </c>
      <c r="AH74" s="158" t="s">
        <v>193</v>
      </c>
      <c r="AI74" s="161" t="str">
        <f>CONCATENATE(PAA[[#This Row],[Id Interno]],"-",PAA[[#This Row],[tipo de Contrato (TH talento humano - B/S bienes y/o servicios)]],"-",S74,"-",T74,"-",PAA[[#This Row],[Objeto de la contratación]])</f>
        <v>20260033-BS-8126-5-Adquisición, actualización y configuración de la plataforma de comunicaciones de Voz IP compatible con la solución actual con la que cuenta la entidad.</v>
      </c>
    </row>
    <row r="75" spans="2:35" ht="84" x14ac:dyDescent="0.35">
      <c r="B75" s="23">
        <v>20260034</v>
      </c>
      <c r="C75" s="99" t="s">
        <v>431</v>
      </c>
      <c r="D75" s="23" t="s">
        <v>92</v>
      </c>
      <c r="E75" s="23" t="s">
        <v>402</v>
      </c>
      <c r="F75" s="155" t="s">
        <v>101</v>
      </c>
      <c r="G75" s="156" t="s">
        <v>382</v>
      </c>
      <c r="H75" s="157">
        <v>12</v>
      </c>
      <c r="I75" s="157">
        <v>0</v>
      </c>
      <c r="J75" s="127">
        <v>10000000</v>
      </c>
      <c r="K75" s="88" t="s">
        <v>398</v>
      </c>
      <c r="L75" s="155" t="s">
        <v>151</v>
      </c>
      <c r="M75" s="158" t="s">
        <v>401</v>
      </c>
      <c r="N75" s="23" t="s">
        <v>197</v>
      </c>
      <c r="O75" s="151" t="s">
        <v>957</v>
      </c>
      <c r="P75" s="155" t="s">
        <v>348</v>
      </c>
      <c r="Q75" s="53" t="s">
        <v>447</v>
      </c>
      <c r="R75" s="158" t="s">
        <v>203</v>
      </c>
      <c r="S75" s="158" t="str">
        <f>MID(PAA[[#This Row],[Meta Proyecto de Inversión]],1,4)</f>
        <v>8126</v>
      </c>
      <c r="T75" s="158" t="str">
        <f>MID(PAA[[#This Row],[Meta Proyecto de Inversión]],6,1)</f>
        <v>4</v>
      </c>
      <c r="U75" s="159" t="str">
        <f>IFERROR(VLOOKUP(N75,TD!$B$50:$F$54,2,0)," ")</f>
        <v>O230117</v>
      </c>
      <c r="V75" s="159" t="str">
        <f>IFERROR(VLOOKUP(N75,TD!$B$50:$F$54,3,0)," ")</f>
        <v>4599</v>
      </c>
      <c r="W75" s="159">
        <f>IFERROR(VLOOKUP(N75,TD!$B$50:$F$54,4,0)," ")</f>
        <v>20240207</v>
      </c>
      <c r="X75" s="158" t="s">
        <v>168</v>
      </c>
      <c r="Y75" s="159" t="str">
        <f>IFERROR(VLOOKUP(X75,TD!$J$51:$K$64,2,0)," ")</f>
        <v>Infraestructura Tecnológica   (Sistemas de Información y Tecnologia)</v>
      </c>
      <c r="Z75" s="160" t="str">
        <f>CONCATENATE(X75,"-",Y75)</f>
        <v>11-Infraestructura Tecnológica   (Sistemas de Información y Tecnologia)</v>
      </c>
      <c r="AA75" s="158" t="s">
        <v>228</v>
      </c>
      <c r="AB75" s="159" t="str">
        <f>IFERROR(VLOOKUP(AA75,TD!$N$51:$O$66,2,0)," ")</f>
        <v>Servicios tecnológicos</v>
      </c>
      <c r="AC75" s="160" t="str">
        <f>CONCATENATE(AA75,"_",AB75)</f>
        <v>007_Servicios tecnológicos</v>
      </c>
      <c r="AD75" s="160" t="str">
        <f>CONCATENATE(Z75," ",AC75)</f>
        <v>11-Infraestructura Tecnológica   (Sistemas de Información y Tecnologia) 007_Servicios tecnológicos</v>
      </c>
      <c r="AE75" s="159" t="str">
        <f>CONCATENATE(U75,V75,W75,X75,AA75)</f>
        <v>O23011745992024020711007</v>
      </c>
      <c r="AF75" s="159" t="str">
        <f>IFERROR(VLOOKUP(AD75,TD!$J$66:$K$89,2,0)," ")</f>
        <v>PM/0131/0111/45990070207</v>
      </c>
      <c r="AG75" s="118" t="s">
        <v>116</v>
      </c>
      <c r="AH75" s="158" t="s">
        <v>193</v>
      </c>
      <c r="AI75" s="161" t="str">
        <f>CONCATENATE(PAA[[#This Row],[Id Interno]],"-",PAA[[#This Row],[tipo de Contrato (TH talento humano - B/S bienes y/o servicios)]],"-",S75,"-",T75,"-",PAA[[#This Row],[Objeto de la contratación]])</f>
        <v>20260034-BS-8126-4-Adquisición de un certificado digital servidor seguro SSL para múltiples subdominios y aplicaciones para los sistemas misionales de la UAE cuerpo oficial de bomberos de Bogotá</v>
      </c>
    </row>
    <row r="76" spans="2:35" ht="126" x14ac:dyDescent="0.35">
      <c r="B76" s="23">
        <v>20260035</v>
      </c>
      <c r="C76" s="99" t="s">
        <v>432</v>
      </c>
      <c r="D76" s="23" t="s">
        <v>92</v>
      </c>
      <c r="E76" s="23" t="s">
        <v>402</v>
      </c>
      <c r="F76" s="155" t="s">
        <v>141</v>
      </c>
      <c r="G76" s="156" t="s">
        <v>378</v>
      </c>
      <c r="H76" s="157">
        <v>12</v>
      </c>
      <c r="I76" s="157">
        <v>0</v>
      </c>
      <c r="J76" s="127">
        <v>300000000</v>
      </c>
      <c r="K76" s="88" t="s">
        <v>398</v>
      </c>
      <c r="L76" s="155" t="s">
        <v>151</v>
      </c>
      <c r="M76" s="158" t="s">
        <v>401</v>
      </c>
      <c r="N76" s="23" t="s">
        <v>197</v>
      </c>
      <c r="O76" s="151" t="s">
        <v>957</v>
      </c>
      <c r="P76" s="155" t="s">
        <v>348</v>
      </c>
      <c r="Q76" s="53" t="s">
        <v>448</v>
      </c>
      <c r="R76" s="158" t="s">
        <v>206</v>
      </c>
      <c r="S76" s="158" t="str">
        <f>MID(PAA[[#This Row],[Meta Proyecto de Inversión]],1,4)</f>
        <v>8126</v>
      </c>
      <c r="T76" s="158" t="str">
        <f>MID(PAA[[#This Row],[Meta Proyecto de Inversión]],6,1)</f>
        <v>7</v>
      </c>
      <c r="U76" s="159" t="str">
        <f>IFERROR(VLOOKUP(N76,TD!$B$50:$F$54,2,0)," ")</f>
        <v>O230117</v>
      </c>
      <c r="V76" s="159" t="str">
        <f>IFERROR(VLOOKUP(N76,TD!$B$50:$F$54,3,0)," ")</f>
        <v>4599</v>
      </c>
      <c r="W76" s="159">
        <f>IFERROR(VLOOKUP(N76,TD!$B$50:$F$54,4,0)," ")</f>
        <v>20240207</v>
      </c>
      <c r="X76" s="158" t="s">
        <v>168</v>
      </c>
      <c r="Y76" s="159" t="str">
        <f>IFERROR(VLOOKUP(X76,TD!$J$51:$K$64,2,0)," ")</f>
        <v>Infraestructura Tecnológica   (Sistemas de Información y Tecnologia)</v>
      </c>
      <c r="Z76" s="160" t="str">
        <f>CONCATENATE(X76,"-",Y76)</f>
        <v>11-Infraestructura Tecnológica   (Sistemas de Información y Tecnologia)</v>
      </c>
      <c r="AA76" s="158" t="s">
        <v>228</v>
      </c>
      <c r="AB76" s="159" t="str">
        <f>IFERROR(VLOOKUP(AA76,TD!$N$51:$O$66,2,0)," ")</f>
        <v>Servicios tecnológicos</v>
      </c>
      <c r="AC76" s="160" t="str">
        <f>CONCATENATE(AA76,"_",AB76)</f>
        <v>007_Servicios tecnológicos</v>
      </c>
      <c r="AD76" s="160" t="str">
        <f>CONCATENATE(Z76," ",AC76)</f>
        <v>11-Infraestructura Tecnológica   (Sistemas de Información y Tecnologia) 007_Servicios tecnológicos</v>
      </c>
      <c r="AE76" s="159" t="str">
        <f>CONCATENATE(U76,V76,W76,X76,AA76)</f>
        <v>O23011745992024020711007</v>
      </c>
      <c r="AF76" s="159" t="str">
        <f>IFERROR(VLOOKUP(AD76,TD!$J$66:$K$89,2,0)," ")</f>
        <v>PM/0131/0111/45990070207</v>
      </c>
      <c r="AG76" s="118" t="s">
        <v>116</v>
      </c>
      <c r="AH76" s="158" t="s">
        <v>193</v>
      </c>
      <c r="AI76" s="161" t="str">
        <f>CONCATENATE(PAA[[#This Row],[Id Interno]],"-",PAA[[#This Row],[tipo de Contrato (TH talento humano - B/S bienes y/o servicios)]],"-",S76,"-",T76,"-",PAA[[#This Row],[Objeto de la contratación]])</f>
        <v>20260035-BS-8126-7-Contratar la renovación del licenciamiento y soporte de las plataformas de seguridad perimetral Fortinet, firewalls y WAF del edificio comando y estaciones para la U.A.E. Cuerpo Oficial de Bomberos de Bogotá - TIC</v>
      </c>
    </row>
    <row r="77" spans="2:35" ht="70" x14ac:dyDescent="0.35">
      <c r="B77" s="23">
        <v>20260037</v>
      </c>
      <c r="C77" s="99" t="s">
        <v>912</v>
      </c>
      <c r="D77" s="23" t="s">
        <v>114</v>
      </c>
      <c r="E77" s="23" t="s">
        <v>402</v>
      </c>
      <c r="F77" s="155" t="s">
        <v>143</v>
      </c>
      <c r="G77" s="156" t="s">
        <v>377</v>
      </c>
      <c r="H77" s="157">
        <v>12</v>
      </c>
      <c r="I77" s="157">
        <v>0</v>
      </c>
      <c r="J77" s="127">
        <v>200000000</v>
      </c>
      <c r="K77" s="88" t="s">
        <v>398</v>
      </c>
      <c r="L77" s="155" t="s">
        <v>151</v>
      </c>
      <c r="M77" s="158" t="s">
        <v>401</v>
      </c>
      <c r="N77" s="23" t="s">
        <v>197</v>
      </c>
      <c r="O77" s="151" t="s">
        <v>957</v>
      </c>
      <c r="P77" s="155" t="s">
        <v>348</v>
      </c>
      <c r="Q77" s="53" t="s">
        <v>913</v>
      </c>
      <c r="R77" s="158" t="s">
        <v>204</v>
      </c>
      <c r="S77" s="158" t="str">
        <f>MID(PAA[[#This Row],[Meta Proyecto de Inversión]],1,4)</f>
        <v>8126</v>
      </c>
      <c r="T77" s="158" t="str">
        <f>MID(PAA[[#This Row],[Meta Proyecto de Inversión]],6,1)</f>
        <v>5</v>
      </c>
      <c r="U77" s="159" t="str">
        <f>IFERROR(VLOOKUP(N77,TD!$B$50:$F$54,2,0)," ")</f>
        <v>O230117</v>
      </c>
      <c r="V77" s="159" t="str">
        <f>IFERROR(VLOOKUP(N77,TD!$B$50:$F$54,3,0)," ")</f>
        <v>4599</v>
      </c>
      <c r="W77" s="159">
        <f>IFERROR(VLOOKUP(N77,TD!$B$50:$F$54,4,0)," ")</f>
        <v>20240207</v>
      </c>
      <c r="X77" s="158" t="s">
        <v>168</v>
      </c>
      <c r="Y77" s="159" t="str">
        <f>IFERROR(VLOOKUP(X77,TD!$J$51:$K$64,2,0)," ")</f>
        <v>Infraestructura Tecnológica   (Sistemas de Información y Tecnologia)</v>
      </c>
      <c r="Z77" s="160" t="str">
        <f>CONCATENATE(X77,"-",Y77)</f>
        <v>11-Infraestructura Tecnológica   (Sistemas de Información y Tecnologia)</v>
      </c>
      <c r="AA77" s="158" t="s">
        <v>228</v>
      </c>
      <c r="AB77" s="159" t="str">
        <f>IFERROR(VLOOKUP(AA77,TD!$N$51:$O$66,2,0)," ")</f>
        <v>Servicios tecnológicos</v>
      </c>
      <c r="AC77" s="160" t="str">
        <f>CONCATENATE(AA77,"_",AB77)</f>
        <v>007_Servicios tecnológicos</v>
      </c>
      <c r="AD77" s="160" t="str">
        <f>CONCATENATE(Z77," ",AC77)</f>
        <v>11-Infraestructura Tecnológica   (Sistemas de Información y Tecnologia) 007_Servicios tecnológicos</v>
      </c>
      <c r="AE77" s="159" t="str">
        <f>CONCATENATE(U77,V77,W77,X77,AA77)</f>
        <v>O23011745992024020711007</v>
      </c>
      <c r="AF77" s="159" t="str">
        <f>IFERROR(VLOOKUP(AD77,TD!$J$66:$K$89,2,0)," ")</f>
        <v>PM/0131/0111/45990070207</v>
      </c>
      <c r="AG77" s="118" t="s">
        <v>121</v>
      </c>
      <c r="AH77" s="158" t="s">
        <v>193</v>
      </c>
      <c r="AI77" s="161" t="str">
        <f>CONCATENATE(PAA[[#This Row],[Id Interno]],"-",PAA[[#This Row],[tipo de Contrato (TH talento humano - B/S bienes y/o servicios)]],"-",S77,"-",T77,"-",PAA[[#This Row],[Objeto de la contratación]])</f>
        <v>20260037-BS-8126-5-Contratar la adquisición de dispositivos para el fortalecimiento y modernización de la infraestructura tecnológica de la U.A.E. Cuerpo Oficial de Bomberos de Bogotá.</v>
      </c>
    </row>
    <row r="78" spans="2:35" ht="84" x14ac:dyDescent="0.35">
      <c r="B78" s="23">
        <v>20260038</v>
      </c>
      <c r="C78" s="99" t="s">
        <v>914</v>
      </c>
      <c r="D78" s="23" t="s">
        <v>105</v>
      </c>
      <c r="E78" s="23" t="s">
        <v>402</v>
      </c>
      <c r="F78" s="155" t="s">
        <v>89</v>
      </c>
      <c r="G78" s="156" t="s">
        <v>375</v>
      </c>
      <c r="H78" s="157">
        <v>12</v>
      </c>
      <c r="I78" s="157">
        <v>0</v>
      </c>
      <c r="J78" s="127">
        <v>100000000</v>
      </c>
      <c r="K78" s="88" t="s">
        <v>398</v>
      </c>
      <c r="L78" s="155" t="s">
        <v>151</v>
      </c>
      <c r="M78" s="158" t="s">
        <v>401</v>
      </c>
      <c r="N78" s="23" t="s">
        <v>197</v>
      </c>
      <c r="O78" s="151" t="s">
        <v>957</v>
      </c>
      <c r="P78" s="155" t="s">
        <v>348</v>
      </c>
      <c r="Q78" s="53" t="s">
        <v>449</v>
      </c>
      <c r="R78" s="158" t="s">
        <v>204</v>
      </c>
      <c r="S78" s="158" t="str">
        <f>MID(PAA[[#This Row],[Meta Proyecto de Inversión]],1,4)</f>
        <v>8126</v>
      </c>
      <c r="T78" s="158" t="str">
        <f>MID(PAA[[#This Row],[Meta Proyecto de Inversión]],6,1)</f>
        <v>5</v>
      </c>
      <c r="U78" s="159" t="str">
        <f>IFERROR(VLOOKUP(N78,TD!$B$50:$F$54,2,0)," ")</f>
        <v>O230117</v>
      </c>
      <c r="V78" s="159" t="str">
        <f>IFERROR(VLOOKUP(N78,TD!$B$50:$F$54,3,0)," ")</f>
        <v>4599</v>
      </c>
      <c r="W78" s="159">
        <f>IFERROR(VLOOKUP(N78,TD!$B$50:$F$54,4,0)," ")</f>
        <v>20240207</v>
      </c>
      <c r="X78" s="158" t="s">
        <v>168</v>
      </c>
      <c r="Y78" s="159" t="str">
        <f>IFERROR(VLOOKUP(X78,TD!$J$51:$K$64,2,0)," ")</f>
        <v>Infraestructura Tecnológica   (Sistemas de Información y Tecnologia)</v>
      </c>
      <c r="Z78" s="160" t="str">
        <f>CONCATENATE(X78,"-",Y78)</f>
        <v>11-Infraestructura Tecnológica   (Sistemas de Información y Tecnologia)</v>
      </c>
      <c r="AA78" s="158" t="s">
        <v>228</v>
      </c>
      <c r="AB78" s="159" t="str">
        <f>IFERROR(VLOOKUP(AA78,TD!$N$51:$O$66,2,0)," ")</f>
        <v>Servicios tecnológicos</v>
      </c>
      <c r="AC78" s="160" t="str">
        <f>CONCATENATE(AA78,"_",AB78)</f>
        <v>007_Servicios tecnológicos</v>
      </c>
      <c r="AD78" s="160" t="str">
        <f>CONCATENATE(Z78," ",AC78)</f>
        <v>11-Infraestructura Tecnológica   (Sistemas de Información y Tecnologia) 007_Servicios tecnológicos</v>
      </c>
      <c r="AE78" s="159" t="str">
        <f>CONCATENATE(U78,V78,W78,X78,AA78)</f>
        <v>O23011745992024020711007</v>
      </c>
      <c r="AF78" s="159" t="str">
        <f>IFERROR(VLOOKUP(AD78,TD!$J$66:$K$89,2,0)," ")</f>
        <v>PM/0131/0111/45990070207</v>
      </c>
      <c r="AG78" s="118" t="s">
        <v>116</v>
      </c>
      <c r="AH78" s="158" t="s">
        <v>194</v>
      </c>
      <c r="AI78" s="161" t="str">
        <f>CONCATENATE(PAA[[#This Row],[Id Interno]],"-",PAA[[#This Row],[tipo de Contrato (TH talento humano - B/S bienes y/o servicios)]],"-",S78,"-",T78,"-",PAA[[#This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79" spans="2:35" ht="70" x14ac:dyDescent="0.35">
      <c r="B79" s="23">
        <v>20260039</v>
      </c>
      <c r="C79" s="99" t="s">
        <v>915</v>
      </c>
      <c r="D79" s="23" t="s">
        <v>88</v>
      </c>
      <c r="E79" s="23" t="s">
        <v>402</v>
      </c>
      <c r="F79" s="155" t="s">
        <v>89</v>
      </c>
      <c r="G79" s="156" t="s">
        <v>375</v>
      </c>
      <c r="H79" s="157">
        <v>12</v>
      </c>
      <c r="I79" s="157">
        <v>0</v>
      </c>
      <c r="J79" s="127">
        <v>100000000</v>
      </c>
      <c r="K79" s="88" t="s">
        <v>398</v>
      </c>
      <c r="L79" s="155" t="s">
        <v>151</v>
      </c>
      <c r="M79" s="158" t="s">
        <v>401</v>
      </c>
      <c r="N79" s="23" t="s">
        <v>197</v>
      </c>
      <c r="O79" s="151" t="s">
        <v>957</v>
      </c>
      <c r="P79" s="155" t="s">
        <v>348</v>
      </c>
      <c r="Q79" s="53" t="s">
        <v>450</v>
      </c>
      <c r="R79" s="158" t="s">
        <v>204</v>
      </c>
      <c r="S79" s="158" t="str">
        <f>MID(PAA[[#This Row],[Meta Proyecto de Inversión]],1,4)</f>
        <v>8126</v>
      </c>
      <c r="T79" s="158" t="str">
        <f>MID(PAA[[#This Row],[Meta Proyecto de Inversión]],6,1)</f>
        <v>5</v>
      </c>
      <c r="U79" s="159" t="str">
        <f>IFERROR(VLOOKUP(N79,TD!$B$50:$F$54,2,0)," ")</f>
        <v>O230117</v>
      </c>
      <c r="V79" s="159" t="str">
        <f>IFERROR(VLOOKUP(N79,TD!$B$50:$F$54,3,0)," ")</f>
        <v>4599</v>
      </c>
      <c r="W79" s="159">
        <f>IFERROR(VLOOKUP(N79,TD!$B$50:$F$54,4,0)," ")</f>
        <v>20240207</v>
      </c>
      <c r="X79" s="158" t="s">
        <v>168</v>
      </c>
      <c r="Y79" s="159" t="str">
        <f>IFERROR(VLOOKUP(X79,TD!$J$51:$K$64,2,0)," ")</f>
        <v>Infraestructura Tecnológica   (Sistemas de Información y Tecnologia)</v>
      </c>
      <c r="Z79" s="160" t="str">
        <f>CONCATENATE(X79,"-",Y79)</f>
        <v>11-Infraestructura Tecnológica   (Sistemas de Información y Tecnologia)</v>
      </c>
      <c r="AA79" s="158" t="s">
        <v>228</v>
      </c>
      <c r="AB79" s="159" t="str">
        <f>IFERROR(VLOOKUP(AA79,TD!$N$51:$O$66,2,0)," ")</f>
        <v>Servicios tecnológicos</v>
      </c>
      <c r="AC79" s="160" t="str">
        <f>CONCATENATE(AA79,"_",AB79)</f>
        <v>007_Servicios tecnológicos</v>
      </c>
      <c r="AD79" s="160" t="str">
        <f>CONCATENATE(Z79," ",AC79)</f>
        <v>11-Infraestructura Tecnológica   (Sistemas de Información y Tecnologia) 007_Servicios tecnológicos</v>
      </c>
      <c r="AE79" s="159" t="str">
        <f>CONCATENATE(U79,V79,W79,X79,AA79)</f>
        <v>O23011745992024020711007</v>
      </c>
      <c r="AF79" s="159" t="str">
        <f>IFERROR(VLOOKUP(AD79,TD!$J$66:$K$89,2,0)," ")</f>
        <v>PM/0131/0111/45990070207</v>
      </c>
      <c r="AG79" s="118" t="s">
        <v>116</v>
      </c>
      <c r="AH79" s="158" t="s">
        <v>194</v>
      </c>
      <c r="AI79" s="161" t="str">
        <f>CONCATENATE(PAA[[#This Row],[Id Interno]],"-",PAA[[#This Row],[tipo de Contrato (TH talento humano - B/S bienes y/o servicios)]],"-",S79,"-",T79,"-",PAA[[#This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80" spans="2:35" ht="70" x14ac:dyDescent="0.35">
      <c r="B80" s="23">
        <v>20260040</v>
      </c>
      <c r="C80" s="99" t="s">
        <v>434</v>
      </c>
      <c r="D80" s="23" t="s">
        <v>105</v>
      </c>
      <c r="E80" s="23" t="s">
        <v>402</v>
      </c>
      <c r="F80" s="155" t="s">
        <v>138</v>
      </c>
      <c r="G80" s="156" t="s">
        <v>383</v>
      </c>
      <c r="H80" s="157">
        <v>12</v>
      </c>
      <c r="I80" s="157">
        <v>0</v>
      </c>
      <c r="J80" s="127">
        <v>100000000</v>
      </c>
      <c r="K80" s="88" t="s">
        <v>398</v>
      </c>
      <c r="L80" s="155" t="s">
        <v>151</v>
      </c>
      <c r="M80" s="158" t="s">
        <v>401</v>
      </c>
      <c r="N80" s="23" t="s">
        <v>197</v>
      </c>
      <c r="O80" s="151" t="s">
        <v>957</v>
      </c>
      <c r="P80" s="155" t="s">
        <v>348</v>
      </c>
      <c r="Q80" s="53">
        <v>81112217</v>
      </c>
      <c r="R80" s="158" t="s">
        <v>203</v>
      </c>
      <c r="S80" s="158" t="str">
        <f>MID(PAA[[#This Row],[Meta Proyecto de Inversión]],1,4)</f>
        <v>8126</v>
      </c>
      <c r="T80" s="158" t="str">
        <f>MID(PAA[[#This Row],[Meta Proyecto de Inversión]],6,1)</f>
        <v>4</v>
      </c>
      <c r="U80" s="159" t="str">
        <f>IFERROR(VLOOKUP(N80,TD!$B$50:$F$54,2,0)," ")</f>
        <v>O230117</v>
      </c>
      <c r="V80" s="159" t="str">
        <f>IFERROR(VLOOKUP(N80,TD!$B$50:$F$54,3,0)," ")</f>
        <v>4599</v>
      </c>
      <c r="W80" s="159">
        <f>IFERROR(VLOOKUP(N80,TD!$B$50:$F$54,4,0)," ")</f>
        <v>20240207</v>
      </c>
      <c r="X80" s="158" t="s">
        <v>168</v>
      </c>
      <c r="Y80" s="159" t="str">
        <f>IFERROR(VLOOKUP(X80,TD!$J$51:$K$64,2,0)," ")</f>
        <v>Infraestructura Tecnológica   (Sistemas de Información y Tecnologia)</v>
      </c>
      <c r="Z80" s="160" t="str">
        <f>CONCATENATE(X80,"-",Y80)</f>
        <v>11-Infraestructura Tecnológica   (Sistemas de Información y Tecnologia)</v>
      </c>
      <c r="AA80" s="158" t="s">
        <v>228</v>
      </c>
      <c r="AB80" s="159" t="str">
        <f>IFERROR(VLOOKUP(AA80,TD!$N$51:$O$66,2,0)," ")</f>
        <v>Servicios tecnológicos</v>
      </c>
      <c r="AC80" s="160" t="str">
        <f>CONCATENATE(AA80,"_",AB80)</f>
        <v>007_Servicios tecnológicos</v>
      </c>
      <c r="AD80" s="160" t="str">
        <f>CONCATENATE(Z80," ",AC80)</f>
        <v>11-Infraestructura Tecnológica   (Sistemas de Información y Tecnologia) 007_Servicios tecnológicos</v>
      </c>
      <c r="AE80" s="159" t="str">
        <f>CONCATENATE(U80,V80,W80,X80,AA80)</f>
        <v>O23011745992024020711007</v>
      </c>
      <c r="AF80" s="159" t="str">
        <f>IFERROR(VLOOKUP(AD80,TD!$J$66:$K$89,2,0)," ")</f>
        <v>PM/0131/0111/45990070207</v>
      </c>
      <c r="AG80" s="118" t="s">
        <v>116</v>
      </c>
      <c r="AH80" s="158" t="s">
        <v>193</v>
      </c>
      <c r="AI80" s="161" t="str">
        <f>CONCATENATE(PAA[[#This Row],[Id Interno]],"-",PAA[[#This Row],[tipo de Contrato (TH talento humano - B/S bienes y/o servicios)]],"-",S80,"-",T80,"-",PAA[[#This Row],[Objeto de la contratación]])</f>
        <v>20260040-BS-8126-4-Contratar el servicio de actualización y soporte de licenciamiento ArcGIS para la U.A.E. Cuerpo Oficial de Bomberos de Bogotá.- TIC</v>
      </c>
    </row>
    <row r="81" spans="2:35" ht="70" x14ac:dyDescent="0.35">
      <c r="B81" s="23">
        <v>20260041</v>
      </c>
      <c r="C81" s="99" t="s">
        <v>435</v>
      </c>
      <c r="D81" s="23" t="s">
        <v>92</v>
      </c>
      <c r="E81" s="23" t="s">
        <v>402</v>
      </c>
      <c r="F81" s="155" t="s">
        <v>89</v>
      </c>
      <c r="G81" s="156" t="s">
        <v>380</v>
      </c>
      <c r="H81" s="157">
        <v>12</v>
      </c>
      <c r="I81" s="157">
        <v>0</v>
      </c>
      <c r="J81" s="127">
        <v>15000000</v>
      </c>
      <c r="K81" s="88" t="s">
        <v>398</v>
      </c>
      <c r="L81" s="155" t="s">
        <v>151</v>
      </c>
      <c r="M81" s="158" t="s">
        <v>401</v>
      </c>
      <c r="N81" s="23" t="s">
        <v>197</v>
      </c>
      <c r="O81" s="151" t="s">
        <v>957</v>
      </c>
      <c r="P81" s="155" t="s">
        <v>348</v>
      </c>
      <c r="Q81" s="53" t="s">
        <v>451</v>
      </c>
      <c r="R81" s="158" t="s">
        <v>204</v>
      </c>
      <c r="S81" s="158" t="str">
        <f>MID(PAA[[#This Row],[Meta Proyecto de Inversión]],1,4)</f>
        <v>8126</v>
      </c>
      <c r="T81" s="158" t="str">
        <f>MID(PAA[[#This Row],[Meta Proyecto de Inversión]],6,1)</f>
        <v>5</v>
      </c>
      <c r="U81" s="159" t="str">
        <f>IFERROR(VLOOKUP(N81,TD!$B$50:$F$54,2,0)," ")</f>
        <v>O230117</v>
      </c>
      <c r="V81" s="159" t="str">
        <f>IFERROR(VLOOKUP(N81,TD!$B$50:$F$54,3,0)," ")</f>
        <v>4599</v>
      </c>
      <c r="W81" s="159">
        <f>IFERROR(VLOOKUP(N81,TD!$B$50:$F$54,4,0)," ")</f>
        <v>20240207</v>
      </c>
      <c r="X81" s="158" t="s">
        <v>168</v>
      </c>
      <c r="Y81" s="159" t="str">
        <f>IFERROR(VLOOKUP(X81,TD!$J$51:$K$64,2,0)," ")</f>
        <v>Infraestructura Tecnológica   (Sistemas de Información y Tecnologia)</v>
      </c>
      <c r="Z81" s="160" t="str">
        <f>CONCATENATE(X81,"-",Y81)</f>
        <v>11-Infraestructura Tecnológica   (Sistemas de Información y Tecnologia)</v>
      </c>
      <c r="AA81" s="158" t="s">
        <v>228</v>
      </c>
      <c r="AB81" s="159" t="str">
        <f>IFERROR(VLOOKUP(AA81,TD!$N$51:$O$66,2,0)," ")</f>
        <v>Servicios tecnológicos</v>
      </c>
      <c r="AC81" s="160" t="str">
        <f>CONCATENATE(AA81,"_",AB81)</f>
        <v>007_Servicios tecnológicos</v>
      </c>
      <c r="AD81" s="160" t="str">
        <f>CONCATENATE(Z81," ",AC81)</f>
        <v>11-Infraestructura Tecnológica   (Sistemas de Información y Tecnologia) 007_Servicios tecnológicos</v>
      </c>
      <c r="AE81" s="159" t="str">
        <f>CONCATENATE(U81,V81,W81,X81,AA81)</f>
        <v>O23011745992024020711007</v>
      </c>
      <c r="AF81" s="159" t="str">
        <f>IFERROR(VLOOKUP(AD81,TD!$J$66:$K$89,2,0)," ")</f>
        <v>PM/0131/0111/45990070207</v>
      </c>
      <c r="AG81" s="118" t="s">
        <v>116</v>
      </c>
      <c r="AH81" s="158" t="s">
        <v>193</v>
      </c>
      <c r="AI81" s="161" t="str">
        <f>CONCATENATE(PAA[[#This Row],[Id Interno]],"-",PAA[[#This Row],[tipo de Contrato (TH talento humano - B/S bienes y/o servicios)]],"-",S81,"-",T81,"-",PAA[[#This Row],[Objeto de la contratación]])</f>
        <v xml:space="preserve">20260041-BS-8126-5-Contratar la adquisición de tarjetas de comunicación satelital de voz, para la U.A.E. Cuerpo Oficial de Bomberos de Bogotá. </v>
      </c>
    </row>
    <row r="82" spans="2:35" ht="84" x14ac:dyDescent="0.35">
      <c r="B82" s="23">
        <v>20260042</v>
      </c>
      <c r="C82" s="99" t="s">
        <v>436</v>
      </c>
      <c r="D82" s="23" t="s">
        <v>88</v>
      </c>
      <c r="E82" s="23" t="s">
        <v>402</v>
      </c>
      <c r="F82" s="155" t="s">
        <v>138</v>
      </c>
      <c r="G82" s="156" t="s">
        <v>382</v>
      </c>
      <c r="H82" s="157">
        <v>12</v>
      </c>
      <c r="I82" s="157">
        <v>0</v>
      </c>
      <c r="J82" s="127">
        <v>100000000</v>
      </c>
      <c r="K82" s="88" t="s">
        <v>398</v>
      </c>
      <c r="L82" s="155" t="s">
        <v>151</v>
      </c>
      <c r="M82" s="158" t="s">
        <v>401</v>
      </c>
      <c r="N82" s="23" t="s">
        <v>197</v>
      </c>
      <c r="O82" s="151" t="s">
        <v>957</v>
      </c>
      <c r="P82" s="155" t="s">
        <v>348</v>
      </c>
      <c r="Q82" s="53">
        <v>43222635</v>
      </c>
      <c r="R82" s="158" t="s">
        <v>204</v>
      </c>
      <c r="S82" s="158" t="str">
        <f>MID(PAA[[#This Row],[Meta Proyecto de Inversión]],1,4)</f>
        <v>8126</v>
      </c>
      <c r="T82" s="158" t="str">
        <f>MID(PAA[[#This Row],[Meta Proyecto de Inversión]],6,1)</f>
        <v>5</v>
      </c>
      <c r="U82" s="159" t="str">
        <f>IFERROR(VLOOKUP(N82,TD!$B$50:$F$54,2,0)," ")</f>
        <v>O230117</v>
      </c>
      <c r="V82" s="159" t="str">
        <f>IFERROR(VLOOKUP(N82,TD!$B$50:$F$54,3,0)," ")</f>
        <v>4599</v>
      </c>
      <c r="W82" s="159">
        <f>IFERROR(VLOOKUP(N82,TD!$B$50:$F$54,4,0)," ")</f>
        <v>20240207</v>
      </c>
      <c r="X82" s="158" t="s">
        <v>168</v>
      </c>
      <c r="Y82" s="159" t="str">
        <f>IFERROR(VLOOKUP(X82,TD!$J$51:$K$64,2,0)," ")</f>
        <v>Infraestructura Tecnológica   (Sistemas de Información y Tecnologia)</v>
      </c>
      <c r="Z82" s="160" t="str">
        <f>CONCATENATE(X82,"-",Y82)</f>
        <v>11-Infraestructura Tecnológica   (Sistemas de Información y Tecnologia)</v>
      </c>
      <c r="AA82" s="158" t="s">
        <v>228</v>
      </c>
      <c r="AB82" s="159" t="str">
        <f>IFERROR(VLOOKUP(AA82,TD!$N$51:$O$66,2,0)," ")</f>
        <v>Servicios tecnológicos</v>
      </c>
      <c r="AC82" s="160" t="str">
        <f>CONCATENATE(AA82,"_",AB82)</f>
        <v>007_Servicios tecnológicos</v>
      </c>
      <c r="AD82" s="160" t="str">
        <f>CONCATENATE(Z82," ",AC82)</f>
        <v>11-Infraestructura Tecnológica   (Sistemas de Información y Tecnologia) 007_Servicios tecnológicos</v>
      </c>
      <c r="AE82" s="159" t="str">
        <f>CONCATENATE(U82,V82,W82,X82,AA82)</f>
        <v>O23011745992024020711007</v>
      </c>
      <c r="AF82" s="159" t="str">
        <f>IFERROR(VLOOKUP(AD82,TD!$J$66:$K$89,2,0)," ")</f>
        <v>PM/0131/0111/45990070207</v>
      </c>
      <c r="AG82" s="118" t="s">
        <v>116</v>
      </c>
      <c r="AH82" s="158" t="s">
        <v>193</v>
      </c>
      <c r="AI82" s="161" t="str">
        <f>CONCATENATE(PAA[[#This Row],[Id Interno]],"-",PAA[[#This Row],[tipo de Contrato (TH talento humano - B/S bienes y/o servicios)]],"-",S82,"-",T82,"-",PAA[[#This Row],[Objeto de la contratación]])</f>
        <v>20260042-BS-8126-5-Contratar la renovación de garantía y soporte de fabrica de los equipos activos que hacen parte de la infraestructura tecnológica de la U.A.E. Cuerpo Oficial de Bomberos de Bogotá.</v>
      </c>
    </row>
    <row r="83" spans="2:35" ht="84" x14ac:dyDescent="0.35">
      <c r="B83" s="23">
        <v>20260043</v>
      </c>
      <c r="C83" s="99" t="s">
        <v>437</v>
      </c>
      <c r="D83" s="23" t="s">
        <v>105</v>
      </c>
      <c r="E83" s="23" t="s">
        <v>402</v>
      </c>
      <c r="F83" s="155" t="s">
        <v>138</v>
      </c>
      <c r="G83" s="156" t="s">
        <v>376</v>
      </c>
      <c r="H83" s="157">
        <v>12</v>
      </c>
      <c r="I83" s="157">
        <v>0</v>
      </c>
      <c r="J83" s="127">
        <v>30000000</v>
      </c>
      <c r="K83" s="88" t="s">
        <v>398</v>
      </c>
      <c r="L83" s="155" t="s">
        <v>151</v>
      </c>
      <c r="M83" s="158" t="s">
        <v>401</v>
      </c>
      <c r="N83" s="23" t="s">
        <v>197</v>
      </c>
      <c r="O83" s="151" t="s">
        <v>957</v>
      </c>
      <c r="P83" s="155" t="s">
        <v>348</v>
      </c>
      <c r="Q83" s="53" t="s">
        <v>452</v>
      </c>
      <c r="R83" s="158" t="s">
        <v>203</v>
      </c>
      <c r="S83" s="158" t="str">
        <f>MID(PAA[[#This Row],[Meta Proyecto de Inversión]],1,4)</f>
        <v>8126</v>
      </c>
      <c r="T83" s="158" t="str">
        <f>MID(PAA[[#This Row],[Meta Proyecto de Inversión]],6,1)</f>
        <v>4</v>
      </c>
      <c r="U83" s="159" t="str">
        <f>IFERROR(VLOOKUP(N83,TD!$B$50:$F$54,2,0)," ")</f>
        <v>O230117</v>
      </c>
      <c r="V83" s="159" t="str">
        <f>IFERROR(VLOOKUP(N83,TD!$B$50:$F$54,3,0)," ")</f>
        <v>4599</v>
      </c>
      <c r="W83" s="159">
        <f>IFERROR(VLOOKUP(N83,TD!$B$50:$F$54,4,0)," ")</f>
        <v>20240207</v>
      </c>
      <c r="X83" s="158" t="s">
        <v>168</v>
      </c>
      <c r="Y83" s="159" t="str">
        <f>IFERROR(VLOOKUP(X83,TD!$J$51:$K$64,2,0)," ")</f>
        <v>Infraestructura Tecnológica   (Sistemas de Información y Tecnologia)</v>
      </c>
      <c r="Z83" s="160" t="str">
        <f>CONCATENATE(X83,"-",Y83)</f>
        <v>11-Infraestructura Tecnológica   (Sistemas de Información y Tecnologia)</v>
      </c>
      <c r="AA83" s="158" t="s">
        <v>228</v>
      </c>
      <c r="AB83" s="159" t="str">
        <f>IFERROR(VLOOKUP(AA83,TD!$N$51:$O$66,2,0)," ")</f>
        <v>Servicios tecnológicos</v>
      </c>
      <c r="AC83" s="160" t="str">
        <f>CONCATENATE(AA83,"_",AB83)</f>
        <v>007_Servicios tecnológicos</v>
      </c>
      <c r="AD83" s="160" t="str">
        <f>CONCATENATE(Z83," ",AC83)</f>
        <v>11-Infraestructura Tecnológica   (Sistemas de Información y Tecnologia) 007_Servicios tecnológicos</v>
      </c>
      <c r="AE83" s="159" t="str">
        <f>CONCATENATE(U83,V83,W83,X83,AA83)</f>
        <v>O23011745992024020711007</v>
      </c>
      <c r="AF83" s="159" t="str">
        <f>IFERROR(VLOOKUP(AD83,TD!$J$66:$K$89,2,0)," ")</f>
        <v>PM/0131/0111/45990070207</v>
      </c>
      <c r="AG83" s="118" t="s">
        <v>116</v>
      </c>
      <c r="AH83" s="158" t="s">
        <v>193</v>
      </c>
      <c r="AI83" s="161" t="str">
        <f>CONCATENATE(PAA[[#This Row],[Id Interno]],"-",PAA[[#This Row],[tipo de Contrato (TH talento humano - B/S bienes y/o servicios)]],"-",S83,"-",T83,"-",PAA[[#This Row],[Objeto de la contratación]])</f>
        <v>20260043-BS-8126-4-Actualización y renovación para ASMS( Aranda service manangment suite), soporte y mantenimiento del licenciamiento Software Aranda para la U.A.E. Cuerpo Oficial de Bomberos Bogota - TIC</v>
      </c>
    </row>
    <row r="84" spans="2:35" ht="70" x14ac:dyDescent="0.35">
      <c r="B84" s="23">
        <v>20260044</v>
      </c>
      <c r="C84" s="99" t="s">
        <v>438</v>
      </c>
      <c r="D84" s="23" t="s">
        <v>105</v>
      </c>
      <c r="E84" s="23" t="s">
        <v>402</v>
      </c>
      <c r="F84" s="155" t="s">
        <v>143</v>
      </c>
      <c r="G84" s="156" t="s">
        <v>373</v>
      </c>
      <c r="H84" s="157">
        <v>12</v>
      </c>
      <c r="I84" s="157">
        <v>0</v>
      </c>
      <c r="J84" s="127">
        <v>25000000</v>
      </c>
      <c r="K84" s="88" t="s">
        <v>398</v>
      </c>
      <c r="L84" s="155" t="s">
        <v>151</v>
      </c>
      <c r="M84" s="158" t="s">
        <v>401</v>
      </c>
      <c r="N84" s="23" t="s">
        <v>197</v>
      </c>
      <c r="O84" s="151" t="s">
        <v>957</v>
      </c>
      <c r="P84" s="155" t="s">
        <v>348</v>
      </c>
      <c r="Q84" s="53" t="s">
        <v>453</v>
      </c>
      <c r="R84" s="158" t="s">
        <v>203</v>
      </c>
      <c r="S84" s="158" t="str">
        <f>MID(PAA[[#This Row],[Meta Proyecto de Inversión]],1,4)</f>
        <v>8126</v>
      </c>
      <c r="T84" s="158" t="str">
        <f>MID(PAA[[#This Row],[Meta Proyecto de Inversión]],6,1)</f>
        <v>4</v>
      </c>
      <c r="U84" s="159" t="str">
        <f>IFERROR(VLOOKUP(N84,TD!$B$50:$F$54,2,0)," ")</f>
        <v>O230117</v>
      </c>
      <c r="V84" s="159" t="str">
        <f>IFERROR(VLOOKUP(N84,TD!$B$50:$F$54,3,0)," ")</f>
        <v>4599</v>
      </c>
      <c r="W84" s="159">
        <f>IFERROR(VLOOKUP(N84,TD!$B$50:$F$54,4,0)," ")</f>
        <v>20240207</v>
      </c>
      <c r="X84" s="158" t="s">
        <v>168</v>
      </c>
      <c r="Y84" s="159" t="str">
        <f>IFERROR(VLOOKUP(X84,TD!$J$51:$K$64,2,0)," ")</f>
        <v>Infraestructura Tecnológica   (Sistemas de Información y Tecnologia)</v>
      </c>
      <c r="Z84" s="160" t="str">
        <f>CONCATENATE(X84,"-",Y84)</f>
        <v>11-Infraestructura Tecnológica   (Sistemas de Información y Tecnologia)</v>
      </c>
      <c r="AA84" s="158" t="s">
        <v>228</v>
      </c>
      <c r="AB84" s="159" t="str">
        <f>IFERROR(VLOOKUP(AA84,TD!$N$51:$O$66,2,0)," ")</f>
        <v>Servicios tecnológicos</v>
      </c>
      <c r="AC84" s="160" t="str">
        <f>CONCATENATE(AA84,"_",AB84)</f>
        <v>007_Servicios tecnológicos</v>
      </c>
      <c r="AD84" s="160" t="str">
        <f>CONCATENATE(Z84," ",AC84)</f>
        <v>11-Infraestructura Tecnológica   (Sistemas de Información y Tecnologia) 007_Servicios tecnológicos</v>
      </c>
      <c r="AE84" s="159" t="str">
        <f>CONCATENATE(U84,V84,W84,X84,AA84)</f>
        <v>O23011745992024020711007</v>
      </c>
      <c r="AF84" s="159" t="str">
        <f>IFERROR(VLOOKUP(AD84,TD!$J$66:$K$89,2,0)," ")</f>
        <v>PM/0131/0111/45990070207</v>
      </c>
      <c r="AG84" s="118" t="s">
        <v>116</v>
      </c>
      <c r="AH84" s="158" t="s">
        <v>193</v>
      </c>
      <c r="AI84" s="161" t="str">
        <f>CONCATENATE(PAA[[#This Row],[Id Interno]],"-",PAA[[#This Row],[tipo de Contrato (TH talento humano - B/S bienes y/o servicios)]],"-",S84,"-",T84,"-",PAA[[#This Row],[Objeto de la contratación]])</f>
        <v>20260044-BS-8126-4-Contratar el servicio de mantenimiento, soporte técnico y actualización del aplicativo PCT, utilizado por la UAE Cuerpo Oficial de Bomberos de Bogota - TIC</v>
      </c>
    </row>
    <row r="85" spans="2:35" ht="56" x14ac:dyDescent="0.35">
      <c r="B85" s="23">
        <v>20260045</v>
      </c>
      <c r="C85" s="99" t="s">
        <v>439</v>
      </c>
      <c r="D85" s="23" t="s">
        <v>105</v>
      </c>
      <c r="E85" s="23" t="s">
        <v>402</v>
      </c>
      <c r="F85" s="155" t="s">
        <v>138</v>
      </c>
      <c r="G85" s="156" t="s">
        <v>378</v>
      </c>
      <c r="H85" s="157">
        <v>12</v>
      </c>
      <c r="I85" s="157">
        <v>0</v>
      </c>
      <c r="J85" s="127">
        <v>200000000</v>
      </c>
      <c r="K85" s="88" t="s">
        <v>398</v>
      </c>
      <c r="L85" s="155" t="s">
        <v>151</v>
      </c>
      <c r="M85" s="158" t="s">
        <v>401</v>
      </c>
      <c r="N85" s="23" t="s">
        <v>197</v>
      </c>
      <c r="O85" s="151" t="s">
        <v>957</v>
      </c>
      <c r="P85" s="155" t="s">
        <v>348</v>
      </c>
      <c r="Q85" s="53" t="s">
        <v>454</v>
      </c>
      <c r="R85" s="158" t="s">
        <v>203</v>
      </c>
      <c r="S85" s="158" t="str">
        <f>MID(PAA[[#This Row],[Meta Proyecto de Inversión]],1,4)</f>
        <v>8126</v>
      </c>
      <c r="T85" s="158" t="str">
        <f>MID(PAA[[#This Row],[Meta Proyecto de Inversión]],6,1)</f>
        <v>4</v>
      </c>
      <c r="U85" s="159" t="str">
        <f>IFERROR(VLOOKUP(N85,TD!$B$50:$F$54,2,0)," ")</f>
        <v>O230117</v>
      </c>
      <c r="V85" s="159" t="str">
        <f>IFERROR(VLOOKUP(N85,TD!$B$50:$F$54,3,0)," ")</f>
        <v>4599</v>
      </c>
      <c r="W85" s="159">
        <f>IFERROR(VLOOKUP(N85,TD!$B$50:$F$54,4,0)," ")</f>
        <v>20240207</v>
      </c>
      <c r="X85" s="158" t="s">
        <v>168</v>
      </c>
      <c r="Y85" s="159" t="str">
        <f>IFERROR(VLOOKUP(X85,TD!$J$51:$K$64,2,0)," ")</f>
        <v>Infraestructura Tecnológica   (Sistemas de Información y Tecnologia)</v>
      </c>
      <c r="Z85" s="160" t="str">
        <f>CONCATENATE(X85,"-",Y85)</f>
        <v>11-Infraestructura Tecnológica   (Sistemas de Información y Tecnologia)</v>
      </c>
      <c r="AA85" s="158" t="s">
        <v>228</v>
      </c>
      <c r="AB85" s="159" t="str">
        <f>IFERROR(VLOOKUP(AA85,TD!$N$51:$O$66,2,0)," ")</f>
        <v>Servicios tecnológicos</v>
      </c>
      <c r="AC85" s="160" t="str">
        <f>CONCATENATE(AA85,"_",AB85)</f>
        <v>007_Servicios tecnológicos</v>
      </c>
      <c r="AD85" s="160" t="str">
        <f>CONCATENATE(Z85," ",AC85)</f>
        <v>11-Infraestructura Tecnológica   (Sistemas de Información y Tecnologia) 007_Servicios tecnológicos</v>
      </c>
      <c r="AE85" s="159" t="str">
        <f>CONCATENATE(U85,V85,W85,X85,AA85)</f>
        <v>O23011745992024020711007</v>
      </c>
      <c r="AF85" s="159" t="str">
        <f>IFERROR(VLOOKUP(AD85,TD!$J$66:$K$89,2,0)," ")</f>
        <v>PM/0131/0111/45990070207</v>
      </c>
      <c r="AG85" s="118" t="s">
        <v>116</v>
      </c>
      <c r="AH85" s="158" t="s">
        <v>193</v>
      </c>
      <c r="AI85" s="161" t="str">
        <f>CONCATENATE(PAA[[#This Row],[Id Interno]],"-",PAA[[#This Row],[tipo de Contrato (TH talento humano - B/S bienes y/o servicios)]],"-",S85,"-",T85,"-",PAA[[#This Row],[Objeto de la contratación]])</f>
        <v>20260045-BS-8126-4-Contratar la renovación , servicio de actualización y soporte de licenciamiento Oracle para Base de Datos,  y Web Logic para la U.A.E. Cuerpo Oficial de Bomberos de Bogotá - TIC</v>
      </c>
    </row>
    <row r="86" spans="2:35" ht="126" x14ac:dyDescent="0.35">
      <c r="B86" s="23">
        <v>20260046</v>
      </c>
      <c r="C86" s="99" t="s">
        <v>440</v>
      </c>
      <c r="D86" s="23" t="s">
        <v>88</v>
      </c>
      <c r="E86" s="23" t="s">
        <v>402</v>
      </c>
      <c r="F86" s="155" t="s">
        <v>89</v>
      </c>
      <c r="G86" s="156" t="s">
        <v>374</v>
      </c>
      <c r="H86" s="157">
        <v>12</v>
      </c>
      <c r="I86" s="157">
        <v>0</v>
      </c>
      <c r="J86" s="127">
        <v>50000000</v>
      </c>
      <c r="K86" s="88" t="s">
        <v>398</v>
      </c>
      <c r="L86" s="155" t="s">
        <v>151</v>
      </c>
      <c r="M86" s="158" t="s">
        <v>401</v>
      </c>
      <c r="N86" s="23" t="s">
        <v>197</v>
      </c>
      <c r="O86" s="151" t="s">
        <v>957</v>
      </c>
      <c r="P86" s="155" t="s">
        <v>348</v>
      </c>
      <c r="Q86" s="53" t="s">
        <v>455</v>
      </c>
      <c r="R86" s="158" t="s">
        <v>204</v>
      </c>
      <c r="S86" s="158" t="str">
        <f>MID(PAA[[#This Row],[Meta Proyecto de Inversión]],1,4)</f>
        <v>8126</v>
      </c>
      <c r="T86" s="158" t="str">
        <f>MID(PAA[[#This Row],[Meta Proyecto de Inversión]],6,1)</f>
        <v>5</v>
      </c>
      <c r="U86" s="159" t="str">
        <f>IFERROR(VLOOKUP(N86,TD!$B$50:$F$54,2,0)," ")</f>
        <v>O230117</v>
      </c>
      <c r="V86" s="159" t="str">
        <f>IFERROR(VLOOKUP(N86,TD!$B$50:$F$54,3,0)," ")</f>
        <v>4599</v>
      </c>
      <c r="W86" s="159">
        <f>IFERROR(VLOOKUP(N86,TD!$B$50:$F$54,4,0)," ")</f>
        <v>20240207</v>
      </c>
      <c r="X86" s="158" t="s">
        <v>168</v>
      </c>
      <c r="Y86" s="159" t="str">
        <f>IFERROR(VLOOKUP(X86,TD!$J$51:$K$64,2,0)," ")</f>
        <v>Infraestructura Tecnológica   (Sistemas de Información y Tecnologia)</v>
      </c>
      <c r="Z86" s="160" t="str">
        <f>CONCATENATE(X86,"-",Y86)</f>
        <v>11-Infraestructura Tecnológica   (Sistemas de Información y Tecnologia)</v>
      </c>
      <c r="AA86" s="158" t="s">
        <v>228</v>
      </c>
      <c r="AB86" s="159" t="str">
        <f>IFERROR(VLOOKUP(AA86,TD!$N$51:$O$66,2,0)," ")</f>
        <v>Servicios tecnológicos</v>
      </c>
      <c r="AC86" s="160" t="str">
        <f>CONCATENATE(AA86,"_",AB86)</f>
        <v>007_Servicios tecnológicos</v>
      </c>
      <c r="AD86" s="160" t="str">
        <f>CONCATENATE(Z86," ",AC86)</f>
        <v>11-Infraestructura Tecnológica   (Sistemas de Información y Tecnologia) 007_Servicios tecnológicos</v>
      </c>
      <c r="AE86" s="159" t="str">
        <f>CONCATENATE(U86,V86,W86,X86,AA86)</f>
        <v>O23011745992024020711007</v>
      </c>
      <c r="AF86" s="159" t="str">
        <f>IFERROR(VLOOKUP(AD86,TD!$J$66:$K$89,2,0)," ")</f>
        <v>PM/0131/0111/45990070207</v>
      </c>
      <c r="AG86" s="118" t="s">
        <v>116</v>
      </c>
      <c r="AH86" s="158" t="s">
        <v>193</v>
      </c>
      <c r="AI86" s="161" t="str">
        <f>CONCATENATE(PAA[[#This Row],[Id Interno]],"-",PAA[[#This Row],[tipo de Contrato (TH talento humano - B/S bienes y/o servicios)]],"-",S86,"-",T86,"-",PAA[[#This Row],[Objeto de la contratación]])</f>
        <v>20260046-BS-8126-5-Modernización y mantenimiento de la solución de control de acceso con reconocimiento facial para la U.A.E. Cuerpo Oficial Bomberos de Bogotá</v>
      </c>
    </row>
    <row r="87" spans="2:35" ht="126" x14ac:dyDescent="0.35">
      <c r="B87" s="23">
        <v>20260047</v>
      </c>
      <c r="C87" s="99" t="s">
        <v>441</v>
      </c>
      <c r="D87" s="23" t="s">
        <v>88</v>
      </c>
      <c r="E87" s="23" t="s">
        <v>402</v>
      </c>
      <c r="F87" s="155" t="s">
        <v>146</v>
      </c>
      <c r="G87" s="156" t="s">
        <v>378</v>
      </c>
      <c r="H87" s="157">
        <v>12</v>
      </c>
      <c r="I87" s="157">
        <v>0</v>
      </c>
      <c r="J87" s="127">
        <v>10000000</v>
      </c>
      <c r="K87" s="88" t="s">
        <v>398</v>
      </c>
      <c r="L87" s="155" t="s">
        <v>151</v>
      </c>
      <c r="M87" s="158" t="s">
        <v>401</v>
      </c>
      <c r="N87" s="23" t="s">
        <v>197</v>
      </c>
      <c r="O87" s="151" t="s">
        <v>957</v>
      </c>
      <c r="P87" s="155" t="s">
        <v>348</v>
      </c>
      <c r="Q87" s="53" t="s">
        <v>456</v>
      </c>
      <c r="R87" s="158" t="s">
        <v>203</v>
      </c>
      <c r="S87" s="158" t="str">
        <f>MID(PAA[[#This Row],[Meta Proyecto de Inversión]],1,4)</f>
        <v>8126</v>
      </c>
      <c r="T87" s="158" t="str">
        <f>MID(PAA[[#This Row],[Meta Proyecto de Inversión]],6,1)</f>
        <v>4</v>
      </c>
      <c r="U87" s="159" t="str">
        <f>IFERROR(VLOOKUP(N87,TD!$B$50:$F$54,2,0)," ")</f>
        <v>O230117</v>
      </c>
      <c r="V87" s="159" t="str">
        <f>IFERROR(VLOOKUP(N87,TD!$B$50:$F$54,3,0)," ")</f>
        <v>4599</v>
      </c>
      <c r="W87" s="159">
        <f>IFERROR(VLOOKUP(N87,TD!$B$50:$F$54,4,0)," ")</f>
        <v>20240207</v>
      </c>
      <c r="X87" s="158" t="s">
        <v>168</v>
      </c>
      <c r="Y87" s="159" t="str">
        <f>IFERROR(VLOOKUP(X87,TD!$J$51:$K$64,2,0)," ")</f>
        <v>Infraestructura Tecnológica   (Sistemas de Información y Tecnologia)</v>
      </c>
      <c r="Z87" s="160" t="str">
        <f>CONCATENATE(X87,"-",Y87)</f>
        <v>11-Infraestructura Tecnológica   (Sistemas de Información y Tecnologia)</v>
      </c>
      <c r="AA87" s="158" t="s">
        <v>228</v>
      </c>
      <c r="AB87" s="159" t="str">
        <f>IFERROR(VLOOKUP(AA87,TD!$N$51:$O$66,2,0)," ")</f>
        <v>Servicios tecnológicos</v>
      </c>
      <c r="AC87" s="160" t="str">
        <f>CONCATENATE(AA87,"_",AB87)</f>
        <v>007_Servicios tecnológicos</v>
      </c>
      <c r="AD87" s="160" t="str">
        <f>CONCATENATE(Z87," ",AC87)</f>
        <v>11-Infraestructura Tecnológica   (Sistemas de Información y Tecnologia) 007_Servicios tecnológicos</v>
      </c>
      <c r="AE87" s="159" t="str">
        <f>CONCATENATE(U87,V87,W87,X87,AA87)</f>
        <v>O23011745992024020711007</v>
      </c>
      <c r="AF87" s="159" t="str">
        <f>IFERROR(VLOOKUP(AD87,TD!$J$66:$K$89,2,0)," ")</f>
        <v>PM/0131/0111/45990070207</v>
      </c>
      <c r="AG87" s="118" t="s">
        <v>116</v>
      </c>
      <c r="AH87" s="158" t="s">
        <v>193</v>
      </c>
      <c r="AI87" s="161" t="str">
        <f>CONCATENATE(PAA[[#This Row],[Id Interno]],"-",PAA[[#This Row],[tipo de Contrato (TH talento humano - B/S bienes y/o servicios)]],"-",S87,"-",T87,"-",PAA[[#This Row],[Objeto de la contratación]])</f>
        <v>20260047-BS-8126-4-Contratar el servicios de mantenimiento para el sistema de atención de turnos de la U.A.E. Cuerpo Ofical de Bomberos de Bogotá - TIC</v>
      </c>
    </row>
    <row r="88" spans="2:35" ht="56" x14ac:dyDescent="0.35">
      <c r="B88" s="23">
        <v>20260048</v>
      </c>
      <c r="C88" s="99" t="s">
        <v>442</v>
      </c>
      <c r="D88" s="23" t="s">
        <v>78</v>
      </c>
      <c r="E88" s="23" t="s">
        <v>402</v>
      </c>
      <c r="F88" s="155" t="s">
        <v>89</v>
      </c>
      <c r="G88" s="156" t="s">
        <v>375</v>
      </c>
      <c r="H88" s="157">
        <v>12</v>
      </c>
      <c r="I88" s="157">
        <v>0</v>
      </c>
      <c r="J88" s="127">
        <v>307000000</v>
      </c>
      <c r="K88" s="88" t="s">
        <v>398</v>
      </c>
      <c r="L88" s="155" t="s">
        <v>151</v>
      </c>
      <c r="M88" s="158" t="s">
        <v>401</v>
      </c>
      <c r="N88" s="23" t="s">
        <v>197</v>
      </c>
      <c r="O88" s="151" t="s">
        <v>957</v>
      </c>
      <c r="P88" s="155" t="s">
        <v>348</v>
      </c>
      <c r="Q88" s="53" t="s">
        <v>457</v>
      </c>
      <c r="R88" s="158" t="s">
        <v>204</v>
      </c>
      <c r="S88" s="158" t="str">
        <f>MID(PAA[[#This Row],[Meta Proyecto de Inversión]],1,4)</f>
        <v>8126</v>
      </c>
      <c r="T88" s="158" t="str">
        <f>MID(PAA[[#This Row],[Meta Proyecto de Inversión]],6,1)</f>
        <v>5</v>
      </c>
      <c r="U88" s="159" t="str">
        <f>IFERROR(VLOOKUP(N88,TD!$B$50:$F$54,2,0)," ")</f>
        <v>O230117</v>
      </c>
      <c r="V88" s="159" t="str">
        <f>IFERROR(VLOOKUP(N88,TD!$B$50:$F$54,3,0)," ")</f>
        <v>4599</v>
      </c>
      <c r="W88" s="159">
        <f>IFERROR(VLOOKUP(N88,TD!$B$50:$F$54,4,0)," ")</f>
        <v>20240207</v>
      </c>
      <c r="X88" s="158" t="s">
        <v>168</v>
      </c>
      <c r="Y88" s="159" t="str">
        <f>IFERROR(VLOOKUP(X88,TD!$J$51:$K$64,2,0)," ")</f>
        <v>Infraestructura Tecnológica   (Sistemas de Información y Tecnologia)</v>
      </c>
      <c r="Z88" s="160" t="str">
        <f>CONCATENATE(X88,"-",Y88)</f>
        <v>11-Infraestructura Tecnológica   (Sistemas de Información y Tecnologia)</v>
      </c>
      <c r="AA88" s="158" t="s">
        <v>228</v>
      </c>
      <c r="AB88" s="159" t="str">
        <f>IFERROR(VLOOKUP(AA88,TD!$N$51:$O$66,2,0)," ")</f>
        <v>Servicios tecnológicos</v>
      </c>
      <c r="AC88" s="160" t="str">
        <f>CONCATENATE(AA88,"_",AB88)</f>
        <v>007_Servicios tecnológicos</v>
      </c>
      <c r="AD88" s="160" t="str">
        <f>CONCATENATE(Z88," ",AC88)</f>
        <v>11-Infraestructura Tecnológica   (Sistemas de Información y Tecnologia) 007_Servicios tecnológicos</v>
      </c>
      <c r="AE88" s="159" t="str">
        <f>CONCATENATE(U88,V88,W88,X88,AA88)</f>
        <v>O23011745992024020711007</v>
      </c>
      <c r="AF88" s="159" t="str">
        <f>IFERROR(VLOOKUP(AD88,TD!$J$66:$K$89,2,0)," ")</f>
        <v>PM/0131/0111/45990070207</v>
      </c>
      <c r="AG88" s="118" t="s">
        <v>121</v>
      </c>
      <c r="AH88" s="158" t="s">
        <v>193</v>
      </c>
      <c r="AI88" s="161" t="str">
        <f>CONCATENATE(PAA[[#This Row],[Id Interno]],"-",PAA[[#This Row],[tipo de Contrato (TH talento humano - B/S bienes y/o servicios)]],"-",S88,"-",T88,"-",PAA[[#This Row],[Objeto de la contratación]])</f>
        <v xml:space="preserve">20260048-BS-8126-5-Modernizacion y soporte sala de auditorio sede Principal </v>
      </c>
    </row>
    <row r="89" spans="2:35" ht="84" x14ac:dyDescent="0.35">
      <c r="B89" s="23">
        <v>20260049</v>
      </c>
      <c r="C89" s="99" t="s">
        <v>443</v>
      </c>
      <c r="D89" s="23" t="s">
        <v>83</v>
      </c>
      <c r="E89" s="23" t="s">
        <v>402</v>
      </c>
      <c r="F89" s="155" t="s">
        <v>101</v>
      </c>
      <c r="G89" s="156" t="s">
        <v>382</v>
      </c>
      <c r="H89" s="157">
        <v>6</v>
      </c>
      <c r="I89" s="157">
        <v>0</v>
      </c>
      <c r="J89" s="127">
        <v>198089314</v>
      </c>
      <c r="K89" s="88" t="s">
        <v>398</v>
      </c>
      <c r="L89" s="155" t="s">
        <v>151</v>
      </c>
      <c r="M89" s="158" t="s">
        <v>401</v>
      </c>
      <c r="N89" s="23" t="s">
        <v>197</v>
      </c>
      <c r="O89" s="151" t="s">
        <v>957</v>
      </c>
      <c r="P89" s="155" t="s">
        <v>348</v>
      </c>
      <c r="Q89" s="53" t="s">
        <v>458</v>
      </c>
      <c r="R89" s="158" t="s">
        <v>204</v>
      </c>
      <c r="S89" s="158" t="str">
        <f>MID(PAA[[#This Row],[Meta Proyecto de Inversión]],1,4)</f>
        <v>8126</v>
      </c>
      <c r="T89" s="158" t="str">
        <f>MID(PAA[[#This Row],[Meta Proyecto de Inversión]],6,1)</f>
        <v>5</v>
      </c>
      <c r="U89" s="159" t="str">
        <f>IFERROR(VLOOKUP(N89,TD!$B$50:$F$54,2,0)," ")</f>
        <v>O230117</v>
      </c>
      <c r="V89" s="159" t="str">
        <f>IFERROR(VLOOKUP(N89,TD!$B$50:$F$54,3,0)," ")</f>
        <v>4599</v>
      </c>
      <c r="W89" s="159">
        <f>IFERROR(VLOOKUP(N89,TD!$B$50:$F$54,4,0)," ")</f>
        <v>20240207</v>
      </c>
      <c r="X89" s="158" t="s">
        <v>168</v>
      </c>
      <c r="Y89" s="159" t="str">
        <f>IFERROR(VLOOKUP(X89,TD!$J$51:$K$64,2,0)," ")</f>
        <v>Infraestructura Tecnológica   (Sistemas de Información y Tecnologia)</v>
      </c>
      <c r="Z89" s="160" t="str">
        <f>CONCATENATE(X89,"-",Y89)</f>
        <v>11-Infraestructura Tecnológica   (Sistemas de Información y Tecnologia)</v>
      </c>
      <c r="AA89" s="158" t="s">
        <v>228</v>
      </c>
      <c r="AB89" s="159" t="str">
        <f>IFERROR(VLOOKUP(AA89,TD!$N$51:$O$66,2,0)," ")</f>
        <v>Servicios tecnológicos</v>
      </c>
      <c r="AC89" s="160" t="str">
        <f>CONCATENATE(AA89,"_",AB89)</f>
        <v>007_Servicios tecnológicos</v>
      </c>
      <c r="AD89" s="160" t="str">
        <f>CONCATENATE(Z89," ",AC89)</f>
        <v>11-Infraestructura Tecnológica   (Sistemas de Información y Tecnologia) 007_Servicios tecnológicos</v>
      </c>
      <c r="AE89" s="159" t="str">
        <f>CONCATENATE(U89,V89,W89,X89,AA89)</f>
        <v>O23011745992024020711007</v>
      </c>
      <c r="AF89" s="159" t="str">
        <f>IFERROR(VLOOKUP(AD89,TD!$J$66:$K$89,2,0)," ")</f>
        <v>PM/0131/0111/45990070207</v>
      </c>
      <c r="AG89" s="118" t="s">
        <v>121</v>
      </c>
      <c r="AH89" s="158" t="s">
        <v>193</v>
      </c>
      <c r="AI89" s="161" t="str">
        <f>CONCATENATE(PAA[[#This Row],[Id Interno]],"-",PAA[[#This Row],[tipo de Contrato (TH talento humano - B/S bienes y/o servicios)]],"-",S89,"-",T89,"-",PAA[[#This Row],[Objeto de la contratación]])</f>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v>
      </c>
    </row>
    <row r="90" spans="2:35" ht="70" x14ac:dyDescent="0.35">
      <c r="B90" s="23">
        <v>20260050</v>
      </c>
      <c r="C90" s="99" t="s">
        <v>444</v>
      </c>
      <c r="D90" s="23" t="s">
        <v>88</v>
      </c>
      <c r="E90" s="23" t="s">
        <v>402</v>
      </c>
      <c r="F90" s="155" t="s">
        <v>101</v>
      </c>
      <c r="G90" s="156" t="s">
        <v>375</v>
      </c>
      <c r="H90" s="157">
        <v>12</v>
      </c>
      <c r="I90" s="157">
        <v>0</v>
      </c>
      <c r="J90" s="127">
        <v>300000000</v>
      </c>
      <c r="K90" s="88" t="s">
        <v>398</v>
      </c>
      <c r="L90" s="155" t="s">
        <v>151</v>
      </c>
      <c r="M90" s="158" t="s">
        <v>401</v>
      </c>
      <c r="N90" s="23" t="s">
        <v>197</v>
      </c>
      <c r="O90" s="151" t="s">
        <v>957</v>
      </c>
      <c r="P90" s="155" t="s">
        <v>348</v>
      </c>
      <c r="Q90" s="53" t="s">
        <v>458</v>
      </c>
      <c r="R90" s="158" t="s">
        <v>204</v>
      </c>
      <c r="S90" s="158" t="str">
        <f>MID(PAA[[#This Row],[Meta Proyecto de Inversión]],1,4)</f>
        <v>8126</v>
      </c>
      <c r="T90" s="158" t="str">
        <f>MID(PAA[[#This Row],[Meta Proyecto de Inversión]],6,1)</f>
        <v>5</v>
      </c>
      <c r="U90" s="159" t="str">
        <f>IFERROR(VLOOKUP(N90,TD!$B$50:$F$54,2,0)," ")</f>
        <v>O230117</v>
      </c>
      <c r="V90" s="159" t="str">
        <f>IFERROR(VLOOKUP(N90,TD!$B$50:$F$54,3,0)," ")</f>
        <v>4599</v>
      </c>
      <c r="W90" s="159">
        <f>IFERROR(VLOOKUP(N90,TD!$B$50:$F$54,4,0)," ")</f>
        <v>20240207</v>
      </c>
      <c r="X90" s="158" t="s">
        <v>168</v>
      </c>
      <c r="Y90" s="159" t="str">
        <f>IFERROR(VLOOKUP(X90,TD!$J$51:$K$64,2,0)," ")</f>
        <v>Infraestructura Tecnológica   (Sistemas de Información y Tecnologia)</v>
      </c>
      <c r="Z90" s="160" t="str">
        <f>CONCATENATE(X90,"-",Y90)</f>
        <v>11-Infraestructura Tecnológica   (Sistemas de Información y Tecnologia)</v>
      </c>
      <c r="AA90" s="158" t="s">
        <v>228</v>
      </c>
      <c r="AB90" s="159" t="str">
        <f>IFERROR(VLOOKUP(AA90,TD!$N$51:$O$66,2,0)," ")</f>
        <v>Servicios tecnológicos</v>
      </c>
      <c r="AC90" s="160" t="str">
        <f>CONCATENATE(AA90,"_",AB90)</f>
        <v>007_Servicios tecnológicos</v>
      </c>
      <c r="AD90" s="160" t="str">
        <f>CONCATENATE(Z90," ",AC90)</f>
        <v>11-Infraestructura Tecnológica   (Sistemas de Información y Tecnologia) 007_Servicios tecnológicos</v>
      </c>
      <c r="AE90" s="159" t="str">
        <f>CONCATENATE(U90,V90,W90,X90,AA90)</f>
        <v>O23011745992024020711007</v>
      </c>
      <c r="AF90" s="159" t="str">
        <f>IFERROR(VLOOKUP(AD90,TD!$J$66:$K$89,2,0)," ")</f>
        <v>PM/0131/0111/45990070207</v>
      </c>
      <c r="AG90" s="118" t="s">
        <v>121</v>
      </c>
      <c r="AH90" s="158" t="s">
        <v>193</v>
      </c>
      <c r="AI90" s="161" t="str">
        <f>CONCATENATE(PAA[[#This Row],[Id Interno]],"-",PAA[[#This Row],[tipo de Contrato (TH talento humano - B/S bienes y/o servicios)]],"-",S90,"-",T90,"-",PAA[[#This Row],[Objeto de la contratación]])</f>
        <v>20260050-BS-8126-5-Contratar la renovación tecnologica y fortalecimiento para la infraestructura de seguridad perimetral del edificio comando y estaciones para la U.A.E. Cuerpo Oficial de Bomberos de Bogotá - TIC</v>
      </c>
    </row>
    <row r="91" spans="2:35" ht="56" x14ac:dyDescent="0.35">
      <c r="B91" s="23">
        <v>20260051</v>
      </c>
      <c r="C91" s="99" t="s">
        <v>445</v>
      </c>
      <c r="D91" s="23" t="s">
        <v>114</v>
      </c>
      <c r="E91" s="23" t="s">
        <v>402</v>
      </c>
      <c r="F91" s="155" t="s">
        <v>89</v>
      </c>
      <c r="G91" s="156" t="s">
        <v>377</v>
      </c>
      <c r="H91" s="157">
        <v>12</v>
      </c>
      <c r="I91" s="157">
        <v>0</v>
      </c>
      <c r="J91" s="127">
        <f>1080700000-95000000-65650000</f>
        <v>920050000</v>
      </c>
      <c r="K91" s="88" t="s">
        <v>398</v>
      </c>
      <c r="L91" s="155" t="s">
        <v>151</v>
      </c>
      <c r="M91" s="158" t="s">
        <v>401</v>
      </c>
      <c r="N91" s="23" t="s">
        <v>197</v>
      </c>
      <c r="O91" s="151" t="s">
        <v>957</v>
      </c>
      <c r="P91" s="155" t="s">
        <v>348</v>
      </c>
      <c r="Q91" s="53" t="s">
        <v>459</v>
      </c>
      <c r="R91" s="158" t="s">
        <v>203</v>
      </c>
      <c r="S91" s="158" t="str">
        <f>MID(PAA[[#This Row],[Meta Proyecto de Inversión]],1,4)</f>
        <v>8126</v>
      </c>
      <c r="T91" s="158" t="str">
        <f>MID(PAA[[#This Row],[Meta Proyecto de Inversión]],6,1)</f>
        <v>4</v>
      </c>
      <c r="U91" s="159" t="str">
        <f>IFERROR(VLOOKUP(N91,TD!$B$50:$F$54,2,0)," ")</f>
        <v>O230117</v>
      </c>
      <c r="V91" s="159" t="str">
        <f>IFERROR(VLOOKUP(N91,TD!$B$50:$F$54,3,0)," ")</f>
        <v>4599</v>
      </c>
      <c r="W91" s="159">
        <f>IFERROR(VLOOKUP(N91,TD!$B$50:$F$54,4,0)," ")</f>
        <v>20240207</v>
      </c>
      <c r="X91" s="158" t="s">
        <v>168</v>
      </c>
      <c r="Y91" s="159" t="str">
        <f>IFERROR(VLOOKUP(X91,TD!$J$51:$K$64,2,0)," ")</f>
        <v>Infraestructura Tecnológica   (Sistemas de Información y Tecnologia)</v>
      </c>
      <c r="Z91" s="160" t="str">
        <f>CONCATENATE(X91,"-",Y91)</f>
        <v>11-Infraestructura Tecnológica   (Sistemas de Información y Tecnologia)</v>
      </c>
      <c r="AA91" s="158" t="s">
        <v>228</v>
      </c>
      <c r="AB91" s="159" t="str">
        <f>IFERROR(VLOOKUP(AA91,TD!$N$51:$O$66,2,0)," ")</f>
        <v>Servicios tecnológicos</v>
      </c>
      <c r="AC91" s="160" t="str">
        <f>CONCATENATE(AA91,"_",AB91)</f>
        <v>007_Servicios tecnológicos</v>
      </c>
      <c r="AD91" s="160" t="str">
        <f>CONCATENATE(Z91," ",AC91)</f>
        <v>11-Infraestructura Tecnológica   (Sistemas de Información y Tecnologia) 007_Servicios tecnológicos</v>
      </c>
      <c r="AE91" s="159" t="str">
        <f>CONCATENATE(U91,V91,W91,X91,AA91)</f>
        <v>O23011745992024020711007</v>
      </c>
      <c r="AF91" s="159" t="str">
        <f>IFERROR(VLOOKUP(AD91,TD!$J$66:$K$89,2,0)," ")</f>
        <v>PM/0131/0111/45990070207</v>
      </c>
      <c r="AG91" s="118" t="s">
        <v>121</v>
      </c>
      <c r="AH91" s="158" t="s">
        <v>193</v>
      </c>
      <c r="AI91" s="161" t="str">
        <f>CONCATENATE(PAA[[#This Row],[Id Interno]],"-",PAA[[#This Row],[tipo de Contrato (TH talento humano - B/S bienes y/o servicios)]],"-",S91,"-",T91,"-",PAA[[#This Row],[Objeto de la contratación]])</f>
        <v>20260051-BS-8126-4-Contratar la adquisición, renovación y  suscripciones de licencia Microsoft y modulos de seguridad y vulnerabilidad para la U.A.E. Cuerpo Oficial de Bomberos de Bogotá - TIC</v>
      </c>
    </row>
    <row r="92" spans="2:35" ht="56" x14ac:dyDescent="0.35">
      <c r="B92" s="23">
        <v>20260052</v>
      </c>
      <c r="C92" s="99" t="s">
        <v>614</v>
      </c>
      <c r="D92" s="23" t="s">
        <v>114</v>
      </c>
      <c r="E92" s="23" t="s">
        <v>402</v>
      </c>
      <c r="F92" s="155" t="s">
        <v>138</v>
      </c>
      <c r="G92" s="156" t="s">
        <v>381</v>
      </c>
      <c r="H92" s="157">
        <v>12</v>
      </c>
      <c r="I92" s="157">
        <v>0</v>
      </c>
      <c r="J92" s="127">
        <v>50000000</v>
      </c>
      <c r="K92" s="88" t="s">
        <v>398</v>
      </c>
      <c r="L92" s="155" t="s">
        <v>151</v>
      </c>
      <c r="M92" s="158" t="s">
        <v>401</v>
      </c>
      <c r="N92" s="23" t="s">
        <v>330</v>
      </c>
      <c r="O92" s="151" t="s">
        <v>957</v>
      </c>
      <c r="P92" s="155" t="s">
        <v>161</v>
      </c>
      <c r="Q92" s="53" t="s">
        <v>618</v>
      </c>
      <c r="R92" s="158" t="s">
        <v>331</v>
      </c>
      <c r="S92" s="158" t="str">
        <f>MID(PAA[[#This Row],[Meta Proyecto de Inversión]],1,4)</f>
        <v>No a</v>
      </c>
      <c r="T92" s="158" t="str">
        <f>MID(PAA[[#This Row],[Meta Proyecto de Inversión]],6,1)</f>
        <v>l</v>
      </c>
      <c r="U92" s="159" t="str">
        <f>IFERROR(VLOOKUP(N92,TD!$B$50:$F$54,2,0)," ")</f>
        <v>NA</v>
      </c>
      <c r="V92" s="159" t="str">
        <f>IFERROR(VLOOKUP(N92,TD!$B$50:$F$54,3,0)," ")</f>
        <v>NA</v>
      </c>
      <c r="W92" s="159" t="str">
        <f>IFERROR(VLOOKUP(N92,TD!$B$50:$F$54,4,0)," ")</f>
        <v>NA</v>
      </c>
      <c r="X92" s="158" t="s">
        <v>335</v>
      </c>
      <c r="Y92" s="159" t="str">
        <f>IFERROR(VLOOKUP(X92,TD!$J$51:$K$64,2,0)," ")</f>
        <v>N/A</v>
      </c>
      <c r="Z92" s="160" t="str">
        <f>CONCATENATE(X92,"-",Y92)</f>
        <v>N/A-N/A</v>
      </c>
      <c r="AA92" s="158" t="s">
        <v>335</v>
      </c>
      <c r="AB92" s="159" t="str">
        <f>IFERROR(VLOOKUP(AA92,TD!$N$51:$O$66,2,0)," ")</f>
        <v>N/A</v>
      </c>
      <c r="AC92" s="160" t="str">
        <f>CONCATENATE(AA92,"_",AB92)</f>
        <v>N/A_N/A</v>
      </c>
      <c r="AD92" s="160" t="str">
        <f>CONCATENATE(Z92," ",AC92)</f>
        <v>N/A-N/A N/A_N/A</v>
      </c>
      <c r="AE92" s="159" t="str">
        <f>CONCATENATE(U92,V92,W92,X92,AA92)</f>
        <v>NANANAN/AN/A</v>
      </c>
      <c r="AF92" s="159" t="str">
        <f>IFERROR(VLOOKUP(AD92,TD!$J$66:$K$89,2,0)," ")</f>
        <v>N/A</v>
      </c>
      <c r="AG92" s="118" t="s">
        <v>345</v>
      </c>
      <c r="AH92" s="158" t="s">
        <v>193</v>
      </c>
      <c r="AI92" s="161" t="str">
        <f>CONCATENATE(PAA[[#This Row],[Id Interno]],"-",PAA[[#This Row],[tipo de Contrato (TH talento humano - B/S bienes y/o servicios)]],"-",S92,"-",T92,"-",PAA[[#This Row],[Objeto de la contratación]])</f>
        <v>20260052-BS-No a-l-Contratar  la suscripción de licencias Suite Adobe para la UAE Cuerpo Oficial de Bomberos de Bogotá-TIC</v>
      </c>
    </row>
    <row r="93" spans="2:35" ht="56" x14ac:dyDescent="0.35">
      <c r="B93" s="23">
        <v>20260053</v>
      </c>
      <c r="C93" s="99" t="s">
        <v>615</v>
      </c>
      <c r="D93" s="23" t="s">
        <v>114</v>
      </c>
      <c r="E93" s="23" t="s">
        <v>402</v>
      </c>
      <c r="F93" s="155" t="s">
        <v>143</v>
      </c>
      <c r="G93" s="156" t="s">
        <v>376</v>
      </c>
      <c r="H93" s="157">
        <v>12</v>
      </c>
      <c r="I93" s="157">
        <v>0</v>
      </c>
      <c r="J93" s="127">
        <v>508870000</v>
      </c>
      <c r="K93" s="88" t="s">
        <v>398</v>
      </c>
      <c r="L93" s="155" t="s">
        <v>151</v>
      </c>
      <c r="M93" s="158" t="s">
        <v>401</v>
      </c>
      <c r="N93" s="23" t="s">
        <v>330</v>
      </c>
      <c r="O93" s="151" t="s">
        <v>957</v>
      </c>
      <c r="P93" s="155" t="s">
        <v>161</v>
      </c>
      <c r="Q93" s="53">
        <v>81112100</v>
      </c>
      <c r="R93" s="158" t="s">
        <v>331</v>
      </c>
      <c r="S93" s="158" t="str">
        <f>MID(PAA[[#This Row],[Meta Proyecto de Inversión]],1,4)</f>
        <v>No a</v>
      </c>
      <c r="T93" s="158" t="str">
        <f>MID(PAA[[#This Row],[Meta Proyecto de Inversión]],6,1)</f>
        <v>l</v>
      </c>
      <c r="U93" s="159" t="str">
        <f>IFERROR(VLOOKUP(N93,TD!$B$50:$F$54,2,0)," ")</f>
        <v>NA</v>
      </c>
      <c r="V93" s="159" t="str">
        <f>IFERROR(VLOOKUP(N93,TD!$B$50:$F$54,3,0)," ")</f>
        <v>NA</v>
      </c>
      <c r="W93" s="159" t="str">
        <f>IFERROR(VLOOKUP(N93,TD!$B$50:$F$54,4,0)," ")</f>
        <v>NA</v>
      </c>
      <c r="X93" s="158" t="s">
        <v>335</v>
      </c>
      <c r="Y93" s="159" t="str">
        <f>IFERROR(VLOOKUP(X93,TD!$J$51:$K$64,2,0)," ")</f>
        <v>N/A</v>
      </c>
      <c r="Z93" s="160" t="str">
        <f>CONCATENATE(X93,"-",Y93)</f>
        <v>N/A-N/A</v>
      </c>
      <c r="AA93" s="158" t="s">
        <v>335</v>
      </c>
      <c r="AB93" s="159" t="str">
        <f>IFERROR(VLOOKUP(AA93,TD!$N$51:$O$66,2,0)," ")</f>
        <v>N/A</v>
      </c>
      <c r="AC93" s="160" t="str">
        <f>CONCATENATE(AA93,"_",AB93)</f>
        <v>N/A_N/A</v>
      </c>
      <c r="AD93" s="160" t="str">
        <f>CONCATENATE(Z93," ",AC93)</f>
        <v>N/A-N/A N/A_N/A</v>
      </c>
      <c r="AE93" s="159" t="str">
        <f>CONCATENATE(U93,V93,W93,X93,AA93)</f>
        <v>NANANAN/AN/A</v>
      </c>
      <c r="AF93" s="159" t="str">
        <f>IFERROR(VLOOKUP(AD93,TD!$J$66:$K$89,2,0)," ")</f>
        <v>N/A</v>
      </c>
      <c r="AG93" s="118" t="s">
        <v>344</v>
      </c>
      <c r="AH93" s="158" t="s">
        <v>193</v>
      </c>
      <c r="AI93" s="161" t="str">
        <f>CONCATENATE(PAA[[#This Row],[Id Interno]],"-",PAA[[#This Row],[tipo de Contrato (TH talento humano - B/S bienes y/o servicios)]],"-",S93,"-",T93,"-",PAA[[#This Row],[Objeto de la contratación]])</f>
        <v>20260053-BS-No a-l-Contratar los servicios de canales de datos dedicados para la UAE Cuerpo Oficial de Bomberos de Bogotá-TIC</v>
      </c>
    </row>
    <row r="94" spans="2:35" ht="70" x14ac:dyDescent="0.35">
      <c r="B94" s="23">
        <v>20260054</v>
      </c>
      <c r="C94" s="99" t="s">
        <v>917</v>
      </c>
      <c r="D94" s="23" t="s">
        <v>88</v>
      </c>
      <c r="E94" s="23" t="s">
        <v>402</v>
      </c>
      <c r="F94" s="155" t="s">
        <v>146</v>
      </c>
      <c r="G94" s="156" t="s">
        <v>376</v>
      </c>
      <c r="H94" s="157">
        <v>12</v>
      </c>
      <c r="I94" s="157">
        <v>0</v>
      </c>
      <c r="J94" s="127">
        <v>100000000</v>
      </c>
      <c r="K94" s="88" t="s">
        <v>398</v>
      </c>
      <c r="L94" s="155" t="s">
        <v>151</v>
      </c>
      <c r="M94" s="158" t="s">
        <v>401</v>
      </c>
      <c r="N94" s="23" t="s">
        <v>330</v>
      </c>
      <c r="O94" s="151" t="s">
        <v>957</v>
      </c>
      <c r="P94" s="155" t="s">
        <v>161</v>
      </c>
      <c r="Q94" s="53" t="s">
        <v>619</v>
      </c>
      <c r="R94" s="158" t="s">
        <v>331</v>
      </c>
      <c r="S94" s="158" t="str">
        <f>MID(PAA[[#This Row],[Meta Proyecto de Inversión]],1,4)</f>
        <v>No a</v>
      </c>
      <c r="T94" s="158" t="str">
        <f>MID(PAA[[#This Row],[Meta Proyecto de Inversión]],6,1)</f>
        <v>l</v>
      </c>
      <c r="U94" s="159" t="str">
        <f>IFERROR(VLOOKUP(N94,TD!$B$50:$F$54,2,0)," ")</f>
        <v>NA</v>
      </c>
      <c r="V94" s="159" t="str">
        <f>IFERROR(VLOOKUP(N94,TD!$B$50:$F$54,3,0)," ")</f>
        <v>NA</v>
      </c>
      <c r="W94" s="159" t="str">
        <f>IFERROR(VLOOKUP(N94,TD!$B$50:$F$54,4,0)," ")</f>
        <v>NA</v>
      </c>
      <c r="X94" s="158" t="s">
        <v>335</v>
      </c>
      <c r="Y94" s="159" t="str">
        <f>IFERROR(VLOOKUP(X94,TD!$J$51:$K$64,2,0)," ")</f>
        <v>N/A</v>
      </c>
      <c r="Z94" s="160" t="str">
        <f>CONCATENATE(X94,"-",Y94)</f>
        <v>N/A-N/A</v>
      </c>
      <c r="AA94" s="158" t="s">
        <v>335</v>
      </c>
      <c r="AB94" s="159" t="str">
        <f>IFERROR(VLOOKUP(AA94,TD!$N$51:$O$66,2,0)," ")</f>
        <v>N/A</v>
      </c>
      <c r="AC94" s="160" t="str">
        <f>CONCATENATE(AA94,"_",AB94)</f>
        <v>N/A_N/A</v>
      </c>
      <c r="AD94" s="160" t="str">
        <f>CONCATENATE(Z94," ",AC94)</f>
        <v>N/A-N/A N/A_N/A</v>
      </c>
      <c r="AE94" s="159" t="str">
        <f>CONCATENATE(U94,V94,W94,X94,AA94)</f>
        <v>NANANAN/AN/A</v>
      </c>
      <c r="AF94" s="159" t="str">
        <f>IFERROR(VLOOKUP(AD94,TD!$J$66:$K$89,2,0)," ")</f>
        <v>N/A</v>
      </c>
      <c r="AG94" s="118" t="s">
        <v>343</v>
      </c>
      <c r="AH94" s="158" t="s">
        <v>194</v>
      </c>
      <c r="AI94" s="161" t="str">
        <f>CONCATENATE(PAA[[#This Row],[Id Interno]],"-",PAA[[#This Row],[tipo de Contrato (TH talento humano - B/S bienes y/o servicios)]],"-",S94,"-",T94,"-",PAA[[#This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95" spans="2:35" ht="56" x14ac:dyDescent="0.35">
      <c r="B95" s="23">
        <v>20260055</v>
      </c>
      <c r="C95" s="99" t="s">
        <v>616</v>
      </c>
      <c r="D95" s="23" t="s">
        <v>88</v>
      </c>
      <c r="E95" s="23" t="s">
        <v>402</v>
      </c>
      <c r="F95" s="155" t="s">
        <v>143</v>
      </c>
      <c r="G95" s="156" t="s">
        <v>378</v>
      </c>
      <c r="H95" s="157">
        <v>12</v>
      </c>
      <c r="I95" s="157">
        <v>0</v>
      </c>
      <c r="J95" s="127">
        <v>100000000</v>
      </c>
      <c r="K95" s="88" t="s">
        <v>398</v>
      </c>
      <c r="L95" s="155" t="s">
        <v>151</v>
      </c>
      <c r="M95" s="158" t="s">
        <v>401</v>
      </c>
      <c r="N95" s="23" t="s">
        <v>330</v>
      </c>
      <c r="O95" s="151" t="s">
        <v>957</v>
      </c>
      <c r="P95" s="155" t="s">
        <v>161</v>
      </c>
      <c r="Q95" s="53" t="s">
        <v>620</v>
      </c>
      <c r="R95" s="158" t="s">
        <v>331</v>
      </c>
      <c r="S95" s="158" t="str">
        <f>MID(PAA[[#This Row],[Meta Proyecto de Inversión]],1,4)</f>
        <v>No a</v>
      </c>
      <c r="T95" s="158" t="str">
        <f>MID(PAA[[#This Row],[Meta Proyecto de Inversión]],6,1)</f>
        <v>l</v>
      </c>
      <c r="U95" s="159" t="str">
        <f>IFERROR(VLOOKUP(N95,TD!$B$50:$F$54,2,0)," ")</f>
        <v>NA</v>
      </c>
      <c r="V95" s="159" t="str">
        <f>IFERROR(VLOOKUP(N95,TD!$B$50:$F$54,3,0)," ")</f>
        <v>NA</v>
      </c>
      <c r="W95" s="159" t="str">
        <f>IFERROR(VLOOKUP(N95,TD!$B$50:$F$54,4,0)," ")</f>
        <v>NA</v>
      </c>
      <c r="X95" s="158" t="s">
        <v>335</v>
      </c>
      <c r="Y95" s="159" t="str">
        <f>IFERROR(VLOOKUP(X95,TD!$J$51:$K$64,2,0)," ")</f>
        <v>N/A</v>
      </c>
      <c r="Z95" s="160" t="str">
        <f>CONCATENATE(X95,"-",Y95)</f>
        <v>N/A-N/A</v>
      </c>
      <c r="AA95" s="158" t="s">
        <v>335</v>
      </c>
      <c r="AB95" s="159" t="str">
        <f>IFERROR(VLOOKUP(AA95,TD!$N$51:$O$66,2,0)," ")</f>
        <v>N/A</v>
      </c>
      <c r="AC95" s="160" t="str">
        <f>CONCATENATE(AA95,"_",AB95)</f>
        <v>N/A_N/A</v>
      </c>
      <c r="AD95" s="160" t="str">
        <f>CONCATENATE(Z95," ",AC95)</f>
        <v>N/A-N/A N/A_N/A</v>
      </c>
      <c r="AE95" s="159" t="str">
        <f>CONCATENATE(U95,V95,W95,X95,AA95)</f>
        <v>NANANAN/AN/A</v>
      </c>
      <c r="AF95" s="159" t="str">
        <f>IFERROR(VLOOKUP(AD95,TD!$J$66:$K$89,2,0)," ")</f>
        <v>N/A</v>
      </c>
      <c r="AG95" s="118" t="s">
        <v>332</v>
      </c>
      <c r="AH95" s="158" t="s">
        <v>193</v>
      </c>
      <c r="AI95" s="161" t="str">
        <f>CONCATENATE(PAA[[#This Row],[Id Interno]],"-",PAA[[#This Row],[tipo de Contrato (TH talento humano - B/S bienes y/o servicios)]],"-",S95,"-",T95,"-",PAA[[#This Row],[Objeto de la contratación]])</f>
        <v>20260055-BS-No a-l-Contratar la modernización integral  tecnológica, soporte y mantenimiento preventivo y correctivo con repuestos, para los sistemas de video vigilancia de la U.A.E. Cuerpo Oficial de Bomberos de Bogotá - TIC.</v>
      </c>
    </row>
    <row r="96" spans="2:35" ht="56" x14ac:dyDescent="0.35">
      <c r="B96" s="23">
        <v>20260056</v>
      </c>
      <c r="C96" s="99" t="s">
        <v>617</v>
      </c>
      <c r="D96" s="23" t="s">
        <v>92</v>
      </c>
      <c r="E96" s="23" t="s">
        <v>402</v>
      </c>
      <c r="F96" s="155" t="s">
        <v>138</v>
      </c>
      <c r="G96" s="156" t="s">
        <v>375</v>
      </c>
      <c r="H96" s="157">
        <v>12</v>
      </c>
      <c r="I96" s="157">
        <v>0</v>
      </c>
      <c r="J96" s="127">
        <v>27600000</v>
      </c>
      <c r="K96" s="88" t="s">
        <v>398</v>
      </c>
      <c r="L96" s="155" t="s">
        <v>151</v>
      </c>
      <c r="M96" s="158" t="s">
        <v>401</v>
      </c>
      <c r="N96" s="23" t="s">
        <v>330</v>
      </c>
      <c r="O96" s="151" t="s">
        <v>957</v>
      </c>
      <c r="P96" s="155" t="s">
        <v>161</v>
      </c>
      <c r="Q96" s="53">
        <v>43233205</v>
      </c>
      <c r="R96" s="158" t="s">
        <v>331</v>
      </c>
      <c r="S96" s="158" t="str">
        <f>MID(PAA[[#This Row],[Meta Proyecto de Inversión]],1,4)</f>
        <v>No a</v>
      </c>
      <c r="T96" s="158" t="str">
        <f>MID(PAA[[#This Row],[Meta Proyecto de Inversión]],6,1)</f>
        <v>l</v>
      </c>
      <c r="U96" s="159" t="str">
        <f>IFERROR(VLOOKUP(N96,TD!$B$50:$F$54,2,0)," ")</f>
        <v>NA</v>
      </c>
      <c r="V96" s="159" t="str">
        <f>IFERROR(VLOOKUP(N96,TD!$B$50:$F$54,3,0)," ")</f>
        <v>NA</v>
      </c>
      <c r="W96" s="159" t="str">
        <f>IFERROR(VLOOKUP(N96,TD!$B$50:$F$54,4,0)," ")</f>
        <v>NA</v>
      </c>
      <c r="X96" s="158" t="s">
        <v>335</v>
      </c>
      <c r="Y96" s="159" t="str">
        <f>IFERROR(VLOOKUP(X96,TD!$J$51:$K$64,2,0)," ")</f>
        <v>N/A</v>
      </c>
      <c r="Z96" s="160" t="str">
        <f>CONCATENATE(X96,"-",Y96)</f>
        <v>N/A-N/A</v>
      </c>
      <c r="AA96" s="158" t="s">
        <v>335</v>
      </c>
      <c r="AB96" s="159" t="str">
        <f>IFERROR(VLOOKUP(AA96,TD!$N$51:$O$66,2,0)," ")</f>
        <v>N/A</v>
      </c>
      <c r="AC96" s="160" t="str">
        <f>CONCATENATE(AA96,"_",AB96)</f>
        <v>N/A_N/A</v>
      </c>
      <c r="AD96" s="160" t="str">
        <f>CONCATENATE(Z96," ",AC96)</f>
        <v>N/A-N/A N/A_N/A</v>
      </c>
      <c r="AE96" s="159" t="str">
        <f>CONCATENATE(U96,V96,W96,X96,AA96)</f>
        <v>NANANAN/AN/A</v>
      </c>
      <c r="AF96" s="159" t="str">
        <f>IFERROR(VLOOKUP(AD96,TD!$J$66:$K$89,2,0)," ")</f>
        <v>N/A</v>
      </c>
      <c r="AG96" s="118" t="s">
        <v>332</v>
      </c>
      <c r="AH96" s="158" t="s">
        <v>193</v>
      </c>
      <c r="AI96" s="161" t="str">
        <f>CONCATENATE(PAA[[#This Row],[Id Interno]],"-",PAA[[#This Row],[tipo de Contrato (TH talento humano - B/S bienes y/o servicios)]],"-",S96,"-",T96,"-",PAA[[#This Row],[Objeto de la contratación]])</f>
        <v>20260056-BS-No a-l-Contratar la adquisición de firma digital (token) para la U.A.E. Cuerpo Oficial de Bomberos de Bogotá - TIC</v>
      </c>
    </row>
    <row r="97" spans="2:35" ht="56" x14ac:dyDescent="0.35">
      <c r="B97" s="23">
        <v>20260057</v>
      </c>
      <c r="C97" s="99" t="s">
        <v>855</v>
      </c>
      <c r="D97" s="23" t="s">
        <v>105</v>
      </c>
      <c r="E97" s="23" t="s">
        <v>363</v>
      </c>
      <c r="F97" s="155" t="s">
        <v>145</v>
      </c>
      <c r="G97" s="156" t="s">
        <v>373</v>
      </c>
      <c r="H97" s="157">
        <v>12</v>
      </c>
      <c r="I97" s="157">
        <v>0</v>
      </c>
      <c r="J97" s="127">
        <v>45042216</v>
      </c>
      <c r="K97" s="88" t="s">
        <v>398</v>
      </c>
      <c r="L97" s="155" t="s">
        <v>36</v>
      </c>
      <c r="M97" s="158" t="s">
        <v>495</v>
      </c>
      <c r="N97" s="23" t="s">
        <v>197</v>
      </c>
      <c r="O97" s="151" t="s">
        <v>957</v>
      </c>
      <c r="P97" s="155" t="s">
        <v>348</v>
      </c>
      <c r="Q97" s="53">
        <v>80111600</v>
      </c>
      <c r="R97" s="158" t="s">
        <v>200</v>
      </c>
      <c r="S97" s="158" t="str">
        <f>MID(PAA[[#This Row],[Meta Proyecto de Inversión]],1,4)</f>
        <v>8126</v>
      </c>
      <c r="T97" s="158" t="str">
        <f>MID(PAA[[#This Row],[Meta Proyecto de Inversión]],6,1)</f>
        <v>1</v>
      </c>
      <c r="U97" s="159" t="str">
        <f>IFERROR(VLOOKUP(N97,TD!$B$50:$F$54,2,0)," ")</f>
        <v>O230117</v>
      </c>
      <c r="V97" s="159" t="str">
        <f>IFERROR(VLOOKUP(N97,TD!$B$50:$F$54,3,0)," ")</f>
        <v>4599</v>
      </c>
      <c r="W97" s="159">
        <f>IFERROR(VLOOKUP(N97,TD!$B$50:$F$54,4,0)," ")</f>
        <v>20240207</v>
      </c>
      <c r="X97" s="158" t="s">
        <v>182</v>
      </c>
      <c r="Y97" s="159" t="str">
        <f>IFERROR(VLOOKUP(X97,TD!$J$51:$K$64,2,0)," ")</f>
        <v>Servicios para la planeación y sistemas de gestión y comunicación estratégica</v>
      </c>
      <c r="Z97" s="160" t="str">
        <f>CONCATENATE(X97,"-",Y97)</f>
        <v>13-Servicios para la planeación y sistemas de gestión y comunicación estratégica</v>
      </c>
      <c r="AA97" s="158" t="s">
        <v>229</v>
      </c>
      <c r="AB97" s="159" t="str">
        <f>IFERROR(VLOOKUP(AA97,TD!$N$51:$O$66,2,0)," ")</f>
        <v>Servicio de asistencia técnica</v>
      </c>
      <c r="AC97" s="160" t="str">
        <f>CONCATENATE(AA97,"_",AB97)</f>
        <v>031_Servicio de asistencia técnica</v>
      </c>
      <c r="AD97" s="160" t="str">
        <f>CONCATENATE(Z97," ",AC97)</f>
        <v>13-Servicios para la planeación y sistemas de gestión y comunicación estratégica 031_Servicio de asistencia técnica</v>
      </c>
      <c r="AE97" s="159" t="str">
        <f>CONCATENATE(U97,V97,W97,X97,AA97)</f>
        <v>O23011745992024020713031</v>
      </c>
      <c r="AF97" s="159" t="str">
        <f>IFERROR(VLOOKUP(AD97,TD!$J$66:$K$89,2,0)," ")</f>
        <v>PM/0131/0113/45990310207</v>
      </c>
      <c r="AG97" s="118" t="s">
        <v>385</v>
      </c>
      <c r="AH97" s="158" t="s">
        <v>193</v>
      </c>
      <c r="AI97" s="161" t="str">
        <f>CONCATENATE(PAA[[#This Row],[Id Interno]],"-",PAA[[#This Row],[tipo de Contrato (TH talento humano - B/S bienes y/o servicios)]],"-",S97,"-",T97,"-",PAA[[#This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98" spans="2:35" ht="56" x14ac:dyDescent="0.35">
      <c r="B98" s="23">
        <v>20260058</v>
      </c>
      <c r="C98" s="99" t="s">
        <v>621</v>
      </c>
      <c r="D98" s="23" t="s">
        <v>105</v>
      </c>
      <c r="E98" s="23" t="s">
        <v>363</v>
      </c>
      <c r="F98" s="155" t="s">
        <v>144</v>
      </c>
      <c r="G98" s="156" t="s">
        <v>373</v>
      </c>
      <c r="H98" s="157">
        <v>6</v>
      </c>
      <c r="I98" s="157">
        <v>0</v>
      </c>
      <c r="J98" s="127">
        <v>39000000</v>
      </c>
      <c r="K98" s="88" t="s">
        <v>398</v>
      </c>
      <c r="L98" s="155" t="s">
        <v>36</v>
      </c>
      <c r="M98" s="158" t="s">
        <v>495</v>
      </c>
      <c r="N98" s="23" t="s">
        <v>197</v>
      </c>
      <c r="O98" s="151" t="s">
        <v>957</v>
      </c>
      <c r="P98" s="155" t="s">
        <v>348</v>
      </c>
      <c r="Q98" s="53">
        <v>80111600</v>
      </c>
      <c r="R98" s="158" t="s">
        <v>201</v>
      </c>
      <c r="S98" s="158" t="str">
        <f>MID(PAA[[#This Row],[Meta Proyecto de Inversión]],1,4)</f>
        <v>8126</v>
      </c>
      <c r="T98" s="158" t="str">
        <f>MID(PAA[[#This Row],[Meta Proyecto de Inversión]],6,1)</f>
        <v>2</v>
      </c>
      <c r="U98" s="159" t="str">
        <f>IFERROR(VLOOKUP(N98,TD!$B$50:$F$54,2,0)," ")</f>
        <v>O230117</v>
      </c>
      <c r="V98" s="159" t="str">
        <f>IFERROR(VLOOKUP(N98,TD!$B$50:$F$54,3,0)," ")</f>
        <v>4599</v>
      </c>
      <c r="W98" s="159">
        <f>IFERROR(VLOOKUP(N98,TD!$B$50:$F$54,4,0)," ")</f>
        <v>20240207</v>
      </c>
      <c r="X98" s="158" t="s">
        <v>182</v>
      </c>
      <c r="Y98" s="159" t="str">
        <f>IFERROR(VLOOKUP(X98,TD!$J$51:$K$64,2,0)," ")</f>
        <v>Servicios para la planeación y sistemas de gestión y comunicación estratégica</v>
      </c>
      <c r="Z98" s="160" t="str">
        <f>CONCATENATE(X98,"-",Y98)</f>
        <v>13-Servicios para la planeación y sistemas de gestión y comunicación estratégica</v>
      </c>
      <c r="AA98" s="158" t="s">
        <v>229</v>
      </c>
      <c r="AB98" s="159" t="str">
        <f>IFERROR(VLOOKUP(AA98,TD!$N$51:$O$66,2,0)," ")</f>
        <v>Servicio de asistencia técnica</v>
      </c>
      <c r="AC98" s="160" t="str">
        <f>CONCATENATE(AA98,"_",AB98)</f>
        <v>031_Servicio de asistencia técnica</v>
      </c>
      <c r="AD98" s="160" t="str">
        <f>CONCATENATE(Z98," ",AC98)</f>
        <v>13-Servicios para la planeación y sistemas de gestión y comunicación estratégica 031_Servicio de asistencia técnica</v>
      </c>
      <c r="AE98" s="159" t="str">
        <f>CONCATENATE(U98,V98,W98,X98,AA98)</f>
        <v>O23011745992024020713031</v>
      </c>
      <c r="AF98" s="159" t="str">
        <f>IFERROR(VLOOKUP(AD98,TD!$J$66:$K$89,2,0)," ")</f>
        <v>PM/0131/0113/45990310207</v>
      </c>
      <c r="AG98" s="118" t="s">
        <v>385</v>
      </c>
      <c r="AH98" s="158" t="s">
        <v>193</v>
      </c>
      <c r="AI98" s="161" t="str">
        <f>CONCATENATE(PAA[[#This Row],[Id Interno]],"-",PAA[[#This Row],[tipo de Contrato (TH talento humano - B/S bienes y/o servicios)]],"-",S98,"-",T98,"-",PAA[[#This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99" spans="2:35" ht="56" x14ac:dyDescent="0.35">
      <c r="B99" s="23">
        <v>20260059</v>
      </c>
      <c r="C99" s="99" t="s">
        <v>856</v>
      </c>
      <c r="D99" s="23" t="s">
        <v>105</v>
      </c>
      <c r="E99" s="23" t="s">
        <v>363</v>
      </c>
      <c r="F99" s="155" t="s">
        <v>145</v>
      </c>
      <c r="G99" s="156" t="s">
        <v>373</v>
      </c>
      <c r="H99" s="157">
        <v>12</v>
      </c>
      <c r="I99" s="157">
        <v>0</v>
      </c>
      <c r="J99" s="127">
        <f>64612464-10722672</f>
        <v>53889792</v>
      </c>
      <c r="K99" s="88" t="s">
        <v>398</v>
      </c>
      <c r="L99" s="155" t="s">
        <v>36</v>
      </c>
      <c r="M99" s="158" t="s">
        <v>495</v>
      </c>
      <c r="N99" s="23" t="s">
        <v>197</v>
      </c>
      <c r="O99" s="151" t="s">
        <v>957</v>
      </c>
      <c r="P99" s="155" t="s">
        <v>348</v>
      </c>
      <c r="Q99" s="53">
        <v>80111600</v>
      </c>
      <c r="R99" s="158" t="s">
        <v>200</v>
      </c>
      <c r="S99" s="158" t="str">
        <f>MID(PAA[[#This Row],[Meta Proyecto de Inversión]],1,4)</f>
        <v>8126</v>
      </c>
      <c r="T99" s="158" t="str">
        <f>MID(PAA[[#This Row],[Meta Proyecto de Inversión]],6,1)</f>
        <v>1</v>
      </c>
      <c r="U99" s="159" t="str">
        <f>IFERROR(VLOOKUP(N99,TD!$B$50:$F$54,2,0)," ")</f>
        <v>O230117</v>
      </c>
      <c r="V99" s="159" t="str">
        <f>IFERROR(VLOOKUP(N99,TD!$B$50:$F$54,3,0)," ")</f>
        <v>4599</v>
      </c>
      <c r="W99" s="159">
        <f>IFERROR(VLOOKUP(N99,TD!$B$50:$F$54,4,0)," ")</f>
        <v>20240207</v>
      </c>
      <c r="X99" s="158" t="s">
        <v>182</v>
      </c>
      <c r="Y99" s="159" t="str">
        <f>IFERROR(VLOOKUP(X99,TD!$J$51:$K$64,2,0)," ")</f>
        <v>Servicios para la planeación y sistemas de gestión y comunicación estratégica</v>
      </c>
      <c r="Z99" s="160" t="str">
        <f>CONCATENATE(X99,"-",Y99)</f>
        <v>13-Servicios para la planeación y sistemas de gestión y comunicación estratégica</v>
      </c>
      <c r="AA99" s="158" t="s">
        <v>229</v>
      </c>
      <c r="AB99" s="159" t="str">
        <f>IFERROR(VLOOKUP(AA99,TD!$N$51:$O$66,2,0)," ")</f>
        <v>Servicio de asistencia técnica</v>
      </c>
      <c r="AC99" s="160" t="str">
        <f>CONCATENATE(AA99,"_",AB99)</f>
        <v>031_Servicio de asistencia técnica</v>
      </c>
      <c r="AD99" s="160" t="str">
        <f>CONCATENATE(Z99," ",AC99)</f>
        <v>13-Servicios para la planeación y sistemas de gestión y comunicación estratégica 031_Servicio de asistencia técnica</v>
      </c>
      <c r="AE99" s="159" t="str">
        <f>CONCATENATE(U99,V99,W99,X99,AA99)</f>
        <v>O23011745992024020713031</v>
      </c>
      <c r="AF99" s="159" t="str">
        <f>IFERROR(VLOOKUP(AD99,TD!$J$66:$K$89,2,0)," ")</f>
        <v>PM/0131/0113/45990310207</v>
      </c>
      <c r="AG99" s="118" t="s">
        <v>385</v>
      </c>
      <c r="AH99" s="158" t="s">
        <v>193</v>
      </c>
      <c r="AI99" s="161" t="str">
        <f>CONCATENATE(PAA[[#This Row],[Id Interno]],"-",PAA[[#This Row],[tipo de Contrato (TH talento humano - B/S bienes y/o servicios)]],"-",S99,"-",T99,"-",PAA[[#This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100" spans="2:35" ht="56" x14ac:dyDescent="0.35">
      <c r="B100" s="23">
        <v>20260060</v>
      </c>
      <c r="C100" s="99" t="s">
        <v>857</v>
      </c>
      <c r="D100" s="23" t="s">
        <v>105</v>
      </c>
      <c r="E100" s="23" t="s">
        <v>363</v>
      </c>
      <c r="F100" s="155" t="s">
        <v>144</v>
      </c>
      <c r="G100" s="156" t="s">
        <v>373</v>
      </c>
      <c r="H100" s="157">
        <v>11</v>
      </c>
      <c r="I100" s="157">
        <v>0</v>
      </c>
      <c r="J100" s="127">
        <f>114000000-4000000</f>
        <v>110000000</v>
      </c>
      <c r="K100" s="88" t="s">
        <v>398</v>
      </c>
      <c r="L100" s="155" t="s">
        <v>36</v>
      </c>
      <c r="M100" s="158" t="s">
        <v>495</v>
      </c>
      <c r="N100" s="23" t="s">
        <v>197</v>
      </c>
      <c r="O100" s="151" t="s">
        <v>957</v>
      </c>
      <c r="P100" s="155" t="s">
        <v>348</v>
      </c>
      <c r="Q100" s="53">
        <v>80111600</v>
      </c>
      <c r="R100" s="158" t="s">
        <v>200</v>
      </c>
      <c r="S100" s="158" t="str">
        <f>MID(PAA[[#This Row],[Meta Proyecto de Inversión]],1,4)</f>
        <v>8126</v>
      </c>
      <c r="T100" s="158" t="str">
        <f>MID(PAA[[#This Row],[Meta Proyecto de Inversión]],6,1)</f>
        <v>1</v>
      </c>
      <c r="U100" s="159" t="str">
        <f>IFERROR(VLOOKUP(N100,TD!$B$50:$F$54,2,0)," ")</f>
        <v>O230117</v>
      </c>
      <c r="V100" s="159" t="str">
        <f>IFERROR(VLOOKUP(N100,TD!$B$50:$F$54,3,0)," ")</f>
        <v>4599</v>
      </c>
      <c r="W100" s="159">
        <f>IFERROR(VLOOKUP(N100,TD!$B$50:$F$54,4,0)," ")</f>
        <v>20240207</v>
      </c>
      <c r="X100" s="158" t="s">
        <v>182</v>
      </c>
      <c r="Y100" s="159" t="str">
        <f>IFERROR(VLOOKUP(X100,TD!$J$51:$K$64,2,0)," ")</f>
        <v>Servicios para la planeación y sistemas de gestión y comunicación estratégica</v>
      </c>
      <c r="Z100" s="160" t="str">
        <f>CONCATENATE(X100,"-",Y100)</f>
        <v>13-Servicios para la planeación y sistemas de gestión y comunicación estratégica</v>
      </c>
      <c r="AA100" s="158" t="s">
        <v>229</v>
      </c>
      <c r="AB100" s="159" t="str">
        <f>IFERROR(VLOOKUP(AA100,TD!$N$51:$O$66,2,0)," ")</f>
        <v>Servicio de asistencia técnica</v>
      </c>
      <c r="AC100" s="160" t="str">
        <f>CONCATENATE(AA100,"_",AB100)</f>
        <v>031_Servicio de asistencia técnica</v>
      </c>
      <c r="AD100" s="160" t="str">
        <f>CONCATENATE(Z100," ",AC100)</f>
        <v>13-Servicios para la planeación y sistemas de gestión y comunicación estratégica 031_Servicio de asistencia técnica</v>
      </c>
      <c r="AE100" s="159" t="str">
        <f>CONCATENATE(U100,V100,W100,X100,AA100)</f>
        <v>O23011745992024020713031</v>
      </c>
      <c r="AF100" s="159" t="str">
        <f>IFERROR(VLOOKUP(AD100,TD!$J$66:$K$89,2,0)," ")</f>
        <v>PM/0131/0113/45990310207</v>
      </c>
      <c r="AG100" s="118" t="s">
        <v>385</v>
      </c>
      <c r="AH100" s="158" t="s">
        <v>193</v>
      </c>
      <c r="AI100" s="161" t="str">
        <f>CONCATENATE(PAA[[#This Row],[Id Interno]],"-",PAA[[#This Row],[tipo de Contrato (TH talento humano - B/S bienes y/o servicios)]],"-",S100,"-",T100,"-",PAA[[#This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101" spans="2:35" ht="56" x14ac:dyDescent="0.35">
      <c r="B101" s="23">
        <v>20260061</v>
      </c>
      <c r="C101" s="99" t="s">
        <v>858</v>
      </c>
      <c r="D101" s="23" t="s">
        <v>105</v>
      </c>
      <c r="E101" s="23" t="s">
        <v>363</v>
      </c>
      <c r="F101" s="155" t="s">
        <v>144</v>
      </c>
      <c r="G101" s="156" t="s">
        <v>373</v>
      </c>
      <c r="H101" s="157">
        <v>6</v>
      </c>
      <c r="I101" s="157">
        <v>0</v>
      </c>
      <c r="J101" s="127">
        <v>42000000</v>
      </c>
      <c r="K101" s="88" t="s">
        <v>398</v>
      </c>
      <c r="L101" s="155" t="s">
        <v>36</v>
      </c>
      <c r="M101" s="158" t="s">
        <v>495</v>
      </c>
      <c r="N101" s="23" t="s">
        <v>197</v>
      </c>
      <c r="O101" s="151" t="s">
        <v>957</v>
      </c>
      <c r="P101" s="155" t="s">
        <v>348</v>
      </c>
      <c r="Q101" s="53">
        <v>80111600</v>
      </c>
      <c r="R101" s="158" t="s">
        <v>200</v>
      </c>
      <c r="S101" s="158" t="str">
        <f>MID(PAA[[#This Row],[Meta Proyecto de Inversión]],1,4)</f>
        <v>8126</v>
      </c>
      <c r="T101" s="158" t="str">
        <f>MID(PAA[[#This Row],[Meta Proyecto de Inversión]],6,1)</f>
        <v>1</v>
      </c>
      <c r="U101" s="159" t="str">
        <f>IFERROR(VLOOKUP(N101,TD!$B$50:$F$54,2,0)," ")</f>
        <v>O230117</v>
      </c>
      <c r="V101" s="159" t="str">
        <f>IFERROR(VLOOKUP(N101,TD!$B$50:$F$54,3,0)," ")</f>
        <v>4599</v>
      </c>
      <c r="W101" s="159">
        <f>IFERROR(VLOOKUP(N101,TD!$B$50:$F$54,4,0)," ")</f>
        <v>20240207</v>
      </c>
      <c r="X101" s="158" t="s">
        <v>182</v>
      </c>
      <c r="Y101" s="159" t="str">
        <f>IFERROR(VLOOKUP(X101,TD!$J$51:$K$64,2,0)," ")</f>
        <v>Servicios para la planeación y sistemas de gestión y comunicación estratégica</v>
      </c>
      <c r="Z101" s="160" t="str">
        <f>CONCATENATE(X101,"-",Y101)</f>
        <v>13-Servicios para la planeación y sistemas de gestión y comunicación estratégica</v>
      </c>
      <c r="AA101" s="158" t="s">
        <v>229</v>
      </c>
      <c r="AB101" s="159" t="str">
        <f>IFERROR(VLOOKUP(AA101,TD!$N$51:$O$66,2,0)," ")</f>
        <v>Servicio de asistencia técnica</v>
      </c>
      <c r="AC101" s="160" t="str">
        <f>CONCATENATE(AA101,"_",AB101)</f>
        <v>031_Servicio de asistencia técnica</v>
      </c>
      <c r="AD101" s="160" t="str">
        <f>CONCATENATE(Z101," ",AC101)</f>
        <v>13-Servicios para la planeación y sistemas de gestión y comunicación estratégica 031_Servicio de asistencia técnica</v>
      </c>
      <c r="AE101" s="159" t="str">
        <f>CONCATENATE(U101,V101,W101,X101,AA101)</f>
        <v>O23011745992024020713031</v>
      </c>
      <c r="AF101" s="159" t="str">
        <f>IFERROR(VLOOKUP(AD101,TD!$J$66:$K$89,2,0)," ")</f>
        <v>PM/0131/0113/45990310207</v>
      </c>
      <c r="AG101" s="118" t="s">
        <v>385</v>
      </c>
      <c r="AH101" s="158" t="s">
        <v>193</v>
      </c>
      <c r="AI101" s="161" t="str">
        <f>CONCATENATE(PAA[[#This Row],[Id Interno]],"-",PAA[[#This Row],[tipo de Contrato (TH talento humano - B/S bienes y/o servicios)]],"-",S101,"-",T101,"-",PAA[[#This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102" spans="2:35" ht="56" x14ac:dyDescent="0.35">
      <c r="B102" s="23">
        <v>20260062</v>
      </c>
      <c r="C102" s="99" t="s">
        <v>859</v>
      </c>
      <c r="D102" s="23" t="s">
        <v>105</v>
      </c>
      <c r="E102" s="23" t="s">
        <v>363</v>
      </c>
      <c r="F102" s="155" t="s">
        <v>144</v>
      </c>
      <c r="G102" s="156" t="s">
        <v>373</v>
      </c>
      <c r="H102" s="157">
        <v>12</v>
      </c>
      <c r="I102" s="157">
        <v>0</v>
      </c>
      <c r="J102" s="127">
        <v>96000000</v>
      </c>
      <c r="K102" s="88" t="s">
        <v>398</v>
      </c>
      <c r="L102" s="155" t="s">
        <v>36</v>
      </c>
      <c r="M102" s="158" t="s">
        <v>495</v>
      </c>
      <c r="N102" s="23" t="s">
        <v>197</v>
      </c>
      <c r="O102" s="151" t="s">
        <v>957</v>
      </c>
      <c r="P102" s="155" t="s">
        <v>348</v>
      </c>
      <c r="Q102" s="53">
        <v>80111600</v>
      </c>
      <c r="R102" s="158" t="s">
        <v>200</v>
      </c>
      <c r="S102" s="158" t="str">
        <f>MID(PAA[[#This Row],[Meta Proyecto de Inversión]],1,4)</f>
        <v>8126</v>
      </c>
      <c r="T102" s="158" t="str">
        <f>MID(PAA[[#This Row],[Meta Proyecto de Inversión]],6,1)</f>
        <v>1</v>
      </c>
      <c r="U102" s="159" t="str">
        <f>IFERROR(VLOOKUP(N102,TD!$B$50:$F$54,2,0)," ")</f>
        <v>O230117</v>
      </c>
      <c r="V102" s="159" t="str">
        <f>IFERROR(VLOOKUP(N102,TD!$B$50:$F$54,3,0)," ")</f>
        <v>4599</v>
      </c>
      <c r="W102" s="159">
        <f>IFERROR(VLOOKUP(N102,TD!$B$50:$F$54,4,0)," ")</f>
        <v>20240207</v>
      </c>
      <c r="X102" s="158" t="s">
        <v>182</v>
      </c>
      <c r="Y102" s="159" t="str">
        <f>IFERROR(VLOOKUP(X102,TD!$J$51:$K$64,2,0)," ")</f>
        <v>Servicios para la planeación y sistemas de gestión y comunicación estratégica</v>
      </c>
      <c r="Z102" s="160" t="str">
        <f>CONCATENATE(X102,"-",Y102)</f>
        <v>13-Servicios para la planeación y sistemas de gestión y comunicación estratégica</v>
      </c>
      <c r="AA102" s="158" t="s">
        <v>229</v>
      </c>
      <c r="AB102" s="159" t="str">
        <f>IFERROR(VLOOKUP(AA102,TD!$N$51:$O$66,2,0)," ")</f>
        <v>Servicio de asistencia técnica</v>
      </c>
      <c r="AC102" s="160" t="str">
        <f>CONCATENATE(AA102,"_",AB102)</f>
        <v>031_Servicio de asistencia técnica</v>
      </c>
      <c r="AD102" s="160" t="str">
        <f>CONCATENATE(Z102," ",AC102)</f>
        <v>13-Servicios para la planeación y sistemas de gestión y comunicación estratégica 031_Servicio de asistencia técnica</v>
      </c>
      <c r="AE102" s="159" t="str">
        <f>CONCATENATE(U102,V102,W102,X102,AA102)</f>
        <v>O23011745992024020713031</v>
      </c>
      <c r="AF102" s="159" t="str">
        <f>IFERROR(VLOOKUP(AD102,TD!$J$66:$K$89,2,0)," ")</f>
        <v>PM/0131/0113/45990310207</v>
      </c>
      <c r="AG102" s="118" t="s">
        <v>385</v>
      </c>
      <c r="AH102" s="158" t="s">
        <v>193</v>
      </c>
      <c r="AI102" s="161" t="str">
        <f>CONCATENATE(PAA[[#This Row],[Id Interno]],"-",PAA[[#This Row],[tipo de Contrato (TH talento humano - B/S bienes y/o servicios)]],"-",S102,"-",T102,"-",PAA[[#This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103" spans="2:35" ht="70" x14ac:dyDescent="0.35">
      <c r="B103" s="23">
        <v>20260063</v>
      </c>
      <c r="C103" s="99" t="s">
        <v>860</v>
      </c>
      <c r="D103" s="23" t="s">
        <v>105</v>
      </c>
      <c r="E103" s="23" t="s">
        <v>363</v>
      </c>
      <c r="F103" s="155" t="s">
        <v>144</v>
      </c>
      <c r="G103" s="156" t="s">
        <v>373</v>
      </c>
      <c r="H103" s="157">
        <v>12</v>
      </c>
      <c r="I103" s="157">
        <v>0</v>
      </c>
      <c r="J103" s="127">
        <v>108000000</v>
      </c>
      <c r="K103" s="88" t="s">
        <v>398</v>
      </c>
      <c r="L103" s="155" t="s">
        <v>36</v>
      </c>
      <c r="M103" s="158" t="s">
        <v>495</v>
      </c>
      <c r="N103" s="23" t="s">
        <v>197</v>
      </c>
      <c r="O103" s="151" t="s">
        <v>957</v>
      </c>
      <c r="P103" s="155" t="s">
        <v>348</v>
      </c>
      <c r="Q103" s="53">
        <v>80111600</v>
      </c>
      <c r="R103" s="158" t="s">
        <v>200</v>
      </c>
      <c r="S103" s="158" t="str">
        <f>MID(PAA[[#This Row],[Meta Proyecto de Inversión]],1,4)</f>
        <v>8126</v>
      </c>
      <c r="T103" s="158" t="str">
        <f>MID(PAA[[#This Row],[Meta Proyecto de Inversión]],6,1)</f>
        <v>1</v>
      </c>
      <c r="U103" s="159" t="str">
        <f>IFERROR(VLOOKUP(N103,TD!$B$50:$F$54,2,0)," ")</f>
        <v>O230117</v>
      </c>
      <c r="V103" s="159" t="str">
        <f>IFERROR(VLOOKUP(N103,TD!$B$50:$F$54,3,0)," ")</f>
        <v>4599</v>
      </c>
      <c r="W103" s="159">
        <f>IFERROR(VLOOKUP(N103,TD!$B$50:$F$54,4,0)," ")</f>
        <v>20240207</v>
      </c>
      <c r="X103" s="158" t="s">
        <v>182</v>
      </c>
      <c r="Y103" s="159" t="str">
        <f>IFERROR(VLOOKUP(X103,TD!$J$51:$K$64,2,0)," ")</f>
        <v>Servicios para la planeación y sistemas de gestión y comunicación estratégica</v>
      </c>
      <c r="Z103" s="160" t="str">
        <f>CONCATENATE(X103,"-",Y103)</f>
        <v>13-Servicios para la planeación y sistemas de gestión y comunicación estratégica</v>
      </c>
      <c r="AA103" s="158" t="s">
        <v>230</v>
      </c>
      <c r="AB103" s="159" t="str">
        <f>IFERROR(VLOOKUP(AA103,TD!$N$51:$O$66,2,0)," ")</f>
        <v>Servicio de Implementación Sistemas de Gestión</v>
      </c>
      <c r="AC103" s="160" t="str">
        <f>CONCATENATE(AA103,"_",AB103)</f>
        <v>023_Servicio de Implementación Sistemas de Gestión</v>
      </c>
      <c r="AD103" s="160" t="str">
        <f>CONCATENATE(Z103," ",AC103)</f>
        <v>13-Servicios para la planeación y sistemas de gestión y comunicación estratégica 023_Servicio de Implementación Sistemas de Gestión</v>
      </c>
      <c r="AE103" s="159" t="str">
        <f>CONCATENATE(U103,V103,W103,X103,AA103)</f>
        <v>O23011745992024020713023</v>
      </c>
      <c r="AF103" s="159" t="str">
        <f>IFERROR(VLOOKUP(AD103,TD!$J$66:$K$89,2,0)," ")</f>
        <v>PM/0131/0113/45990230207</v>
      </c>
      <c r="AG103" s="118" t="s">
        <v>385</v>
      </c>
      <c r="AH103" s="158" t="s">
        <v>193</v>
      </c>
      <c r="AI103" s="161" t="str">
        <f>CONCATENATE(PAA[[#This Row],[Id Interno]],"-",PAA[[#This Row],[tipo de Contrato (TH talento humano - B/S bienes y/o servicios)]],"-",S103,"-",T103,"-",PAA[[#This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104" spans="2:35" ht="84" x14ac:dyDescent="0.35">
      <c r="B104" s="23">
        <v>20260064</v>
      </c>
      <c r="C104" s="99" t="s">
        <v>861</v>
      </c>
      <c r="D104" s="23" t="s">
        <v>105</v>
      </c>
      <c r="E104" s="23" t="s">
        <v>363</v>
      </c>
      <c r="F104" s="155" t="s">
        <v>144</v>
      </c>
      <c r="G104" s="156" t="s">
        <v>373</v>
      </c>
      <c r="H104" s="157">
        <v>12</v>
      </c>
      <c r="I104" s="157">
        <v>0</v>
      </c>
      <c r="J104" s="127">
        <v>90000000</v>
      </c>
      <c r="K104" s="88" t="s">
        <v>398</v>
      </c>
      <c r="L104" s="155" t="s">
        <v>36</v>
      </c>
      <c r="M104" s="158" t="s">
        <v>495</v>
      </c>
      <c r="N104" s="23" t="s">
        <v>197</v>
      </c>
      <c r="O104" s="151" t="s">
        <v>957</v>
      </c>
      <c r="P104" s="155" t="s">
        <v>348</v>
      </c>
      <c r="Q104" s="53">
        <v>80111600</v>
      </c>
      <c r="R104" s="158" t="s">
        <v>201</v>
      </c>
      <c r="S104" s="158" t="str">
        <f>MID(PAA[[#This Row],[Meta Proyecto de Inversión]],1,4)</f>
        <v>8126</v>
      </c>
      <c r="T104" s="158" t="str">
        <f>MID(PAA[[#This Row],[Meta Proyecto de Inversión]],6,1)</f>
        <v>2</v>
      </c>
      <c r="U104" s="159" t="str">
        <f>IFERROR(VLOOKUP(N104,TD!$B$50:$F$54,2,0)," ")</f>
        <v>O230117</v>
      </c>
      <c r="V104" s="159" t="str">
        <f>IFERROR(VLOOKUP(N104,TD!$B$50:$F$54,3,0)," ")</f>
        <v>4599</v>
      </c>
      <c r="W104" s="159">
        <f>IFERROR(VLOOKUP(N104,TD!$B$50:$F$54,4,0)," ")</f>
        <v>20240207</v>
      </c>
      <c r="X104" s="158" t="s">
        <v>182</v>
      </c>
      <c r="Y104" s="159" t="str">
        <f>IFERROR(VLOOKUP(X104,TD!$J$51:$K$64,2,0)," ")</f>
        <v>Servicios para la planeación y sistemas de gestión y comunicación estratégica</v>
      </c>
      <c r="Z104" s="160" t="str">
        <f>CONCATENATE(X104,"-",Y104)</f>
        <v>13-Servicios para la planeación y sistemas de gestión y comunicación estratégica</v>
      </c>
      <c r="AA104" s="158" t="s">
        <v>230</v>
      </c>
      <c r="AB104" s="159" t="str">
        <f>IFERROR(VLOOKUP(AA104,TD!$N$51:$O$66,2,0)," ")</f>
        <v>Servicio de Implementación Sistemas de Gestión</v>
      </c>
      <c r="AC104" s="160" t="str">
        <f>CONCATENATE(AA104,"_",AB104)</f>
        <v>023_Servicio de Implementación Sistemas de Gestión</v>
      </c>
      <c r="AD104" s="160" t="str">
        <f>CONCATENATE(Z104," ",AC104)</f>
        <v>13-Servicios para la planeación y sistemas de gestión y comunicación estratégica 023_Servicio de Implementación Sistemas de Gestión</v>
      </c>
      <c r="AE104" s="159" t="str">
        <f>CONCATENATE(U104,V104,W104,X104,AA104)</f>
        <v>O23011745992024020713023</v>
      </c>
      <c r="AF104" s="159" t="str">
        <f>IFERROR(VLOOKUP(AD104,TD!$J$66:$K$89,2,0)," ")</f>
        <v>PM/0131/0113/45990230207</v>
      </c>
      <c r="AG104" s="118" t="s">
        <v>385</v>
      </c>
      <c r="AH104" s="158" t="s">
        <v>193</v>
      </c>
      <c r="AI104" s="161" t="str">
        <f>CONCATENATE(PAA[[#This Row],[Id Interno]],"-",PAA[[#This Row],[tipo de Contrato (TH talento humano - B/S bienes y/o servicios)]],"-",S104,"-",T104,"-",PAA[[#This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105" spans="2:35" ht="56" x14ac:dyDescent="0.35">
      <c r="B105" s="23">
        <v>20260065</v>
      </c>
      <c r="C105" s="99" t="s">
        <v>862</v>
      </c>
      <c r="D105" s="23" t="s">
        <v>105</v>
      </c>
      <c r="E105" s="23" t="s">
        <v>363</v>
      </c>
      <c r="F105" s="155" t="s">
        <v>144</v>
      </c>
      <c r="G105" s="156" t="s">
        <v>373</v>
      </c>
      <c r="H105" s="157">
        <v>8</v>
      </c>
      <c r="I105" s="157">
        <v>0</v>
      </c>
      <c r="J105" s="127">
        <v>33600000</v>
      </c>
      <c r="K105" s="88" t="s">
        <v>398</v>
      </c>
      <c r="L105" s="155" t="s">
        <v>36</v>
      </c>
      <c r="M105" s="158" t="s">
        <v>495</v>
      </c>
      <c r="N105" s="23" t="s">
        <v>197</v>
      </c>
      <c r="O105" s="151" t="s">
        <v>957</v>
      </c>
      <c r="P105" s="155" t="s">
        <v>348</v>
      </c>
      <c r="Q105" s="53">
        <v>80111600</v>
      </c>
      <c r="R105" s="158" t="s">
        <v>200</v>
      </c>
      <c r="S105" s="158" t="str">
        <f>MID(PAA[[#This Row],[Meta Proyecto de Inversión]],1,4)</f>
        <v>8126</v>
      </c>
      <c r="T105" s="158" t="str">
        <f>MID(PAA[[#This Row],[Meta Proyecto de Inversión]],6,1)</f>
        <v>1</v>
      </c>
      <c r="U105" s="159" t="str">
        <f>IFERROR(VLOOKUP(N105,TD!$B$50:$F$54,2,0)," ")</f>
        <v>O230117</v>
      </c>
      <c r="V105" s="159" t="str">
        <f>IFERROR(VLOOKUP(N105,TD!$B$50:$F$54,3,0)," ")</f>
        <v>4599</v>
      </c>
      <c r="W105" s="159">
        <f>IFERROR(VLOOKUP(N105,TD!$B$50:$F$54,4,0)," ")</f>
        <v>20240207</v>
      </c>
      <c r="X105" s="158" t="s">
        <v>182</v>
      </c>
      <c r="Y105" s="159" t="str">
        <f>IFERROR(VLOOKUP(X105,TD!$J$51:$K$64,2,0)," ")</f>
        <v>Servicios para la planeación y sistemas de gestión y comunicación estratégica</v>
      </c>
      <c r="Z105" s="160" t="str">
        <f>CONCATENATE(X105,"-",Y105)</f>
        <v>13-Servicios para la planeación y sistemas de gestión y comunicación estratégica</v>
      </c>
      <c r="AA105" s="158" t="s">
        <v>229</v>
      </c>
      <c r="AB105" s="159" t="str">
        <f>IFERROR(VLOOKUP(AA105,TD!$N$51:$O$66,2,0)," ")</f>
        <v>Servicio de asistencia técnica</v>
      </c>
      <c r="AC105" s="160" t="str">
        <f>CONCATENATE(AA105,"_",AB105)</f>
        <v>031_Servicio de asistencia técnica</v>
      </c>
      <c r="AD105" s="160" t="str">
        <f>CONCATENATE(Z105," ",AC105)</f>
        <v>13-Servicios para la planeación y sistemas de gestión y comunicación estratégica 031_Servicio de asistencia técnica</v>
      </c>
      <c r="AE105" s="159" t="str">
        <f>CONCATENATE(U105,V105,W105,X105,AA105)</f>
        <v>O23011745992024020713031</v>
      </c>
      <c r="AF105" s="159" t="str">
        <f>IFERROR(VLOOKUP(AD105,TD!$J$66:$K$89,2,0)," ")</f>
        <v>PM/0131/0113/45990310207</v>
      </c>
      <c r="AG105" s="118" t="s">
        <v>385</v>
      </c>
      <c r="AH105" s="158" t="s">
        <v>193</v>
      </c>
      <c r="AI105" s="161" t="str">
        <f>CONCATENATE(PAA[[#This Row],[Id Interno]],"-",PAA[[#This Row],[tipo de Contrato (TH talento humano - B/S bienes y/o servicios)]],"-",S105,"-",T105,"-",PAA[[#This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106" spans="2:35" ht="56" x14ac:dyDescent="0.35">
      <c r="B106" s="23">
        <v>20260066</v>
      </c>
      <c r="C106" s="99" t="s">
        <v>863</v>
      </c>
      <c r="D106" s="23" t="s">
        <v>105</v>
      </c>
      <c r="E106" s="23" t="s">
        <v>363</v>
      </c>
      <c r="F106" s="155" t="s">
        <v>144</v>
      </c>
      <c r="G106" s="156" t="s">
        <v>373</v>
      </c>
      <c r="H106" s="157">
        <v>11</v>
      </c>
      <c r="I106" s="157">
        <v>0</v>
      </c>
      <c r="J106" s="127">
        <v>99000000</v>
      </c>
      <c r="K106" s="88" t="s">
        <v>398</v>
      </c>
      <c r="L106" s="155" t="s">
        <v>36</v>
      </c>
      <c r="M106" s="158" t="s">
        <v>495</v>
      </c>
      <c r="N106" s="23" t="s">
        <v>197</v>
      </c>
      <c r="O106" s="151" t="s">
        <v>957</v>
      </c>
      <c r="P106" s="155" t="s">
        <v>348</v>
      </c>
      <c r="Q106" s="53">
        <v>80111600</v>
      </c>
      <c r="R106" s="158" t="s">
        <v>200</v>
      </c>
      <c r="S106" s="158" t="str">
        <f>MID(PAA[[#This Row],[Meta Proyecto de Inversión]],1,4)</f>
        <v>8126</v>
      </c>
      <c r="T106" s="158" t="str">
        <f>MID(PAA[[#This Row],[Meta Proyecto de Inversión]],6,1)</f>
        <v>1</v>
      </c>
      <c r="U106" s="159" t="str">
        <f>IFERROR(VLOOKUP(N106,TD!$B$50:$F$54,2,0)," ")</f>
        <v>O230117</v>
      </c>
      <c r="V106" s="159" t="str">
        <f>IFERROR(VLOOKUP(N106,TD!$B$50:$F$54,3,0)," ")</f>
        <v>4599</v>
      </c>
      <c r="W106" s="159">
        <f>IFERROR(VLOOKUP(N106,TD!$B$50:$F$54,4,0)," ")</f>
        <v>20240207</v>
      </c>
      <c r="X106" s="158" t="s">
        <v>182</v>
      </c>
      <c r="Y106" s="159" t="str">
        <f>IFERROR(VLOOKUP(X106,TD!$J$51:$K$64,2,0)," ")</f>
        <v>Servicios para la planeación y sistemas de gestión y comunicación estratégica</v>
      </c>
      <c r="Z106" s="160" t="str">
        <f>CONCATENATE(X106,"-",Y106)</f>
        <v>13-Servicios para la planeación y sistemas de gestión y comunicación estratégica</v>
      </c>
      <c r="AA106" s="158" t="s">
        <v>229</v>
      </c>
      <c r="AB106" s="159" t="str">
        <f>IFERROR(VLOOKUP(AA106,TD!$N$51:$O$66,2,0)," ")</f>
        <v>Servicio de asistencia técnica</v>
      </c>
      <c r="AC106" s="160" t="str">
        <f>CONCATENATE(AA106,"_",AB106)</f>
        <v>031_Servicio de asistencia técnica</v>
      </c>
      <c r="AD106" s="160" t="str">
        <f>CONCATENATE(Z106," ",AC106)</f>
        <v>13-Servicios para la planeación y sistemas de gestión y comunicación estratégica 031_Servicio de asistencia técnica</v>
      </c>
      <c r="AE106" s="159" t="str">
        <f>CONCATENATE(U106,V106,W106,X106,AA106)</f>
        <v>O23011745992024020713031</v>
      </c>
      <c r="AF106" s="159" t="str">
        <f>IFERROR(VLOOKUP(AD106,TD!$J$66:$K$89,2,0)," ")</f>
        <v>PM/0131/0113/45990310207</v>
      </c>
      <c r="AG106" s="118" t="s">
        <v>385</v>
      </c>
      <c r="AH106" s="158" t="s">
        <v>193</v>
      </c>
      <c r="AI106" s="161" t="str">
        <f>CONCATENATE(PAA[[#This Row],[Id Interno]],"-",PAA[[#This Row],[tipo de Contrato (TH talento humano - B/S bienes y/o servicios)]],"-",S106,"-",T106,"-",PAA[[#This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107" spans="2:35" ht="56" x14ac:dyDescent="0.35">
      <c r="B107" s="23">
        <v>20260067</v>
      </c>
      <c r="C107" s="99" t="s">
        <v>864</v>
      </c>
      <c r="D107" s="23" t="s">
        <v>105</v>
      </c>
      <c r="E107" s="23" t="s">
        <v>363</v>
      </c>
      <c r="F107" s="155" t="s">
        <v>144</v>
      </c>
      <c r="G107" s="156" t="s">
        <v>373</v>
      </c>
      <c r="H107" s="157">
        <v>11</v>
      </c>
      <c r="I107" s="157">
        <v>0</v>
      </c>
      <c r="J107" s="127">
        <v>88000000</v>
      </c>
      <c r="K107" s="88" t="s">
        <v>398</v>
      </c>
      <c r="L107" s="155" t="s">
        <v>36</v>
      </c>
      <c r="M107" s="158" t="s">
        <v>495</v>
      </c>
      <c r="N107" s="23" t="s">
        <v>197</v>
      </c>
      <c r="O107" s="151" t="s">
        <v>957</v>
      </c>
      <c r="P107" s="155" t="s">
        <v>348</v>
      </c>
      <c r="Q107" s="53">
        <v>80111600</v>
      </c>
      <c r="R107" s="158" t="s">
        <v>200</v>
      </c>
      <c r="S107" s="158" t="str">
        <f>MID(PAA[[#This Row],[Meta Proyecto de Inversión]],1,4)</f>
        <v>8126</v>
      </c>
      <c r="T107" s="158" t="str">
        <f>MID(PAA[[#This Row],[Meta Proyecto de Inversión]],6,1)</f>
        <v>1</v>
      </c>
      <c r="U107" s="159" t="str">
        <f>IFERROR(VLOOKUP(N107,TD!$B$50:$F$54,2,0)," ")</f>
        <v>O230117</v>
      </c>
      <c r="V107" s="159" t="str">
        <f>IFERROR(VLOOKUP(N107,TD!$B$50:$F$54,3,0)," ")</f>
        <v>4599</v>
      </c>
      <c r="W107" s="159">
        <f>IFERROR(VLOOKUP(N107,TD!$B$50:$F$54,4,0)," ")</f>
        <v>20240207</v>
      </c>
      <c r="X107" s="158" t="s">
        <v>182</v>
      </c>
      <c r="Y107" s="159" t="str">
        <f>IFERROR(VLOOKUP(X107,TD!$J$51:$K$64,2,0)," ")</f>
        <v>Servicios para la planeación y sistemas de gestión y comunicación estratégica</v>
      </c>
      <c r="Z107" s="160" t="str">
        <f>CONCATENATE(X107,"-",Y107)</f>
        <v>13-Servicios para la planeación y sistemas de gestión y comunicación estratégica</v>
      </c>
      <c r="AA107" s="158" t="s">
        <v>229</v>
      </c>
      <c r="AB107" s="159" t="str">
        <f>IFERROR(VLOOKUP(AA107,TD!$N$51:$O$66,2,0)," ")</f>
        <v>Servicio de asistencia técnica</v>
      </c>
      <c r="AC107" s="160" t="str">
        <f>CONCATENATE(AA107,"_",AB107)</f>
        <v>031_Servicio de asistencia técnica</v>
      </c>
      <c r="AD107" s="160" t="str">
        <f>CONCATENATE(Z107," ",AC107)</f>
        <v>13-Servicios para la planeación y sistemas de gestión y comunicación estratégica 031_Servicio de asistencia técnica</v>
      </c>
      <c r="AE107" s="159" t="str">
        <f>CONCATENATE(U107,V107,W107,X107,AA107)</f>
        <v>O23011745992024020713031</v>
      </c>
      <c r="AF107" s="159" t="str">
        <f>IFERROR(VLOOKUP(AD107,TD!$J$66:$K$89,2,0)," ")</f>
        <v>PM/0131/0113/45990310207</v>
      </c>
      <c r="AG107" s="118" t="s">
        <v>385</v>
      </c>
      <c r="AH107" s="158" t="s">
        <v>193</v>
      </c>
      <c r="AI107" s="161" t="str">
        <f>CONCATENATE(PAA[[#This Row],[Id Interno]],"-",PAA[[#This Row],[tipo de Contrato (TH talento humano - B/S bienes y/o servicios)]],"-",S107,"-",T107,"-",PAA[[#This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108" spans="2:35" ht="56" x14ac:dyDescent="0.35">
      <c r="B108" s="23">
        <v>20260068</v>
      </c>
      <c r="C108" s="99" t="s">
        <v>865</v>
      </c>
      <c r="D108" s="23" t="s">
        <v>105</v>
      </c>
      <c r="E108" s="23" t="s">
        <v>363</v>
      </c>
      <c r="F108" s="155" t="s">
        <v>144</v>
      </c>
      <c r="G108" s="156" t="s">
        <v>373</v>
      </c>
      <c r="H108" s="157">
        <v>6</v>
      </c>
      <c r="I108" s="157">
        <v>0</v>
      </c>
      <c r="J108" s="127">
        <v>42000000</v>
      </c>
      <c r="K108" s="88" t="s">
        <v>398</v>
      </c>
      <c r="L108" s="155" t="s">
        <v>36</v>
      </c>
      <c r="M108" s="158" t="s">
        <v>495</v>
      </c>
      <c r="N108" s="23" t="s">
        <v>197</v>
      </c>
      <c r="O108" s="151" t="s">
        <v>957</v>
      </c>
      <c r="P108" s="155" t="s">
        <v>348</v>
      </c>
      <c r="Q108" s="53">
        <v>80111600</v>
      </c>
      <c r="R108" s="158" t="s">
        <v>200</v>
      </c>
      <c r="S108" s="158" t="str">
        <f>MID(PAA[[#This Row],[Meta Proyecto de Inversión]],1,4)</f>
        <v>8126</v>
      </c>
      <c r="T108" s="158" t="str">
        <f>MID(PAA[[#This Row],[Meta Proyecto de Inversión]],6,1)</f>
        <v>1</v>
      </c>
      <c r="U108" s="159" t="str">
        <f>IFERROR(VLOOKUP(N108,TD!$B$50:$F$54,2,0)," ")</f>
        <v>O230117</v>
      </c>
      <c r="V108" s="159" t="str">
        <f>IFERROR(VLOOKUP(N108,TD!$B$50:$F$54,3,0)," ")</f>
        <v>4599</v>
      </c>
      <c r="W108" s="159">
        <f>IFERROR(VLOOKUP(N108,TD!$B$50:$F$54,4,0)," ")</f>
        <v>20240207</v>
      </c>
      <c r="X108" s="158" t="s">
        <v>182</v>
      </c>
      <c r="Y108" s="159" t="str">
        <f>IFERROR(VLOOKUP(X108,TD!$J$51:$K$64,2,0)," ")</f>
        <v>Servicios para la planeación y sistemas de gestión y comunicación estratégica</v>
      </c>
      <c r="Z108" s="160" t="str">
        <f>CONCATENATE(X108,"-",Y108)</f>
        <v>13-Servicios para la planeación y sistemas de gestión y comunicación estratégica</v>
      </c>
      <c r="AA108" s="158" t="s">
        <v>229</v>
      </c>
      <c r="AB108" s="159" t="str">
        <f>IFERROR(VLOOKUP(AA108,TD!$N$51:$O$66,2,0)," ")</f>
        <v>Servicio de asistencia técnica</v>
      </c>
      <c r="AC108" s="160" t="str">
        <f>CONCATENATE(AA108,"_",AB108)</f>
        <v>031_Servicio de asistencia técnica</v>
      </c>
      <c r="AD108" s="160" t="str">
        <f>CONCATENATE(Z108," ",AC108)</f>
        <v>13-Servicios para la planeación y sistemas de gestión y comunicación estratégica 031_Servicio de asistencia técnica</v>
      </c>
      <c r="AE108" s="159" t="str">
        <f>CONCATENATE(U108,V108,W108,X108,AA108)</f>
        <v>O23011745992024020713031</v>
      </c>
      <c r="AF108" s="159" t="str">
        <f>IFERROR(VLOOKUP(AD108,TD!$J$66:$K$89,2,0)," ")</f>
        <v>PM/0131/0113/45990310207</v>
      </c>
      <c r="AG108" s="118" t="s">
        <v>385</v>
      </c>
      <c r="AH108" s="158" t="s">
        <v>193</v>
      </c>
      <c r="AI108" s="161" t="str">
        <f>CONCATENATE(PAA[[#This Row],[Id Interno]],"-",PAA[[#This Row],[tipo de Contrato (TH talento humano - B/S bienes y/o servicios)]],"-",S108,"-",T108,"-",PAA[[#This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109" spans="2:35" ht="56" x14ac:dyDescent="0.35">
      <c r="B109" s="23">
        <v>20260069</v>
      </c>
      <c r="C109" s="99" t="s">
        <v>866</v>
      </c>
      <c r="D109" s="23" t="s">
        <v>105</v>
      </c>
      <c r="E109" s="23" t="s">
        <v>363</v>
      </c>
      <c r="F109" s="155" t="s">
        <v>144</v>
      </c>
      <c r="G109" s="156" t="s">
        <v>373</v>
      </c>
      <c r="H109" s="157">
        <v>12</v>
      </c>
      <c r="I109" s="157">
        <v>0</v>
      </c>
      <c r="J109" s="127">
        <v>126000000</v>
      </c>
      <c r="K109" s="88" t="s">
        <v>398</v>
      </c>
      <c r="L109" s="155" t="s">
        <v>36</v>
      </c>
      <c r="M109" s="158" t="s">
        <v>495</v>
      </c>
      <c r="N109" s="23" t="s">
        <v>197</v>
      </c>
      <c r="O109" s="151" t="s">
        <v>957</v>
      </c>
      <c r="P109" s="155" t="s">
        <v>348</v>
      </c>
      <c r="Q109" s="53">
        <v>80111600</v>
      </c>
      <c r="R109" s="158" t="s">
        <v>200</v>
      </c>
      <c r="S109" s="158" t="str">
        <f>MID(PAA[[#This Row],[Meta Proyecto de Inversión]],1,4)</f>
        <v>8126</v>
      </c>
      <c r="T109" s="158" t="str">
        <f>MID(PAA[[#This Row],[Meta Proyecto de Inversión]],6,1)</f>
        <v>1</v>
      </c>
      <c r="U109" s="159" t="str">
        <f>IFERROR(VLOOKUP(N109,TD!$B$50:$F$54,2,0)," ")</f>
        <v>O230117</v>
      </c>
      <c r="V109" s="159" t="str">
        <f>IFERROR(VLOOKUP(N109,TD!$B$50:$F$54,3,0)," ")</f>
        <v>4599</v>
      </c>
      <c r="W109" s="159">
        <f>IFERROR(VLOOKUP(N109,TD!$B$50:$F$54,4,0)," ")</f>
        <v>20240207</v>
      </c>
      <c r="X109" s="158" t="s">
        <v>182</v>
      </c>
      <c r="Y109" s="159" t="str">
        <f>IFERROR(VLOOKUP(X109,TD!$J$51:$K$64,2,0)," ")</f>
        <v>Servicios para la planeación y sistemas de gestión y comunicación estratégica</v>
      </c>
      <c r="Z109" s="160" t="str">
        <f>CONCATENATE(X109,"-",Y109)</f>
        <v>13-Servicios para la planeación y sistemas de gestión y comunicación estratégica</v>
      </c>
      <c r="AA109" s="158" t="s">
        <v>229</v>
      </c>
      <c r="AB109" s="159" t="str">
        <f>IFERROR(VLOOKUP(AA109,TD!$N$51:$O$66,2,0)," ")</f>
        <v>Servicio de asistencia técnica</v>
      </c>
      <c r="AC109" s="160" t="str">
        <f>CONCATENATE(AA109,"_",AB109)</f>
        <v>031_Servicio de asistencia técnica</v>
      </c>
      <c r="AD109" s="160" t="str">
        <f>CONCATENATE(Z109," ",AC109)</f>
        <v>13-Servicios para la planeación y sistemas de gestión y comunicación estratégica 031_Servicio de asistencia técnica</v>
      </c>
      <c r="AE109" s="159" t="str">
        <f>CONCATENATE(U109,V109,W109,X109,AA109)</f>
        <v>O23011745992024020713031</v>
      </c>
      <c r="AF109" s="159" t="str">
        <f>IFERROR(VLOOKUP(AD109,TD!$J$66:$K$89,2,0)," ")</f>
        <v>PM/0131/0113/45990310207</v>
      </c>
      <c r="AG109" s="118" t="s">
        <v>385</v>
      </c>
      <c r="AH109" s="158" t="s">
        <v>193</v>
      </c>
      <c r="AI109" s="161" t="str">
        <f>CONCATENATE(PAA[[#This Row],[Id Interno]],"-",PAA[[#This Row],[tipo de Contrato (TH talento humano - B/S bienes y/o servicios)]],"-",S109,"-",T109,"-",PAA[[#This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110" spans="2:35" ht="56" x14ac:dyDescent="0.35">
      <c r="B110" s="23">
        <v>20260070</v>
      </c>
      <c r="C110" s="99" t="s">
        <v>867</v>
      </c>
      <c r="D110" s="23" t="s">
        <v>105</v>
      </c>
      <c r="E110" s="23" t="s">
        <v>363</v>
      </c>
      <c r="F110" s="155" t="s">
        <v>144</v>
      </c>
      <c r="G110" s="156" t="s">
        <v>373</v>
      </c>
      <c r="H110" s="157">
        <v>6</v>
      </c>
      <c r="I110" s="157">
        <v>0</v>
      </c>
      <c r="J110" s="127">
        <v>42000000</v>
      </c>
      <c r="K110" s="88" t="s">
        <v>398</v>
      </c>
      <c r="L110" s="155" t="s">
        <v>36</v>
      </c>
      <c r="M110" s="158" t="s">
        <v>495</v>
      </c>
      <c r="N110" s="23" t="s">
        <v>197</v>
      </c>
      <c r="O110" s="151" t="s">
        <v>957</v>
      </c>
      <c r="P110" s="155" t="s">
        <v>348</v>
      </c>
      <c r="Q110" s="53">
        <v>80111600</v>
      </c>
      <c r="R110" s="158" t="s">
        <v>200</v>
      </c>
      <c r="S110" s="158" t="str">
        <f>MID(PAA[[#This Row],[Meta Proyecto de Inversión]],1,4)</f>
        <v>8126</v>
      </c>
      <c r="T110" s="158" t="str">
        <f>MID(PAA[[#This Row],[Meta Proyecto de Inversión]],6,1)</f>
        <v>1</v>
      </c>
      <c r="U110" s="159" t="str">
        <f>IFERROR(VLOOKUP(N110,TD!$B$50:$F$54,2,0)," ")</f>
        <v>O230117</v>
      </c>
      <c r="V110" s="159" t="str">
        <f>IFERROR(VLOOKUP(N110,TD!$B$50:$F$54,3,0)," ")</f>
        <v>4599</v>
      </c>
      <c r="W110" s="159">
        <f>IFERROR(VLOOKUP(N110,TD!$B$50:$F$54,4,0)," ")</f>
        <v>20240207</v>
      </c>
      <c r="X110" s="158" t="s">
        <v>182</v>
      </c>
      <c r="Y110" s="159" t="str">
        <f>IFERROR(VLOOKUP(X110,TD!$J$51:$K$64,2,0)," ")</f>
        <v>Servicios para la planeación y sistemas de gestión y comunicación estratégica</v>
      </c>
      <c r="Z110" s="160" t="str">
        <f>CONCATENATE(X110,"-",Y110)</f>
        <v>13-Servicios para la planeación y sistemas de gestión y comunicación estratégica</v>
      </c>
      <c r="AA110" s="158" t="s">
        <v>229</v>
      </c>
      <c r="AB110" s="159" t="str">
        <f>IFERROR(VLOOKUP(AA110,TD!$N$51:$O$66,2,0)," ")</f>
        <v>Servicio de asistencia técnica</v>
      </c>
      <c r="AC110" s="160" t="str">
        <f>CONCATENATE(AA110,"_",AB110)</f>
        <v>031_Servicio de asistencia técnica</v>
      </c>
      <c r="AD110" s="160" t="str">
        <f>CONCATENATE(Z110," ",AC110)</f>
        <v>13-Servicios para la planeación y sistemas de gestión y comunicación estratégica 031_Servicio de asistencia técnica</v>
      </c>
      <c r="AE110" s="159" t="str">
        <f>CONCATENATE(U110,V110,W110,X110,AA110)</f>
        <v>O23011745992024020713031</v>
      </c>
      <c r="AF110" s="159" t="str">
        <f>IFERROR(VLOOKUP(AD110,TD!$J$66:$K$89,2,0)," ")</f>
        <v>PM/0131/0113/45990310207</v>
      </c>
      <c r="AG110" s="118" t="s">
        <v>385</v>
      </c>
      <c r="AH110" s="158" t="s">
        <v>193</v>
      </c>
      <c r="AI110" s="161" t="str">
        <f>CONCATENATE(PAA[[#This Row],[Id Interno]],"-",PAA[[#This Row],[tipo de Contrato (TH talento humano - B/S bienes y/o servicios)]],"-",S110,"-",T110,"-",PAA[[#This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111" spans="2:35" ht="112" x14ac:dyDescent="0.35">
      <c r="B111" s="23">
        <v>20260071</v>
      </c>
      <c r="C111" s="99" t="s">
        <v>868</v>
      </c>
      <c r="D111" s="23" t="s">
        <v>105</v>
      </c>
      <c r="E111" s="23" t="s">
        <v>363</v>
      </c>
      <c r="F111" s="155" t="s">
        <v>144</v>
      </c>
      <c r="G111" s="156" t="s">
        <v>373</v>
      </c>
      <c r="H111" s="157">
        <v>11</v>
      </c>
      <c r="I111" s="157">
        <v>0</v>
      </c>
      <c r="J111" s="127">
        <f>102000000-800000</f>
        <v>101200000</v>
      </c>
      <c r="K111" s="88" t="s">
        <v>398</v>
      </c>
      <c r="L111" s="155" t="s">
        <v>36</v>
      </c>
      <c r="M111" s="158" t="s">
        <v>495</v>
      </c>
      <c r="N111" s="23" t="s">
        <v>197</v>
      </c>
      <c r="O111" s="151" t="s">
        <v>957</v>
      </c>
      <c r="P111" s="155" t="s">
        <v>348</v>
      </c>
      <c r="Q111" s="53">
        <v>80111600</v>
      </c>
      <c r="R111" s="158" t="s">
        <v>202</v>
      </c>
      <c r="S111" s="158" t="str">
        <f>MID(PAA[[#This Row],[Meta Proyecto de Inversión]],1,4)</f>
        <v>8126</v>
      </c>
      <c r="T111" s="158" t="str">
        <f>MID(PAA[[#This Row],[Meta Proyecto de Inversión]],6,1)</f>
        <v>3</v>
      </c>
      <c r="U111" s="159" t="str">
        <f>IFERROR(VLOOKUP(N111,TD!$B$50:$F$54,2,0)," ")</f>
        <v>O230117</v>
      </c>
      <c r="V111" s="159" t="str">
        <f>IFERROR(VLOOKUP(N111,TD!$B$50:$F$54,3,0)," ")</f>
        <v>4599</v>
      </c>
      <c r="W111" s="159">
        <f>IFERROR(VLOOKUP(N111,TD!$B$50:$F$54,4,0)," ")</f>
        <v>20240207</v>
      </c>
      <c r="X111" s="158" t="s">
        <v>182</v>
      </c>
      <c r="Y111" s="159" t="str">
        <f>IFERROR(VLOOKUP(X111,TD!$J$51:$K$64,2,0)," ")</f>
        <v>Servicios para la planeación y sistemas de gestión y comunicación estratégica</v>
      </c>
      <c r="Z111" s="160" t="str">
        <f>CONCATENATE(X111,"-",Y111)</f>
        <v>13-Servicios para la planeación y sistemas de gestión y comunicación estratégica</v>
      </c>
      <c r="AA111" s="158" t="s">
        <v>229</v>
      </c>
      <c r="AB111" s="159" t="str">
        <f>IFERROR(VLOOKUP(AA111,TD!$N$51:$O$66,2,0)," ")</f>
        <v>Servicio de asistencia técnica</v>
      </c>
      <c r="AC111" s="160" t="str">
        <f>CONCATENATE(AA111,"_",AB111)</f>
        <v>031_Servicio de asistencia técnica</v>
      </c>
      <c r="AD111" s="160" t="str">
        <f>CONCATENATE(Z111," ",AC111)</f>
        <v>13-Servicios para la planeación y sistemas de gestión y comunicación estratégica 031_Servicio de asistencia técnica</v>
      </c>
      <c r="AE111" s="159" t="str">
        <f>CONCATENATE(U111,V111,W111,X111,AA111)</f>
        <v>O23011745992024020713031</v>
      </c>
      <c r="AF111" s="159" t="str">
        <f>IFERROR(VLOOKUP(AD111,TD!$J$66:$K$89,2,0)," ")</f>
        <v>PM/0131/0113/45990310207</v>
      </c>
      <c r="AG111" s="118" t="s">
        <v>385</v>
      </c>
      <c r="AH111" s="158" t="s">
        <v>193</v>
      </c>
      <c r="AI111" s="161" t="str">
        <f>CONCATENATE(PAA[[#This Row],[Id Interno]],"-",PAA[[#This Row],[tipo de Contrato (TH talento humano - B/S bienes y/o servicios)]],"-",S111,"-",T111,"-",PAA[[#This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112" spans="2:35" ht="56" x14ac:dyDescent="0.35">
      <c r="B112" s="23">
        <v>20260072</v>
      </c>
      <c r="C112" s="99" t="s">
        <v>940</v>
      </c>
      <c r="D112" s="23" t="s">
        <v>105</v>
      </c>
      <c r="E112" s="23" t="s">
        <v>363</v>
      </c>
      <c r="F112" s="155" t="s">
        <v>144</v>
      </c>
      <c r="G112" s="156" t="s">
        <v>373</v>
      </c>
      <c r="H112" s="157">
        <v>8</v>
      </c>
      <c r="I112" s="157">
        <v>0</v>
      </c>
      <c r="J112" s="127">
        <f>53889792-1889792</f>
        <v>52000000</v>
      </c>
      <c r="K112" s="88" t="s">
        <v>398</v>
      </c>
      <c r="L112" s="155" t="s">
        <v>36</v>
      </c>
      <c r="M112" s="158" t="s">
        <v>495</v>
      </c>
      <c r="N112" s="23" t="s">
        <v>197</v>
      </c>
      <c r="O112" s="151" t="s">
        <v>957</v>
      </c>
      <c r="P112" s="155" t="s">
        <v>348</v>
      </c>
      <c r="Q112" s="53">
        <v>80111600</v>
      </c>
      <c r="R112" s="158" t="s">
        <v>200</v>
      </c>
      <c r="S112" s="158" t="str">
        <f>MID(PAA[[#This Row],[Meta Proyecto de Inversión]],1,4)</f>
        <v>8126</v>
      </c>
      <c r="T112" s="158" t="str">
        <f>MID(PAA[[#This Row],[Meta Proyecto de Inversión]],6,1)</f>
        <v>1</v>
      </c>
      <c r="U112" s="159" t="str">
        <f>IFERROR(VLOOKUP(N112,TD!$B$50:$F$54,2,0)," ")</f>
        <v>O230117</v>
      </c>
      <c r="V112" s="159" t="str">
        <f>IFERROR(VLOOKUP(N112,TD!$B$50:$F$54,3,0)," ")</f>
        <v>4599</v>
      </c>
      <c r="W112" s="159">
        <f>IFERROR(VLOOKUP(N112,TD!$B$50:$F$54,4,0)," ")</f>
        <v>20240207</v>
      </c>
      <c r="X112" s="158" t="s">
        <v>182</v>
      </c>
      <c r="Y112" s="159" t="str">
        <f>IFERROR(VLOOKUP(X112,TD!$J$51:$K$64,2,0)," ")</f>
        <v>Servicios para la planeación y sistemas de gestión y comunicación estratégica</v>
      </c>
      <c r="Z112" s="160" t="str">
        <f>CONCATENATE(X112,"-",Y112)</f>
        <v>13-Servicios para la planeación y sistemas de gestión y comunicación estratégica</v>
      </c>
      <c r="AA112" s="158" t="s">
        <v>229</v>
      </c>
      <c r="AB112" s="159" t="str">
        <f>IFERROR(VLOOKUP(AA112,TD!$N$51:$O$66,2,0)," ")</f>
        <v>Servicio de asistencia técnica</v>
      </c>
      <c r="AC112" s="160" t="str">
        <f>CONCATENATE(AA112,"_",AB112)</f>
        <v>031_Servicio de asistencia técnica</v>
      </c>
      <c r="AD112" s="160" t="str">
        <f>CONCATENATE(Z112," ",AC112)</f>
        <v>13-Servicios para la planeación y sistemas de gestión y comunicación estratégica 031_Servicio de asistencia técnica</v>
      </c>
      <c r="AE112" s="159" t="str">
        <f>CONCATENATE(U112,V112,W112,X112,AA112)</f>
        <v>O23011745992024020713031</v>
      </c>
      <c r="AF112" s="159" t="str">
        <f>IFERROR(VLOOKUP(AD112,TD!$J$66:$K$89,2,0)," ")</f>
        <v>PM/0131/0113/45990310207</v>
      </c>
      <c r="AG112" s="118" t="s">
        <v>385</v>
      </c>
      <c r="AH112" s="158" t="s">
        <v>193</v>
      </c>
      <c r="AI112" s="161" t="str">
        <f>CONCATENATE(PAA[[#This Row],[Id Interno]],"-",PAA[[#This Row],[tipo de Contrato (TH talento humano - B/S bienes y/o servicios)]],"-",S112,"-",T112,"-",PAA[[#This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113" spans="2:35" ht="56" x14ac:dyDescent="0.35">
      <c r="B113" s="23">
        <v>20260073</v>
      </c>
      <c r="C113" s="99" t="s">
        <v>869</v>
      </c>
      <c r="D113" s="23" t="s">
        <v>105</v>
      </c>
      <c r="E113" s="23" t="s">
        <v>363</v>
      </c>
      <c r="F113" s="155" t="s">
        <v>144</v>
      </c>
      <c r="G113" s="156" t="s">
        <v>373</v>
      </c>
      <c r="H113" s="157">
        <v>6</v>
      </c>
      <c r="I113" s="157">
        <v>0</v>
      </c>
      <c r="J113" s="127">
        <v>39000000</v>
      </c>
      <c r="K113" s="88" t="s">
        <v>398</v>
      </c>
      <c r="L113" s="155" t="s">
        <v>36</v>
      </c>
      <c r="M113" s="158" t="s">
        <v>495</v>
      </c>
      <c r="N113" s="23" t="s">
        <v>197</v>
      </c>
      <c r="O113" s="151" t="s">
        <v>957</v>
      </c>
      <c r="P113" s="155" t="s">
        <v>348</v>
      </c>
      <c r="Q113" s="53">
        <v>80111600</v>
      </c>
      <c r="R113" s="158" t="s">
        <v>200</v>
      </c>
      <c r="S113" s="158" t="str">
        <f>MID(PAA[[#This Row],[Meta Proyecto de Inversión]],1,4)</f>
        <v>8126</v>
      </c>
      <c r="T113" s="158" t="str">
        <f>MID(PAA[[#This Row],[Meta Proyecto de Inversión]],6,1)</f>
        <v>1</v>
      </c>
      <c r="U113" s="159" t="str">
        <f>IFERROR(VLOOKUP(N113,TD!$B$50:$F$54,2,0)," ")</f>
        <v>O230117</v>
      </c>
      <c r="V113" s="159" t="str">
        <f>IFERROR(VLOOKUP(N113,TD!$B$50:$F$54,3,0)," ")</f>
        <v>4599</v>
      </c>
      <c r="W113" s="159">
        <f>IFERROR(VLOOKUP(N113,TD!$B$50:$F$54,4,0)," ")</f>
        <v>20240207</v>
      </c>
      <c r="X113" s="158" t="s">
        <v>182</v>
      </c>
      <c r="Y113" s="159" t="str">
        <f>IFERROR(VLOOKUP(X113,TD!$J$51:$K$64,2,0)," ")</f>
        <v>Servicios para la planeación y sistemas de gestión y comunicación estratégica</v>
      </c>
      <c r="Z113" s="160" t="str">
        <f>CONCATENATE(X113,"-",Y113)</f>
        <v>13-Servicios para la planeación y sistemas de gestión y comunicación estratégica</v>
      </c>
      <c r="AA113" s="158" t="s">
        <v>229</v>
      </c>
      <c r="AB113" s="159" t="str">
        <f>IFERROR(VLOOKUP(AA113,TD!$N$51:$O$66,2,0)," ")</f>
        <v>Servicio de asistencia técnica</v>
      </c>
      <c r="AC113" s="160" t="str">
        <f>CONCATENATE(AA113,"_",AB113)</f>
        <v>031_Servicio de asistencia técnica</v>
      </c>
      <c r="AD113" s="160" t="str">
        <f>CONCATENATE(Z113," ",AC113)</f>
        <v>13-Servicios para la planeación y sistemas de gestión y comunicación estratégica 031_Servicio de asistencia técnica</v>
      </c>
      <c r="AE113" s="159" t="str">
        <f>CONCATENATE(U113,V113,W113,X113,AA113)</f>
        <v>O23011745992024020713031</v>
      </c>
      <c r="AF113" s="159" t="str">
        <f>IFERROR(VLOOKUP(AD113,TD!$J$66:$K$89,2,0)," ")</f>
        <v>PM/0131/0113/45990310207</v>
      </c>
      <c r="AG113" s="118" t="s">
        <v>385</v>
      </c>
      <c r="AH113" s="158" t="s">
        <v>193</v>
      </c>
      <c r="AI113" s="161" t="str">
        <f>CONCATENATE(PAA[[#This Row],[Id Interno]],"-",PAA[[#This Row],[tipo de Contrato (TH talento humano - B/S bienes y/o servicios)]],"-",S113,"-",T113,"-",PAA[[#This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114" spans="2:35" ht="84" x14ac:dyDescent="0.35">
      <c r="B114" s="23">
        <v>20260074</v>
      </c>
      <c r="C114" s="99" t="s">
        <v>870</v>
      </c>
      <c r="D114" s="23" t="s">
        <v>105</v>
      </c>
      <c r="E114" s="23" t="s">
        <v>363</v>
      </c>
      <c r="F114" s="155" t="s">
        <v>144</v>
      </c>
      <c r="G114" s="156" t="s">
        <v>373</v>
      </c>
      <c r="H114" s="157">
        <v>6</v>
      </c>
      <c r="I114" s="157">
        <v>0</v>
      </c>
      <c r="J114" s="127">
        <f>60000000</f>
        <v>60000000</v>
      </c>
      <c r="K114" s="88" t="s">
        <v>398</v>
      </c>
      <c r="L114" s="155" t="s">
        <v>36</v>
      </c>
      <c r="M114" s="158" t="s">
        <v>495</v>
      </c>
      <c r="N114" s="23" t="s">
        <v>197</v>
      </c>
      <c r="O114" s="151" t="s">
        <v>957</v>
      </c>
      <c r="P114" s="155" t="s">
        <v>348</v>
      </c>
      <c r="Q114" s="53">
        <v>80111600</v>
      </c>
      <c r="R114" s="158" t="s">
        <v>201</v>
      </c>
      <c r="S114" s="158" t="str">
        <f>MID(PAA[[#This Row],[Meta Proyecto de Inversión]],1,4)</f>
        <v>8126</v>
      </c>
      <c r="T114" s="158" t="str">
        <f>MID(PAA[[#This Row],[Meta Proyecto de Inversión]],6,1)</f>
        <v>2</v>
      </c>
      <c r="U114" s="159" t="str">
        <f>IFERROR(VLOOKUP(N114,TD!$B$50:$F$54,2,0)," ")</f>
        <v>O230117</v>
      </c>
      <c r="V114" s="159" t="str">
        <f>IFERROR(VLOOKUP(N114,TD!$B$50:$F$54,3,0)," ")</f>
        <v>4599</v>
      </c>
      <c r="W114" s="159">
        <f>IFERROR(VLOOKUP(N114,TD!$B$50:$F$54,4,0)," ")</f>
        <v>20240207</v>
      </c>
      <c r="X114" s="158" t="s">
        <v>182</v>
      </c>
      <c r="Y114" s="159" t="str">
        <f>IFERROR(VLOOKUP(X114,TD!$J$51:$K$64,2,0)," ")</f>
        <v>Servicios para la planeación y sistemas de gestión y comunicación estratégica</v>
      </c>
      <c r="Z114" s="160" t="str">
        <f>CONCATENATE(X114,"-",Y114)</f>
        <v>13-Servicios para la planeación y sistemas de gestión y comunicación estratégica</v>
      </c>
      <c r="AA114" s="158" t="s">
        <v>230</v>
      </c>
      <c r="AB114" s="159" t="str">
        <f>IFERROR(VLOOKUP(AA114,TD!$N$51:$O$66,2,0)," ")</f>
        <v>Servicio de Implementación Sistemas de Gestión</v>
      </c>
      <c r="AC114" s="160" t="str">
        <f>CONCATENATE(AA114,"_",AB114)</f>
        <v>023_Servicio de Implementación Sistemas de Gestión</v>
      </c>
      <c r="AD114" s="160" t="str">
        <f>CONCATENATE(Z114," ",AC114)</f>
        <v>13-Servicios para la planeación y sistemas de gestión y comunicación estratégica 023_Servicio de Implementación Sistemas de Gestión</v>
      </c>
      <c r="AE114" s="159" t="str">
        <f>CONCATENATE(U114,V114,W114,X114,AA114)</f>
        <v>O23011745992024020713023</v>
      </c>
      <c r="AF114" s="159" t="str">
        <f>IFERROR(VLOOKUP(AD114,TD!$J$66:$K$89,2,0)," ")</f>
        <v>PM/0131/0113/45990230207</v>
      </c>
      <c r="AG114" s="118" t="s">
        <v>385</v>
      </c>
      <c r="AH114" s="158" t="s">
        <v>193</v>
      </c>
      <c r="AI114" s="161" t="str">
        <f>CONCATENATE(PAA[[#This Row],[Id Interno]],"-",PAA[[#This Row],[tipo de Contrato (TH talento humano - B/S bienes y/o servicios)]],"-",S114,"-",T114,"-",PAA[[#This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115" spans="2:35" ht="70" x14ac:dyDescent="0.35">
      <c r="B115" s="23">
        <v>20260075</v>
      </c>
      <c r="C115" s="99" t="s">
        <v>871</v>
      </c>
      <c r="D115" s="23" t="s">
        <v>105</v>
      </c>
      <c r="E115" s="23" t="s">
        <v>363</v>
      </c>
      <c r="F115" s="155" t="s">
        <v>144</v>
      </c>
      <c r="G115" s="156" t="s">
        <v>373</v>
      </c>
      <c r="H115" s="157">
        <v>6</v>
      </c>
      <c r="I115" s="157">
        <v>0</v>
      </c>
      <c r="J115" s="127">
        <v>40200000</v>
      </c>
      <c r="K115" s="88" t="s">
        <v>398</v>
      </c>
      <c r="L115" s="155" t="s">
        <v>36</v>
      </c>
      <c r="M115" s="158" t="s">
        <v>495</v>
      </c>
      <c r="N115" s="23" t="s">
        <v>197</v>
      </c>
      <c r="O115" s="151" t="s">
        <v>957</v>
      </c>
      <c r="P115" s="155" t="s">
        <v>348</v>
      </c>
      <c r="Q115" s="53">
        <v>80111600</v>
      </c>
      <c r="R115" s="158" t="s">
        <v>201</v>
      </c>
      <c r="S115" s="158" t="str">
        <f>MID(PAA[[#This Row],[Meta Proyecto de Inversión]],1,4)</f>
        <v>8126</v>
      </c>
      <c r="T115" s="158" t="str">
        <f>MID(PAA[[#This Row],[Meta Proyecto de Inversión]],6,1)</f>
        <v>2</v>
      </c>
      <c r="U115" s="159" t="str">
        <f>IFERROR(VLOOKUP(N115,TD!$B$50:$F$54,2,0)," ")</f>
        <v>O230117</v>
      </c>
      <c r="V115" s="159" t="str">
        <f>IFERROR(VLOOKUP(N115,TD!$B$50:$F$54,3,0)," ")</f>
        <v>4599</v>
      </c>
      <c r="W115" s="159">
        <f>IFERROR(VLOOKUP(N115,TD!$B$50:$F$54,4,0)," ")</f>
        <v>20240207</v>
      </c>
      <c r="X115" s="158" t="s">
        <v>182</v>
      </c>
      <c r="Y115" s="159" t="str">
        <f>IFERROR(VLOOKUP(X115,TD!$J$51:$K$64,2,0)," ")</f>
        <v>Servicios para la planeación y sistemas de gestión y comunicación estratégica</v>
      </c>
      <c r="Z115" s="160" t="str">
        <f>CONCATENATE(X115,"-",Y115)</f>
        <v>13-Servicios para la planeación y sistemas de gestión y comunicación estratégica</v>
      </c>
      <c r="AA115" s="158" t="s">
        <v>230</v>
      </c>
      <c r="AB115" s="159" t="str">
        <f>IFERROR(VLOOKUP(AA115,TD!$N$51:$O$66,2,0)," ")</f>
        <v>Servicio de Implementación Sistemas de Gestión</v>
      </c>
      <c r="AC115" s="160" t="str">
        <f>CONCATENATE(AA115,"_",AB115)</f>
        <v>023_Servicio de Implementación Sistemas de Gestión</v>
      </c>
      <c r="AD115" s="160" t="str">
        <f>CONCATENATE(Z115," ",AC115)</f>
        <v>13-Servicios para la planeación y sistemas de gestión y comunicación estratégica 023_Servicio de Implementación Sistemas de Gestión</v>
      </c>
      <c r="AE115" s="159" t="str">
        <f>CONCATENATE(U115,V115,W115,X115,AA115)</f>
        <v>O23011745992024020713023</v>
      </c>
      <c r="AF115" s="159" t="str">
        <f>IFERROR(VLOOKUP(AD115,TD!$J$66:$K$89,2,0)," ")</f>
        <v>PM/0131/0113/45990230207</v>
      </c>
      <c r="AG115" s="118" t="s">
        <v>385</v>
      </c>
      <c r="AH115" s="158" t="s">
        <v>193</v>
      </c>
      <c r="AI115" s="161" t="str">
        <f>CONCATENATE(PAA[[#This Row],[Id Interno]],"-",PAA[[#This Row],[tipo de Contrato (TH talento humano - B/S bienes y/o servicios)]],"-",S115,"-",T115,"-",PAA[[#This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116" spans="2:35" ht="70" x14ac:dyDescent="0.35">
      <c r="B116" s="23">
        <v>20260076</v>
      </c>
      <c r="C116" s="99" t="s">
        <v>872</v>
      </c>
      <c r="D116" s="23" t="s">
        <v>105</v>
      </c>
      <c r="E116" s="23" t="s">
        <v>363</v>
      </c>
      <c r="F116" s="155" t="s">
        <v>144</v>
      </c>
      <c r="G116" s="156" t="s">
        <v>373</v>
      </c>
      <c r="H116" s="157">
        <v>6</v>
      </c>
      <c r="I116" s="157">
        <v>0</v>
      </c>
      <c r="J116" s="127">
        <v>39000000</v>
      </c>
      <c r="K116" s="88" t="s">
        <v>398</v>
      </c>
      <c r="L116" s="155" t="s">
        <v>36</v>
      </c>
      <c r="M116" s="158" t="s">
        <v>495</v>
      </c>
      <c r="N116" s="23" t="s">
        <v>197</v>
      </c>
      <c r="O116" s="151" t="s">
        <v>957</v>
      </c>
      <c r="P116" s="155" t="s">
        <v>348</v>
      </c>
      <c r="Q116" s="53">
        <v>80111600</v>
      </c>
      <c r="R116" s="158" t="s">
        <v>200</v>
      </c>
      <c r="S116" s="158" t="str">
        <f>MID(PAA[[#This Row],[Meta Proyecto de Inversión]],1,4)</f>
        <v>8126</v>
      </c>
      <c r="T116" s="158" t="str">
        <f>MID(PAA[[#This Row],[Meta Proyecto de Inversión]],6,1)</f>
        <v>1</v>
      </c>
      <c r="U116" s="159" t="str">
        <f>IFERROR(VLOOKUP(N116,TD!$B$50:$F$54,2,0)," ")</f>
        <v>O230117</v>
      </c>
      <c r="V116" s="159" t="str">
        <f>IFERROR(VLOOKUP(N116,TD!$B$50:$F$54,3,0)," ")</f>
        <v>4599</v>
      </c>
      <c r="W116" s="159">
        <f>IFERROR(VLOOKUP(N116,TD!$B$50:$F$54,4,0)," ")</f>
        <v>20240207</v>
      </c>
      <c r="X116" s="158" t="s">
        <v>182</v>
      </c>
      <c r="Y116" s="159" t="str">
        <f>IFERROR(VLOOKUP(X116,TD!$J$51:$K$64,2,0)," ")</f>
        <v>Servicios para la planeación y sistemas de gestión y comunicación estratégica</v>
      </c>
      <c r="Z116" s="160" t="str">
        <f>CONCATENATE(X116,"-",Y116)</f>
        <v>13-Servicios para la planeación y sistemas de gestión y comunicación estratégica</v>
      </c>
      <c r="AA116" s="158" t="s">
        <v>229</v>
      </c>
      <c r="AB116" s="159" t="str">
        <f>IFERROR(VLOOKUP(AA116,TD!$N$51:$O$66,2,0)," ")</f>
        <v>Servicio de asistencia técnica</v>
      </c>
      <c r="AC116" s="160" t="str">
        <f>CONCATENATE(AA116,"_",AB116)</f>
        <v>031_Servicio de asistencia técnica</v>
      </c>
      <c r="AD116" s="160" t="str">
        <f>CONCATENATE(Z116," ",AC116)</f>
        <v>13-Servicios para la planeación y sistemas de gestión y comunicación estratégica 031_Servicio de asistencia técnica</v>
      </c>
      <c r="AE116" s="159" t="str">
        <f>CONCATENATE(U116,V116,W116,X116,AA116)</f>
        <v>O23011745992024020713031</v>
      </c>
      <c r="AF116" s="159" t="str">
        <f>IFERROR(VLOOKUP(AD116,TD!$J$66:$K$89,2,0)," ")</f>
        <v>PM/0131/0113/45990310207</v>
      </c>
      <c r="AG116" s="118" t="s">
        <v>385</v>
      </c>
      <c r="AH116" s="158" t="s">
        <v>193</v>
      </c>
      <c r="AI116" s="161" t="str">
        <f>CONCATENATE(PAA[[#This Row],[Id Interno]],"-",PAA[[#This Row],[tipo de Contrato (TH talento humano - B/S bienes y/o servicios)]],"-",S116,"-",T116,"-",PAA[[#This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117" spans="2:35" ht="70" x14ac:dyDescent="0.35">
      <c r="B117" s="23">
        <v>20260077</v>
      </c>
      <c r="C117" s="99" t="s">
        <v>873</v>
      </c>
      <c r="D117" s="23" t="s">
        <v>105</v>
      </c>
      <c r="E117" s="23" t="s">
        <v>363</v>
      </c>
      <c r="F117" s="155" t="s">
        <v>145</v>
      </c>
      <c r="G117" s="156" t="s">
        <v>373</v>
      </c>
      <c r="H117" s="157">
        <v>8</v>
      </c>
      <c r="I117" s="157">
        <v>0</v>
      </c>
      <c r="J117" s="127">
        <v>35926528</v>
      </c>
      <c r="K117" s="88" t="s">
        <v>398</v>
      </c>
      <c r="L117" s="155" t="s">
        <v>36</v>
      </c>
      <c r="M117" s="158" t="s">
        <v>495</v>
      </c>
      <c r="N117" s="23" t="s">
        <v>197</v>
      </c>
      <c r="O117" s="151" t="s">
        <v>957</v>
      </c>
      <c r="P117" s="155" t="s">
        <v>348</v>
      </c>
      <c r="Q117" s="53">
        <v>80111600</v>
      </c>
      <c r="R117" s="158" t="s">
        <v>200</v>
      </c>
      <c r="S117" s="158" t="str">
        <f>MID(PAA[[#This Row],[Meta Proyecto de Inversión]],1,4)</f>
        <v>8126</v>
      </c>
      <c r="T117" s="158" t="str">
        <f>MID(PAA[[#This Row],[Meta Proyecto de Inversión]],6,1)</f>
        <v>1</v>
      </c>
      <c r="U117" s="159" t="str">
        <f>IFERROR(VLOOKUP(N117,TD!$B$50:$F$54,2,0)," ")</f>
        <v>O230117</v>
      </c>
      <c r="V117" s="159" t="str">
        <f>IFERROR(VLOOKUP(N117,TD!$B$50:$F$54,3,0)," ")</f>
        <v>4599</v>
      </c>
      <c r="W117" s="159">
        <f>IFERROR(VLOOKUP(N117,TD!$B$50:$F$54,4,0)," ")</f>
        <v>20240207</v>
      </c>
      <c r="X117" s="158" t="s">
        <v>182</v>
      </c>
      <c r="Y117" s="159" t="str">
        <f>IFERROR(VLOOKUP(X117,TD!$J$51:$K$64,2,0)," ")</f>
        <v>Servicios para la planeación y sistemas de gestión y comunicación estratégica</v>
      </c>
      <c r="Z117" s="160" t="str">
        <f>CONCATENATE(X117,"-",Y117)</f>
        <v>13-Servicios para la planeación y sistemas de gestión y comunicación estratégica</v>
      </c>
      <c r="AA117" s="158" t="s">
        <v>230</v>
      </c>
      <c r="AB117" s="159" t="str">
        <f>IFERROR(VLOOKUP(AA117,TD!$N$51:$O$66,2,0)," ")</f>
        <v>Servicio de Implementación Sistemas de Gestión</v>
      </c>
      <c r="AC117" s="160" t="str">
        <f>CONCATENATE(AA117,"_",AB117)</f>
        <v>023_Servicio de Implementación Sistemas de Gestión</v>
      </c>
      <c r="AD117" s="160" t="str">
        <f>CONCATENATE(Z117," ",AC117)</f>
        <v>13-Servicios para la planeación y sistemas de gestión y comunicación estratégica 023_Servicio de Implementación Sistemas de Gestión</v>
      </c>
      <c r="AE117" s="159" t="str">
        <f>CONCATENATE(U117,V117,W117,X117,AA117)</f>
        <v>O23011745992024020713023</v>
      </c>
      <c r="AF117" s="159" t="str">
        <f>IFERROR(VLOOKUP(AD117,TD!$J$66:$K$89,2,0)," ")</f>
        <v>PM/0131/0113/45990230207</v>
      </c>
      <c r="AG117" s="118" t="s">
        <v>385</v>
      </c>
      <c r="AH117" s="158" t="s">
        <v>193</v>
      </c>
      <c r="AI117" s="161" t="str">
        <f>CONCATENATE(PAA[[#This Row],[Id Interno]],"-",PAA[[#This Row],[tipo de Contrato (TH talento humano - B/S bienes y/o servicios)]],"-",S117,"-",T117,"-",PAA[[#This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118" spans="2:35" ht="56" x14ac:dyDescent="0.35">
      <c r="B118" s="23">
        <v>20260078</v>
      </c>
      <c r="C118" s="99" t="s">
        <v>910</v>
      </c>
      <c r="D118" s="23" t="s">
        <v>105</v>
      </c>
      <c r="E118" s="23" t="s">
        <v>363</v>
      </c>
      <c r="F118" s="155" t="s">
        <v>144</v>
      </c>
      <c r="G118" s="156" t="s">
        <v>373</v>
      </c>
      <c r="H118" s="157">
        <v>8</v>
      </c>
      <c r="I118" s="157">
        <v>0</v>
      </c>
      <c r="J118" s="127">
        <f>56000000</f>
        <v>56000000</v>
      </c>
      <c r="K118" s="88" t="s">
        <v>398</v>
      </c>
      <c r="L118" s="155" t="s">
        <v>36</v>
      </c>
      <c r="M118" s="158" t="s">
        <v>495</v>
      </c>
      <c r="N118" s="23" t="s">
        <v>197</v>
      </c>
      <c r="O118" s="151" t="s">
        <v>957</v>
      </c>
      <c r="P118" s="155" t="s">
        <v>348</v>
      </c>
      <c r="Q118" s="53">
        <v>80111600</v>
      </c>
      <c r="R118" s="158" t="s">
        <v>200</v>
      </c>
      <c r="S118" s="158" t="str">
        <f>MID(PAA[[#This Row],[Meta Proyecto de Inversión]],1,4)</f>
        <v>8126</v>
      </c>
      <c r="T118" s="158" t="str">
        <f>MID(PAA[[#This Row],[Meta Proyecto de Inversión]],6,1)</f>
        <v>1</v>
      </c>
      <c r="U118" s="159" t="str">
        <f>IFERROR(VLOOKUP(N118,TD!$B$50:$F$54,2,0)," ")</f>
        <v>O230117</v>
      </c>
      <c r="V118" s="159" t="str">
        <f>IFERROR(VLOOKUP(N118,TD!$B$50:$F$54,3,0)," ")</f>
        <v>4599</v>
      </c>
      <c r="W118" s="159">
        <f>IFERROR(VLOOKUP(N118,TD!$B$50:$F$54,4,0)," ")</f>
        <v>20240207</v>
      </c>
      <c r="X118" s="158" t="s">
        <v>182</v>
      </c>
      <c r="Y118" s="159" t="str">
        <f>IFERROR(VLOOKUP(X118,TD!$J$51:$K$64,2,0)," ")</f>
        <v>Servicios para la planeación y sistemas de gestión y comunicación estratégica</v>
      </c>
      <c r="Z118" s="160" t="str">
        <f>CONCATENATE(X118,"-",Y118)</f>
        <v>13-Servicios para la planeación y sistemas de gestión y comunicación estratégica</v>
      </c>
      <c r="AA118" s="158" t="s">
        <v>229</v>
      </c>
      <c r="AB118" s="159" t="str">
        <f>IFERROR(VLOOKUP(AA118,TD!$N$51:$O$66,2,0)," ")</f>
        <v>Servicio de asistencia técnica</v>
      </c>
      <c r="AC118" s="160" t="str">
        <f>CONCATENATE(AA118,"_",AB118)</f>
        <v>031_Servicio de asistencia técnica</v>
      </c>
      <c r="AD118" s="160" t="str">
        <f>CONCATENATE(Z118," ",AC118)</f>
        <v>13-Servicios para la planeación y sistemas de gestión y comunicación estratégica 031_Servicio de asistencia técnica</v>
      </c>
      <c r="AE118" s="159" t="str">
        <f>CONCATENATE(U118,V118,W118,X118,AA118)</f>
        <v>O23011745992024020713031</v>
      </c>
      <c r="AF118" s="159" t="str">
        <f>IFERROR(VLOOKUP(AD118,TD!$J$66:$K$89,2,0)," ")</f>
        <v>PM/0131/0113/45990310207</v>
      </c>
      <c r="AG118" s="118" t="s">
        <v>385</v>
      </c>
      <c r="AH118" s="158" t="s">
        <v>193</v>
      </c>
      <c r="AI118" s="161" t="str">
        <f>CONCATENATE(PAA[[#This Row],[Id Interno]],"-",PAA[[#This Row],[tipo de Contrato (TH talento humano - B/S bienes y/o servicios)]],"-",S118,"-",T118,"-",PAA[[#This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119" spans="2:35" ht="56" x14ac:dyDescent="0.35">
      <c r="B119" s="23">
        <v>20260079</v>
      </c>
      <c r="C119" s="99" t="s">
        <v>918</v>
      </c>
      <c r="D119" s="23" t="s">
        <v>105</v>
      </c>
      <c r="E119" s="23" t="s">
        <v>363</v>
      </c>
      <c r="F119" s="155" t="s">
        <v>145</v>
      </c>
      <c r="G119" s="156" t="s">
        <v>373</v>
      </c>
      <c r="H119" s="157">
        <v>7</v>
      </c>
      <c r="I119" s="157">
        <v>0</v>
      </c>
      <c r="J119" s="127">
        <v>49000000</v>
      </c>
      <c r="K119" s="88" t="s">
        <v>398</v>
      </c>
      <c r="L119" s="155" t="s">
        <v>36</v>
      </c>
      <c r="M119" s="158" t="s">
        <v>495</v>
      </c>
      <c r="N119" s="23" t="s">
        <v>197</v>
      </c>
      <c r="O119" s="151" t="s">
        <v>957</v>
      </c>
      <c r="P119" s="155" t="s">
        <v>348</v>
      </c>
      <c r="Q119" s="53">
        <v>80111600</v>
      </c>
      <c r="R119" s="158" t="s">
        <v>200</v>
      </c>
      <c r="S119" s="158" t="str">
        <f>MID(PAA[[#This Row],[Meta Proyecto de Inversión]],1,4)</f>
        <v>8126</v>
      </c>
      <c r="T119" s="158" t="str">
        <f>MID(PAA[[#This Row],[Meta Proyecto de Inversión]],6,1)</f>
        <v>1</v>
      </c>
      <c r="U119" s="159" t="str">
        <f>IFERROR(VLOOKUP(N119,TD!$B$50:$F$54,2,0)," ")</f>
        <v>O230117</v>
      </c>
      <c r="V119" s="159" t="str">
        <f>IFERROR(VLOOKUP(N119,TD!$B$50:$F$54,3,0)," ")</f>
        <v>4599</v>
      </c>
      <c r="W119" s="159">
        <f>IFERROR(VLOOKUP(N119,TD!$B$50:$F$54,4,0)," ")</f>
        <v>20240207</v>
      </c>
      <c r="X119" s="158" t="s">
        <v>182</v>
      </c>
      <c r="Y119" s="159" t="str">
        <f>IFERROR(VLOOKUP(X119,TD!$J$51:$K$64,2,0)," ")</f>
        <v>Servicios para la planeación y sistemas de gestión y comunicación estratégica</v>
      </c>
      <c r="Z119" s="160" t="str">
        <f>CONCATENATE(X119,"-",Y119)</f>
        <v>13-Servicios para la planeación y sistemas de gestión y comunicación estratégica</v>
      </c>
      <c r="AA119" s="158" t="s">
        <v>229</v>
      </c>
      <c r="AB119" s="159" t="str">
        <f>IFERROR(VLOOKUP(AA119,TD!$N$51:$O$66,2,0)," ")</f>
        <v>Servicio de asistencia técnica</v>
      </c>
      <c r="AC119" s="160" t="str">
        <f>CONCATENATE(AA119,"_",AB119)</f>
        <v>031_Servicio de asistencia técnica</v>
      </c>
      <c r="AD119" s="160" t="str">
        <f>CONCATENATE(Z119," ",AC119)</f>
        <v>13-Servicios para la planeación y sistemas de gestión y comunicación estratégica 031_Servicio de asistencia técnica</v>
      </c>
      <c r="AE119" s="159" t="str">
        <f>CONCATENATE(U119,V119,W119,X119,AA119)</f>
        <v>O23011745992024020713031</v>
      </c>
      <c r="AF119" s="159" t="str">
        <f>IFERROR(VLOOKUP(AD119,TD!$J$66:$K$89,2,0)," ")</f>
        <v>PM/0131/0113/45990310207</v>
      </c>
      <c r="AG119" s="118" t="s">
        <v>385</v>
      </c>
      <c r="AH119" s="158" t="s">
        <v>194</v>
      </c>
      <c r="AI119" s="161" t="str">
        <f>CONCATENATE(PAA[[#This Row],[Id Interno]],"-",PAA[[#This Row],[tipo de Contrato (TH talento humano - B/S bienes y/o servicios)]],"-",S119,"-",T119,"-",PAA[[#This Row],[Objeto de la contratación]])</f>
        <v>20260079-TH-8126-1-Prestar servicios profesionales para apoyar al Jefe de la Oficina de Planeación en asuntos estratégicos de la gestión administrativa</v>
      </c>
    </row>
    <row r="120" spans="2:35" ht="56" x14ac:dyDescent="0.35">
      <c r="B120" s="23">
        <v>20260080</v>
      </c>
      <c r="C120" s="99" t="s">
        <v>916</v>
      </c>
      <c r="D120" s="23" t="s">
        <v>105</v>
      </c>
      <c r="E120" s="23" t="s">
        <v>363</v>
      </c>
      <c r="F120" s="155" t="s">
        <v>144</v>
      </c>
      <c r="G120" s="156" t="s">
        <v>373</v>
      </c>
      <c r="H120" s="157">
        <v>7</v>
      </c>
      <c r="I120" s="157">
        <v>0</v>
      </c>
      <c r="J120" s="127">
        <v>49000000</v>
      </c>
      <c r="K120" s="88" t="s">
        <v>398</v>
      </c>
      <c r="L120" s="155" t="s">
        <v>36</v>
      </c>
      <c r="M120" s="158" t="s">
        <v>495</v>
      </c>
      <c r="N120" s="23" t="s">
        <v>197</v>
      </c>
      <c r="O120" s="151" t="s">
        <v>957</v>
      </c>
      <c r="P120" s="155" t="s">
        <v>348</v>
      </c>
      <c r="Q120" s="53">
        <v>80111600</v>
      </c>
      <c r="R120" s="158" t="s">
        <v>200</v>
      </c>
      <c r="S120" s="158" t="str">
        <f>MID(PAA[[#This Row],[Meta Proyecto de Inversión]],1,4)</f>
        <v>8126</v>
      </c>
      <c r="T120" s="158" t="str">
        <f>MID(PAA[[#This Row],[Meta Proyecto de Inversión]],6,1)</f>
        <v>1</v>
      </c>
      <c r="U120" s="159" t="str">
        <f>IFERROR(VLOOKUP(N120,TD!$B$50:$F$54,2,0)," ")</f>
        <v>O230117</v>
      </c>
      <c r="V120" s="159" t="str">
        <f>IFERROR(VLOOKUP(N120,TD!$B$50:$F$54,3,0)," ")</f>
        <v>4599</v>
      </c>
      <c r="W120" s="159">
        <f>IFERROR(VLOOKUP(N120,TD!$B$50:$F$54,4,0)," ")</f>
        <v>20240207</v>
      </c>
      <c r="X120" s="158" t="s">
        <v>182</v>
      </c>
      <c r="Y120" s="159" t="str">
        <f>IFERROR(VLOOKUP(X120,TD!$J$51:$K$64,2,0)," ")</f>
        <v>Servicios para la planeación y sistemas de gestión y comunicación estratégica</v>
      </c>
      <c r="Z120" s="160" t="str">
        <f>CONCATENATE(X120,"-",Y120)</f>
        <v>13-Servicios para la planeación y sistemas de gestión y comunicación estratégica</v>
      </c>
      <c r="AA120" s="158" t="s">
        <v>229</v>
      </c>
      <c r="AB120" s="159" t="str">
        <f>IFERROR(VLOOKUP(AA120,TD!$N$51:$O$66,2,0)," ")</f>
        <v>Servicio de asistencia técnica</v>
      </c>
      <c r="AC120" s="160" t="str">
        <f>CONCATENATE(AA120,"_",AB120)</f>
        <v>031_Servicio de asistencia técnica</v>
      </c>
      <c r="AD120" s="160" t="str">
        <f>CONCATENATE(Z120," ",AC120)</f>
        <v>13-Servicios para la planeación y sistemas de gestión y comunicación estratégica 031_Servicio de asistencia técnica</v>
      </c>
      <c r="AE120" s="159" t="str">
        <f>CONCATENATE(U120,V120,W120,X120,AA120)</f>
        <v>O23011745992024020713031</v>
      </c>
      <c r="AF120" s="159" t="str">
        <f>IFERROR(VLOOKUP(AD120,TD!$J$66:$K$89,2,0)," ")</f>
        <v>PM/0131/0113/45990310207</v>
      </c>
      <c r="AG120" s="118" t="s">
        <v>385</v>
      </c>
      <c r="AH120" s="158" t="s">
        <v>193</v>
      </c>
      <c r="AI120" s="161" t="str">
        <f>CONCATENATE(PAA[[#This Row],[Id Interno]],"-",PAA[[#This Row],[tipo de Contrato (TH talento humano - B/S bienes y/o servicios)]],"-",S120,"-",T120,"-",PAA[[#This Row],[Objeto de la contratación]])</f>
        <v>20260080-TH-8126-1-Prestar servicios profesionales a la Oficina Asesora de Planeación en los asuntos concernientes que se le asignen para la implementación del Modelo Integrado de Planeación y Gestión MIPG.</v>
      </c>
    </row>
    <row r="121" spans="2:35" ht="56" x14ac:dyDescent="0.35">
      <c r="B121" s="23">
        <v>20260081</v>
      </c>
      <c r="C121" s="99" t="s">
        <v>622</v>
      </c>
      <c r="D121" s="23" t="s">
        <v>105</v>
      </c>
      <c r="E121" s="23" t="s">
        <v>363</v>
      </c>
      <c r="F121" s="155" t="s">
        <v>144</v>
      </c>
      <c r="G121" s="156" t="s">
        <v>374</v>
      </c>
      <c r="H121" s="157">
        <v>10</v>
      </c>
      <c r="I121" s="157">
        <v>0</v>
      </c>
      <c r="J121" s="127">
        <v>78000000</v>
      </c>
      <c r="K121" s="88" t="s">
        <v>398</v>
      </c>
      <c r="L121" s="155" t="s">
        <v>46</v>
      </c>
      <c r="M121" s="158" t="s">
        <v>421</v>
      </c>
      <c r="N121" s="23" t="s">
        <v>197</v>
      </c>
      <c r="O121" s="151" t="s">
        <v>957</v>
      </c>
      <c r="P121" s="155" t="s">
        <v>348</v>
      </c>
      <c r="Q121" s="53">
        <v>80111600</v>
      </c>
      <c r="R121" s="158" t="s">
        <v>208</v>
      </c>
      <c r="S121" s="158" t="str">
        <f>MID(PAA[[#This Row],[Meta Proyecto de Inversión]],1,4)</f>
        <v>8126</v>
      </c>
      <c r="T121" s="158" t="str">
        <f>MID(PAA[[#This Row],[Meta Proyecto de Inversión]],6,1)</f>
        <v>9</v>
      </c>
      <c r="U121" s="159" t="str">
        <f>IFERROR(VLOOKUP(N121,TD!$B$50:$F$54,2,0)," ")</f>
        <v>O230117</v>
      </c>
      <c r="V121" s="159" t="str">
        <f>IFERROR(VLOOKUP(N121,TD!$B$50:$F$54,3,0)," ")</f>
        <v>4599</v>
      </c>
      <c r="W121" s="159">
        <f>IFERROR(VLOOKUP(N121,TD!$B$50:$F$54,4,0)," ")</f>
        <v>20240207</v>
      </c>
      <c r="X121" s="158" t="s">
        <v>174</v>
      </c>
      <c r="Y121" s="159" t="str">
        <f>IFERROR(VLOOKUP(X121,TD!$J$51:$K$64,2,0)," ")</f>
        <v>Infraestructura física, mantenimiento y dotación (Sedes construidas, mantenidas reforzadas)</v>
      </c>
      <c r="Z121" s="160" t="str">
        <f>CONCATENATE(X121,"-",Y121)</f>
        <v>08-Infraestructura física, mantenimiento y dotación (Sedes construidas, mantenidas reforzadas)</v>
      </c>
      <c r="AA121" s="158" t="s">
        <v>227</v>
      </c>
      <c r="AB121" s="159" t="str">
        <f>IFERROR(VLOOKUP(AA121,TD!$N$51:$O$66,2,0)," ")</f>
        <v>Sedes mantenidas</v>
      </c>
      <c r="AC121" s="160" t="str">
        <f>CONCATENATE(AA121,"_",AB121)</f>
        <v>016_Sedes mantenidas</v>
      </c>
      <c r="AD121" s="160" t="str">
        <f>CONCATENATE(Z121," ",AC121)</f>
        <v>08-Infraestructura física, mantenimiento y dotación (Sedes construidas, mantenidas reforzadas) 016_Sedes mantenidas</v>
      </c>
      <c r="AE121" s="159" t="str">
        <f>CONCATENATE(U121,V121,W121,X121,AA121)</f>
        <v>O23011745992024020708016</v>
      </c>
      <c r="AF121" s="159" t="str">
        <f>IFERROR(VLOOKUP(AD121,TD!$J$66:$K$89,2,0)," ")</f>
        <v>PM/0131/0108/45990160207</v>
      </c>
      <c r="AG121" s="118" t="s">
        <v>385</v>
      </c>
      <c r="AH121" s="158" t="s">
        <v>193</v>
      </c>
      <c r="AI121" s="161" t="str">
        <f>CONCATENATE(PAA[[#This Row],[Id Interno]],"-",PAA[[#This Row],[tipo de Contrato (TH talento humano - B/S bienes y/o servicios)]],"-",S121,"-",T121,"-",PAA[[#This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122" spans="2:35" ht="84" x14ac:dyDescent="0.35">
      <c r="B122" s="23">
        <v>20260082</v>
      </c>
      <c r="C122" s="99" t="s">
        <v>909</v>
      </c>
      <c r="D122" s="23" t="s">
        <v>105</v>
      </c>
      <c r="E122" s="23" t="s">
        <v>363</v>
      </c>
      <c r="F122" s="155" t="s">
        <v>144</v>
      </c>
      <c r="G122" s="156" t="s">
        <v>374</v>
      </c>
      <c r="H122" s="157">
        <v>10</v>
      </c>
      <c r="I122" s="157">
        <v>0</v>
      </c>
      <c r="J122" s="127">
        <v>85000000</v>
      </c>
      <c r="K122" s="88" t="s">
        <v>398</v>
      </c>
      <c r="L122" s="155" t="s">
        <v>46</v>
      </c>
      <c r="M122" s="158" t="s">
        <v>421</v>
      </c>
      <c r="N122" s="23" t="s">
        <v>197</v>
      </c>
      <c r="O122" s="151" t="s">
        <v>957</v>
      </c>
      <c r="P122" s="155" t="s">
        <v>348</v>
      </c>
      <c r="Q122" s="53">
        <v>80111600</v>
      </c>
      <c r="R122" s="158" t="s">
        <v>208</v>
      </c>
      <c r="S122" s="158" t="str">
        <f>MID(PAA[[#This Row],[Meta Proyecto de Inversión]],1,4)</f>
        <v>8126</v>
      </c>
      <c r="T122" s="158" t="str">
        <f>MID(PAA[[#This Row],[Meta Proyecto de Inversión]],6,1)</f>
        <v>9</v>
      </c>
      <c r="U122" s="159" t="str">
        <f>IFERROR(VLOOKUP(N122,TD!$B$50:$F$54,2,0)," ")</f>
        <v>O230117</v>
      </c>
      <c r="V122" s="159" t="str">
        <f>IFERROR(VLOOKUP(N122,TD!$B$50:$F$54,3,0)," ")</f>
        <v>4599</v>
      </c>
      <c r="W122" s="159">
        <f>IFERROR(VLOOKUP(N122,TD!$B$50:$F$54,4,0)," ")</f>
        <v>20240207</v>
      </c>
      <c r="X122" s="158" t="s">
        <v>174</v>
      </c>
      <c r="Y122" s="159" t="str">
        <f>IFERROR(VLOOKUP(X122,TD!$J$51:$K$64,2,0)," ")</f>
        <v>Infraestructura física, mantenimiento y dotación (Sedes construidas, mantenidas reforzadas)</v>
      </c>
      <c r="Z122" s="160" t="str">
        <f>CONCATENATE(X122,"-",Y122)</f>
        <v>08-Infraestructura física, mantenimiento y dotación (Sedes construidas, mantenidas reforzadas)</v>
      </c>
      <c r="AA122" s="158" t="s">
        <v>227</v>
      </c>
      <c r="AB122" s="159" t="str">
        <f>IFERROR(VLOOKUP(AA122,TD!$N$51:$O$66,2,0)," ")</f>
        <v>Sedes mantenidas</v>
      </c>
      <c r="AC122" s="160" t="str">
        <f>CONCATENATE(AA122,"_",AB122)</f>
        <v>016_Sedes mantenidas</v>
      </c>
      <c r="AD122" s="160" t="str">
        <f>CONCATENATE(Z122," ",AC122)</f>
        <v>08-Infraestructura física, mantenimiento y dotación (Sedes construidas, mantenidas reforzadas) 016_Sedes mantenidas</v>
      </c>
      <c r="AE122" s="159" t="str">
        <f>CONCATENATE(U122,V122,W122,X122,AA122)</f>
        <v>O23011745992024020708016</v>
      </c>
      <c r="AF122" s="159" t="str">
        <f>IFERROR(VLOOKUP(AD122,TD!$J$66:$K$89,2,0)," ")</f>
        <v>PM/0131/0108/45990160207</v>
      </c>
      <c r="AG122" s="118" t="s">
        <v>385</v>
      </c>
      <c r="AH122" s="158" t="s">
        <v>193</v>
      </c>
      <c r="AI122" s="161" t="str">
        <f>CONCATENATE(PAA[[#This Row],[Id Interno]],"-",PAA[[#This Row],[tipo de Contrato (TH talento humano - B/S bienes y/o servicios)]],"-",S122,"-",T122,"-",PAA[[#This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123" spans="2:35" ht="84" x14ac:dyDescent="0.35">
      <c r="B123" s="23">
        <v>20260083</v>
      </c>
      <c r="C123" s="99" t="s">
        <v>623</v>
      </c>
      <c r="D123" s="23" t="s">
        <v>105</v>
      </c>
      <c r="E123" s="23" t="s">
        <v>363</v>
      </c>
      <c r="F123" s="155" t="s">
        <v>144</v>
      </c>
      <c r="G123" s="156" t="s">
        <v>374</v>
      </c>
      <c r="H123" s="157">
        <v>10</v>
      </c>
      <c r="I123" s="157">
        <v>0</v>
      </c>
      <c r="J123" s="127">
        <v>80000000</v>
      </c>
      <c r="K123" s="88" t="s">
        <v>398</v>
      </c>
      <c r="L123" s="155" t="s">
        <v>46</v>
      </c>
      <c r="M123" s="158" t="s">
        <v>421</v>
      </c>
      <c r="N123" s="23" t="s">
        <v>197</v>
      </c>
      <c r="O123" s="151" t="s">
        <v>957</v>
      </c>
      <c r="P123" s="155" t="s">
        <v>348</v>
      </c>
      <c r="Q123" s="53">
        <v>80111600</v>
      </c>
      <c r="R123" s="158" t="s">
        <v>208</v>
      </c>
      <c r="S123" s="158" t="str">
        <f>MID(PAA[[#This Row],[Meta Proyecto de Inversión]],1,4)</f>
        <v>8126</v>
      </c>
      <c r="T123" s="158" t="str">
        <f>MID(PAA[[#This Row],[Meta Proyecto de Inversión]],6,1)</f>
        <v>9</v>
      </c>
      <c r="U123" s="159" t="str">
        <f>IFERROR(VLOOKUP(N123,TD!$B$50:$F$54,2,0)," ")</f>
        <v>O230117</v>
      </c>
      <c r="V123" s="159" t="str">
        <f>IFERROR(VLOOKUP(N123,TD!$B$50:$F$54,3,0)," ")</f>
        <v>4599</v>
      </c>
      <c r="W123" s="159">
        <f>IFERROR(VLOOKUP(N123,TD!$B$50:$F$54,4,0)," ")</f>
        <v>20240207</v>
      </c>
      <c r="X123" s="158" t="s">
        <v>174</v>
      </c>
      <c r="Y123" s="159" t="str">
        <f>IFERROR(VLOOKUP(X123,TD!$J$51:$K$64,2,0)," ")</f>
        <v>Infraestructura física, mantenimiento y dotación (Sedes construidas, mantenidas reforzadas)</v>
      </c>
      <c r="Z123" s="160" t="str">
        <f>CONCATENATE(X123,"-",Y123)</f>
        <v>08-Infraestructura física, mantenimiento y dotación (Sedes construidas, mantenidas reforzadas)</v>
      </c>
      <c r="AA123" s="158" t="s">
        <v>227</v>
      </c>
      <c r="AB123" s="159" t="str">
        <f>IFERROR(VLOOKUP(AA123,TD!$N$51:$O$66,2,0)," ")</f>
        <v>Sedes mantenidas</v>
      </c>
      <c r="AC123" s="160" t="str">
        <f>CONCATENATE(AA123,"_",AB123)</f>
        <v>016_Sedes mantenidas</v>
      </c>
      <c r="AD123" s="160" t="str">
        <f>CONCATENATE(Z123," ",AC123)</f>
        <v>08-Infraestructura física, mantenimiento y dotación (Sedes construidas, mantenidas reforzadas) 016_Sedes mantenidas</v>
      </c>
      <c r="AE123" s="159" t="str">
        <f>CONCATENATE(U123,V123,W123,X123,AA123)</f>
        <v>O23011745992024020708016</v>
      </c>
      <c r="AF123" s="159" t="str">
        <f>IFERROR(VLOOKUP(AD123,TD!$J$66:$K$89,2,0)," ")</f>
        <v>PM/0131/0108/45990160207</v>
      </c>
      <c r="AG123" s="118" t="s">
        <v>385</v>
      </c>
      <c r="AH123" s="158" t="s">
        <v>193</v>
      </c>
      <c r="AI123" s="161" t="str">
        <f>CONCATENATE(PAA[[#This Row],[Id Interno]],"-",PAA[[#This Row],[tipo de Contrato (TH talento humano - B/S bienes y/o servicios)]],"-",S123,"-",T123,"-",PAA[[#This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124" spans="2:35" ht="70" x14ac:dyDescent="0.35">
      <c r="B124" s="23">
        <v>20260084</v>
      </c>
      <c r="C124" s="99" t="s">
        <v>423</v>
      </c>
      <c r="D124" s="23" t="s">
        <v>105</v>
      </c>
      <c r="E124" s="23" t="s">
        <v>363</v>
      </c>
      <c r="F124" s="155" t="s">
        <v>144</v>
      </c>
      <c r="G124" s="156" t="s">
        <v>374</v>
      </c>
      <c r="H124" s="157">
        <v>10</v>
      </c>
      <c r="I124" s="157">
        <v>0</v>
      </c>
      <c r="J124" s="127">
        <v>70000000</v>
      </c>
      <c r="K124" s="88" t="s">
        <v>398</v>
      </c>
      <c r="L124" s="155" t="s">
        <v>46</v>
      </c>
      <c r="M124" s="158" t="s">
        <v>421</v>
      </c>
      <c r="N124" s="23" t="s">
        <v>197</v>
      </c>
      <c r="O124" s="151" t="s">
        <v>957</v>
      </c>
      <c r="P124" s="155" t="s">
        <v>348</v>
      </c>
      <c r="Q124" s="53">
        <v>80111600</v>
      </c>
      <c r="R124" s="158" t="s">
        <v>208</v>
      </c>
      <c r="S124" s="158" t="str">
        <f>MID(PAA[[#This Row],[Meta Proyecto de Inversión]],1,4)</f>
        <v>8126</v>
      </c>
      <c r="T124" s="158" t="str">
        <f>MID(PAA[[#This Row],[Meta Proyecto de Inversión]],6,1)</f>
        <v>9</v>
      </c>
      <c r="U124" s="159" t="str">
        <f>IFERROR(VLOOKUP(N124,TD!$B$50:$F$54,2,0)," ")</f>
        <v>O230117</v>
      </c>
      <c r="V124" s="159" t="str">
        <f>IFERROR(VLOOKUP(N124,TD!$B$50:$F$54,3,0)," ")</f>
        <v>4599</v>
      </c>
      <c r="W124" s="159">
        <f>IFERROR(VLOOKUP(N124,TD!$B$50:$F$54,4,0)," ")</f>
        <v>20240207</v>
      </c>
      <c r="X124" s="158" t="s">
        <v>174</v>
      </c>
      <c r="Y124" s="159" t="str">
        <f>IFERROR(VLOOKUP(X124,TD!$J$51:$K$64,2,0)," ")</f>
        <v>Infraestructura física, mantenimiento y dotación (Sedes construidas, mantenidas reforzadas)</v>
      </c>
      <c r="Z124" s="160" t="str">
        <f>CONCATENATE(X124,"-",Y124)</f>
        <v>08-Infraestructura física, mantenimiento y dotación (Sedes construidas, mantenidas reforzadas)</v>
      </c>
      <c r="AA124" s="158" t="s">
        <v>227</v>
      </c>
      <c r="AB124" s="159" t="str">
        <f>IFERROR(VLOOKUP(AA124,TD!$N$51:$O$66,2,0)," ")</f>
        <v>Sedes mantenidas</v>
      </c>
      <c r="AC124" s="160" t="str">
        <f>CONCATENATE(AA124,"_",AB124)</f>
        <v>016_Sedes mantenidas</v>
      </c>
      <c r="AD124" s="160" t="str">
        <f>CONCATENATE(Z124," ",AC124)</f>
        <v>08-Infraestructura física, mantenimiento y dotación (Sedes construidas, mantenidas reforzadas) 016_Sedes mantenidas</v>
      </c>
      <c r="AE124" s="159" t="str">
        <f>CONCATENATE(U124,V124,W124,X124,AA124)</f>
        <v>O23011745992024020708016</v>
      </c>
      <c r="AF124" s="159" t="str">
        <f>IFERROR(VLOOKUP(AD124,TD!$J$66:$K$89,2,0)," ")</f>
        <v>PM/0131/0108/45990160207</v>
      </c>
      <c r="AG124" s="118" t="s">
        <v>385</v>
      </c>
      <c r="AH124" s="158" t="s">
        <v>193</v>
      </c>
      <c r="AI124" s="161" t="str">
        <f>CONCATENATE(PAA[[#This Row],[Id Interno]],"-",PAA[[#This Row],[tipo de Contrato (TH talento humano - B/S bienes y/o servicios)]],"-",S124,"-",T124,"-",PAA[[#This Row],[Objeto de la contratación]])</f>
        <v>20260084-TH-8126-9-Prestar servicios profesionales jurídicos para apoyar la instrucción y demás actuaciones que deban surtirse en los procesos disciplinarios adelantados por la Oficina de Control Disciplinario Interno.</v>
      </c>
    </row>
    <row r="125" spans="2:35" ht="84" x14ac:dyDescent="0.35">
      <c r="B125" s="23">
        <v>20260085</v>
      </c>
      <c r="C125" s="99" t="s">
        <v>423</v>
      </c>
      <c r="D125" s="23" t="s">
        <v>105</v>
      </c>
      <c r="E125" s="23" t="s">
        <v>363</v>
      </c>
      <c r="F125" s="155" t="s">
        <v>144</v>
      </c>
      <c r="G125" s="156" t="s">
        <v>374</v>
      </c>
      <c r="H125" s="157">
        <v>10</v>
      </c>
      <c r="I125" s="157">
        <v>0</v>
      </c>
      <c r="J125" s="127">
        <v>70000000</v>
      </c>
      <c r="K125" s="88" t="s">
        <v>398</v>
      </c>
      <c r="L125" s="155" t="s">
        <v>46</v>
      </c>
      <c r="M125" s="158" t="s">
        <v>421</v>
      </c>
      <c r="N125" s="23" t="s">
        <v>197</v>
      </c>
      <c r="O125" s="151" t="s">
        <v>957</v>
      </c>
      <c r="P125" s="155" t="s">
        <v>348</v>
      </c>
      <c r="Q125" s="53">
        <v>80111600</v>
      </c>
      <c r="R125" s="158" t="s">
        <v>208</v>
      </c>
      <c r="S125" s="158" t="str">
        <f>MID(PAA[[#This Row],[Meta Proyecto de Inversión]],1,4)</f>
        <v>8126</v>
      </c>
      <c r="T125" s="158" t="str">
        <f>MID(PAA[[#This Row],[Meta Proyecto de Inversión]],6,1)</f>
        <v>9</v>
      </c>
      <c r="U125" s="159" t="str">
        <f>IFERROR(VLOOKUP(N125,TD!$B$50:$F$54,2,0)," ")</f>
        <v>O230117</v>
      </c>
      <c r="V125" s="159" t="str">
        <f>IFERROR(VLOOKUP(N125,TD!$B$50:$F$54,3,0)," ")</f>
        <v>4599</v>
      </c>
      <c r="W125" s="159">
        <f>IFERROR(VLOOKUP(N125,TD!$B$50:$F$54,4,0)," ")</f>
        <v>20240207</v>
      </c>
      <c r="X125" s="158" t="s">
        <v>174</v>
      </c>
      <c r="Y125" s="159" t="str">
        <f>IFERROR(VLOOKUP(X125,TD!$J$51:$K$64,2,0)," ")</f>
        <v>Infraestructura física, mantenimiento y dotación (Sedes construidas, mantenidas reforzadas)</v>
      </c>
      <c r="Z125" s="160" t="str">
        <f>CONCATENATE(X125,"-",Y125)</f>
        <v>08-Infraestructura física, mantenimiento y dotación (Sedes construidas, mantenidas reforzadas)</v>
      </c>
      <c r="AA125" s="158" t="s">
        <v>227</v>
      </c>
      <c r="AB125" s="159" t="str">
        <f>IFERROR(VLOOKUP(AA125,TD!$N$51:$O$66,2,0)," ")</f>
        <v>Sedes mantenidas</v>
      </c>
      <c r="AC125" s="160" t="str">
        <f>CONCATENATE(AA125,"_",AB125)</f>
        <v>016_Sedes mantenidas</v>
      </c>
      <c r="AD125" s="160" t="str">
        <f>CONCATENATE(Z125," ",AC125)</f>
        <v>08-Infraestructura física, mantenimiento y dotación (Sedes construidas, mantenidas reforzadas) 016_Sedes mantenidas</v>
      </c>
      <c r="AE125" s="159" t="str">
        <f>CONCATENATE(U125,V125,W125,X125,AA125)</f>
        <v>O23011745992024020708016</v>
      </c>
      <c r="AF125" s="159" t="str">
        <f>IFERROR(VLOOKUP(AD125,TD!$J$66:$K$89,2,0)," ")</f>
        <v>PM/0131/0108/45990160207</v>
      </c>
      <c r="AG125" s="118" t="s">
        <v>385</v>
      </c>
      <c r="AH125" s="158" t="s">
        <v>193</v>
      </c>
      <c r="AI125" s="161" t="str">
        <f>CONCATENATE(PAA[[#This Row],[Id Interno]],"-",PAA[[#This Row],[tipo de Contrato (TH talento humano - B/S bienes y/o servicios)]],"-",S125,"-",T125,"-",PAA[[#This Row],[Objeto de la contratación]])</f>
        <v>20260085-TH-8126-9-Prestar servicios profesionales jurídicos para apoyar la instrucción y demás actuaciones que deban surtirse en los procesos disciplinarios adelantados por la Oficina de Control Disciplinario Interno.</v>
      </c>
    </row>
    <row r="126" spans="2:35" ht="84" x14ac:dyDescent="0.35">
      <c r="B126" s="23">
        <v>20260086</v>
      </c>
      <c r="C126" s="99" t="s">
        <v>423</v>
      </c>
      <c r="D126" s="23" t="s">
        <v>105</v>
      </c>
      <c r="E126" s="23" t="s">
        <v>363</v>
      </c>
      <c r="F126" s="155" t="s">
        <v>144</v>
      </c>
      <c r="G126" s="156" t="s">
        <v>374</v>
      </c>
      <c r="H126" s="157">
        <v>10</v>
      </c>
      <c r="I126" s="157">
        <v>0</v>
      </c>
      <c r="J126" s="127">
        <v>70000000</v>
      </c>
      <c r="K126" s="88" t="s">
        <v>398</v>
      </c>
      <c r="L126" s="155" t="s">
        <v>46</v>
      </c>
      <c r="M126" s="158" t="s">
        <v>421</v>
      </c>
      <c r="N126" s="23" t="s">
        <v>197</v>
      </c>
      <c r="O126" s="151" t="s">
        <v>957</v>
      </c>
      <c r="P126" s="155" t="s">
        <v>348</v>
      </c>
      <c r="Q126" s="53">
        <v>80111600</v>
      </c>
      <c r="R126" s="158" t="s">
        <v>208</v>
      </c>
      <c r="S126" s="158" t="str">
        <f>MID(PAA[[#This Row],[Meta Proyecto de Inversión]],1,4)</f>
        <v>8126</v>
      </c>
      <c r="T126" s="158" t="str">
        <f>MID(PAA[[#This Row],[Meta Proyecto de Inversión]],6,1)</f>
        <v>9</v>
      </c>
      <c r="U126" s="159" t="str">
        <f>IFERROR(VLOOKUP(N126,TD!$B$50:$F$54,2,0)," ")</f>
        <v>O230117</v>
      </c>
      <c r="V126" s="159" t="str">
        <f>IFERROR(VLOOKUP(N126,TD!$B$50:$F$54,3,0)," ")</f>
        <v>4599</v>
      </c>
      <c r="W126" s="159">
        <f>IFERROR(VLOOKUP(N126,TD!$B$50:$F$54,4,0)," ")</f>
        <v>20240207</v>
      </c>
      <c r="X126" s="158" t="s">
        <v>174</v>
      </c>
      <c r="Y126" s="159" t="str">
        <f>IFERROR(VLOOKUP(X126,TD!$J$51:$K$64,2,0)," ")</f>
        <v>Infraestructura física, mantenimiento y dotación (Sedes construidas, mantenidas reforzadas)</v>
      </c>
      <c r="Z126" s="160" t="str">
        <f>CONCATENATE(X126,"-",Y126)</f>
        <v>08-Infraestructura física, mantenimiento y dotación (Sedes construidas, mantenidas reforzadas)</v>
      </c>
      <c r="AA126" s="158" t="s">
        <v>227</v>
      </c>
      <c r="AB126" s="159" t="str">
        <f>IFERROR(VLOOKUP(AA126,TD!$N$51:$O$66,2,0)," ")</f>
        <v>Sedes mantenidas</v>
      </c>
      <c r="AC126" s="160" t="str">
        <f>CONCATENATE(AA126,"_",AB126)</f>
        <v>016_Sedes mantenidas</v>
      </c>
      <c r="AD126" s="160" t="str">
        <f>CONCATENATE(Z126," ",AC126)</f>
        <v>08-Infraestructura física, mantenimiento y dotación (Sedes construidas, mantenidas reforzadas) 016_Sedes mantenidas</v>
      </c>
      <c r="AE126" s="159" t="str">
        <f>CONCATENATE(U126,V126,W126,X126,AA126)</f>
        <v>O23011745992024020708016</v>
      </c>
      <c r="AF126" s="159" t="str">
        <f>IFERROR(VLOOKUP(AD126,TD!$J$66:$K$89,2,0)," ")</f>
        <v>PM/0131/0108/45990160207</v>
      </c>
      <c r="AG126" s="118" t="s">
        <v>385</v>
      </c>
      <c r="AH126" s="158" t="s">
        <v>193</v>
      </c>
      <c r="AI126" s="161" t="str">
        <f>CONCATENATE(PAA[[#This Row],[Id Interno]],"-",PAA[[#This Row],[tipo de Contrato (TH talento humano - B/S bienes y/o servicios)]],"-",S126,"-",T126,"-",PAA[[#This Row],[Objeto de la contratación]])</f>
        <v>20260086-TH-8126-9-Prestar servicios profesionales jurídicos para apoyar la instrucción y demás actuaciones que deban surtirse en los procesos disciplinarios adelantados por la Oficina de Control Disciplinario Interno.</v>
      </c>
    </row>
    <row r="127" spans="2:35" ht="70" x14ac:dyDescent="0.35">
      <c r="B127" s="23">
        <v>20260087</v>
      </c>
      <c r="C127" s="99" t="s">
        <v>423</v>
      </c>
      <c r="D127" s="23" t="s">
        <v>105</v>
      </c>
      <c r="E127" s="23" t="s">
        <v>363</v>
      </c>
      <c r="F127" s="155" t="s">
        <v>144</v>
      </c>
      <c r="G127" s="156" t="s">
        <v>374</v>
      </c>
      <c r="H127" s="157">
        <v>10</v>
      </c>
      <c r="I127" s="157">
        <v>0</v>
      </c>
      <c r="J127" s="127">
        <v>70000000</v>
      </c>
      <c r="K127" s="88" t="s">
        <v>398</v>
      </c>
      <c r="L127" s="155" t="s">
        <v>46</v>
      </c>
      <c r="M127" s="158" t="s">
        <v>421</v>
      </c>
      <c r="N127" s="23" t="s">
        <v>197</v>
      </c>
      <c r="O127" s="151" t="s">
        <v>957</v>
      </c>
      <c r="P127" s="155" t="s">
        <v>348</v>
      </c>
      <c r="Q127" s="53">
        <v>80111600</v>
      </c>
      <c r="R127" s="158" t="s">
        <v>208</v>
      </c>
      <c r="S127" s="158" t="str">
        <f>MID(PAA[[#This Row],[Meta Proyecto de Inversión]],1,4)</f>
        <v>8126</v>
      </c>
      <c r="T127" s="158" t="str">
        <f>MID(PAA[[#This Row],[Meta Proyecto de Inversión]],6,1)</f>
        <v>9</v>
      </c>
      <c r="U127" s="159" t="str">
        <f>IFERROR(VLOOKUP(N127,TD!$B$50:$F$54,2,0)," ")</f>
        <v>O230117</v>
      </c>
      <c r="V127" s="159" t="str">
        <f>IFERROR(VLOOKUP(N127,TD!$B$50:$F$54,3,0)," ")</f>
        <v>4599</v>
      </c>
      <c r="W127" s="159">
        <f>IFERROR(VLOOKUP(N127,TD!$B$50:$F$54,4,0)," ")</f>
        <v>20240207</v>
      </c>
      <c r="X127" s="158" t="s">
        <v>174</v>
      </c>
      <c r="Y127" s="159" t="str">
        <f>IFERROR(VLOOKUP(X127,TD!$J$51:$K$64,2,0)," ")</f>
        <v>Infraestructura física, mantenimiento y dotación (Sedes construidas, mantenidas reforzadas)</v>
      </c>
      <c r="Z127" s="160" t="str">
        <f>CONCATENATE(X127,"-",Y127)</f>
        <v>08-Infraestructura física, mantenimiento y dotación (Sedes construidas, mantenidas reforzadas)</v>
      </c>
      <c r="AA127" s="158" t="s">
        <v>227</v>
      </c>
      <c r="AB127" s="159" t="str">
        <f>IFERROR(VLOOKUP(AA127,TD!$N$51:$O$66,2,0)," ")</f>
        <v>Sedes mantenidas</v>
      </c>
      <c r="AC127" s="160" t="str">
        <f>CONCATENATE(AA127,"_",AB127)</f>
        <v>016_Sedes mantenidas</v>
      </c>
      <c r="AD127" s="160" t="str">
        <f>CONCATENATE(Z127," ",AC127)</f>
        <v>08-Infraestructura física, mantenimiento y dotación (Sedes construidas, mantenidas reforzadas) 016_Sedes mantenidas</v>
      </c>
      <c r="AE127" s="159" t="str">
        <f>CONCATENATE(U127,V127,W127,X127,AA127)</f>
        <v>O23011745992024020708016</v>
      </c>
      <c r="AF127" s="159" t="str">
        <f>IFERROR(VLOOKUP(AD127,TD!$J$66:$K$89,2,0)," ")</f>
        <v>PM/0131/0108/45990160207</v>
      </c>
      <c r="AG127" s="118" t="s">
        <v>385</v>
      </c>
      <c r="AH127" s="158" t="s">
        <v>193</v>
      </c>
      <c r="AI127" s="161" t="str">
        <f>CONCATENATE(PAA[[#This Row],[Id Interno]],"-",PAA[[#This Row],[tipo de Contrato (TH talento humano - B/S bienes y/o servicios)]],"-",S127,"-",T127,"-",PAA[[#This Row],[Objeto de la contratación]])</f>
        <v>20260087-TH-8126-9-Prestar servicios profesionales jurídicos para apoyar la instrucción y demás actuaciones que deban surtirse en los procesos disciplinarios adelantados por la Oficina de Control Disciplinario Interno.</v>
      </c>
    </row>
    <row r="128" spans="2:35" ht="70" x14ac:dyDescent="0.35">
      <c r="B128" s="23">
        <v>20260088</v>
      </c>
      <c r="C128" s="99" t="s">
        <v>423</v>
      </c>
      <c r="D128" s="23" t="s">
        <v>105</v>
      </c>
      <c r="E128" s="23" t="s">
        <v>363</v>
      </c>
      <c r="F128" s="155" t="s">
        <v>144</v>
      </c>
      <c r="G128" s="156" t="s">
        <v>374</v>
      </c>
      <c r="H128" s="157">
        <v>10</v>
      </c>
      <c r="I128" s="157">
        <v>0</v>
      </c>
      <c r="J128" s="127">
        <v>70000000</v>
      </c>
      <c r="K128" s="88" t="s">
        <v>398</v>
      </c>
      <c r="L128" s="155" t="s">
        <v>46</v>
      </c>
      <c r="M128" s="158" t="s">
        <v>421</v>
      </c>
      <c r="N128" s="23" t="s">
        <v>197</v>
      </c>
      <c r="O128" s="151" t="s">
        <v>957</v>
      </c>
      <c r="P128" s="155" t="s">
        <v>348</v>
      </c>
      <c r="Q128" s="53">
        <v>80111600</v>
      </c>
      <c r="R128" s="158" t="s">
        <v>208</v>
      </c>
      <c r="S128" s="158" t="str">
        <f>MID(PAA[[#This Row],[Meta Proyecto de Inversión]],1,4)</f>
        <v>8126</v>
      </c>
      <c r="T128" s="158" t="str">
        <f>MID(PAA[[#This Row],[Meta Proyecto de Inversión]],6,1)</f>
        <v>9</v>
      </c>
      <c r="U128" s="159" t="str">
        <f>IFERROR(VLOOKUP(N128,TD!$B$50:$F$54,2,0)," ")</f>
        <v>O230117</v>
      </c>
      <c r="V128" s="159" t="str">
        <f>IFERROR(VLOOKUP(N128,TD!$B$50:$F$54,3,0)," ")</f>
        <v>4599</v>
      </c>
      <c r="W128" s="159">
        <f>IFERROR(VLOOKUP(N128,TD!$B$50:$F$54,4,0)," ")</f>
        <v>20240207</v>
      </c>
      <c r="X128" s="158" t="s">
        <v>174</v>
      </c>
      <c r="Y128" s="159" t="str">
        <f>IFERROR(VLOOKUP(X128,TD!$J$51:$K$64,2,0)," ")</f>
        <v>Infraestructura física, mantenimiento y dotación (Sedes construidas, mantenidas reforzadas)</v>
      </c>
      <c r="Z128" s="160" t="str">
        <f>CONCATENATE(X128,"-",Y128)</f>
        <v>08-Infraestructura física, mantenimiento y dotación (Sedes construidas, mantenidas reforzadas)</v>
      </c>
      <c r="AA128" s="158" t="s">
        <v>227</v>
      </c>
      <c r="AB128" s="159" t="str">
        <f>IFERROR(VLOOKUP(AA128,TD!$N$51:$O$66,2,0)," ")</f>
        <v>Sedes mantenidas</v>
      </c>
      <c r="AC128" s="160" t="str">
        <f>CONCATENATE(AA128,"_",AB128)</f>
        <v>016_Sedes mantenidas</v>
      </c>
      <c r="AD128" s="160" t="str">
        <f>CONCATENATE(Z128," ",AC128)</f>
        <v>08-Infraestructura física, mantenimiento y dotación (Sedes construidas, mantenidas reforzadas) 016_Sedes mantenidas</v>
      </c>
      <c r="AE128" s="159" t="str">
        <f>CONCATENATE(U128,V128,W128,X128,AA128)</f>
        <v>O23011745992024020708016</v>
      </c>
      <c r="AF128" s="159" t="str">
        <f>IFERROR(VLOOKUP(AD128,TD!$J$66:$K$89,2,0)," ")</f>
        <v>PM/0131/0108/45990160207</v>
      </c>
      <c r="AG128" s="118" t="s">
        <v>385</v>
      </c>
      <c r="AH128" s="158" t="s">
        <v>193</v>
      </c>
      <c r="AI128" s="161" t="str">
        <f>CONCATENATE(PAA[[#This Row],[Id Interno]],"-",PAA[[#This Row],[tipo de Contrato (TH talento humano - B/S bienes y/o servicios)]],"-",S128,"-",T128,"-",PAA[[#This Row],[Objeto de la contratación]])</f>
        <v>20260088-TH-8126-9-Prestar servicios profesionales jurídicos para apoyar la instrucción y demás actuaciones que deban surtirse en los procesos disciplinarios adelantados por la Oficina de Control Disciplinario Interno.</v>
      </c>
    </row>
    <row r="129" spans="2:35" ht="56" x14ac:dyDescent="0.35">
      <c r="B129" s="23">
        <v>20260089</v>
      </c>
      <c r="C129" s="99" t="s">
        <v>424</v>
      </c>
      <c r="D129" s="23" t="s">
        <v>105</v>
      </c>
      <c r="E129" s="23" t="s">
        <v>363</v>
      </c>
      <c r="F129" s="155" t="s">
        <v>144</v>
      </c>
      <c r="G129" s="156" t="s">
        <v>374</v>
      </c>
      <c r="H129" s="157">
        <v>10</v>
      </c>
      <c r="I129" s="157">
        <v>0</v>
      </c>
      <c r="J129" s="127">
        <v>55000000</v>
      </c>
      <c r="K129" s="88" t="s">
        <v>398</v>
      </c>
      <c r="L129" s="155" t="s">
        <v>46</v>
      </c>
      <c r="M129" s="158" t="s">
        <v>421</v>
      </c>
      <c r="N129" s="23" t="s">
        <v>197</v>
      </c>
      <c r="O129" s="151" t="s">
        <v>957</v>
      </c>
      <c r="P129" s="155" t="s">
        <v>348</v>
      </c>
      <c r="Q129" s="53">
        <v>80111600</v>
      </c>
      <c r="R129" s="158" t="s">
        <v>208</v>
      </c>
      <c r="S129" s="158" t="str">
        <f>MID(PAA[[#This Row],[Meta Proyecto de Inversión]],1,4)</f>
        <v>8126</v>
      </c>
      <c r="T129" s="158" t="str">
        <f>MID(PAA[[#This Row],[Meta Proyecto de Inversión]],6,1)</f>
        <v>9</v>
      </c>
      <c r="U129" s="159" t="str">
        <f>IFERROR(VLOOKUP(N129,TD!$B$50:$F$54,2,0)," ")</f>
        <v>O230117</v>
      </c>
      <c r="V129" s="159" t="str">
        <f>IFERROR(VLOOKUP(N129,TD!$B$50:$F$54,3,0)," ")</f>
        <v>4599</v>
      </c>
      <c r="W129" s="159">
        <f>IFERROR(VLOOKUP(N129,TD!$B$50:$F$54,4,0)," ")</f>
        <v>20240207</v>
      </c>
      <c r="X129" s="158" t="s">
        <v>174</v>
      </c>
      <c r="Y129" s="159" t="str">
        <f>IFERROR(VLOOKUP(X129,TD!$J$51:$K$64,2,0)," ")</f>
        <v>Infraestructura física, mantenimiento y dotación (Sedes construidas, mantenidas reforzadas)</v>
      </c>
      <c r="Z129" s="160" t="str">
        <f>CONCATENATE(X129,"-",Y129)</f>
        <v>08-Infraestructura física, mantenimiento y dotación (Sedes construidas, mantenidas reforzadas)</v>
      </c>
      <c r="AA129" s="158" t="s">
        <v>227</v>
      </c>
      <c r="AB129" s="159" t="str">
        <f>IFERROR(VLOOKUP(AA129,TD!$N$51:$O$66,2,0)," ")</f>
        <v>Sedes mantenidas</v>
      </c>
      <c r="AC129" s="160" t="str">
        <f>CONCATENATE(AA129,"_",AB129)</f>
        <v>016_Sedes mantenidas</v>
      </c>
      <c r="AD129" s="160" t="str">
        <f>CONCATENATE(Z129," ",AC129)</f>
        <v>08-Infraestructura física, mantenimiento y dotación (Sedes construidas, mantenidas reforzadas) 016_Sedes mantenidas</v>
      </c>
      <c r="AE129" s="159" t="str">
        <f>CONCATENATE(U129,V129,W129,X129,AA129)</f>
        <v>O23011745992024020708016</v>
      </c>
      <c r="AF129" s="159" t="str">
        <f>IFERROR(VLOOKUP(AD129,TD!$J$66:$K$89,2,0)," ")</f>
        <v>PM/0131/0108/45990160207</v>
      </c>
      <c r="AG129" s="118" t="s">
        <v>385</v>
      </c>
      <c r="AH129" s="158" t="s">
        <v>193</v>
      </c>
      <c r="AI129" s="161" t="str">
        <f>CONCATENATE(PAA[[#This Row],[Id Interno]],"-",PAA[[#This Row],[tipo de Contrato (TH talento humano - B/S bienes y/o servicios)]],"-",S129,"-",T129,"-",PAA[[#This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30" spans="2:35" ht="56" x14ac:dyDescent="0.35">
      <c r="B130" s="23">
        <v>20260090</v>
      </c>
      <c r="C130" s="99" t="s">
        <v>624</v>
      </c>
      <c r="D130" s="23" t="s">
        <v>105</v>
      </c>
      <c r="E130" s="23" t="s">
        <v>363</v>
      </c>
      <c r="F130" s="155" t="s">
        <v>145</v>
      </c>
      <c r="G130" s="156" t="s">
        <v>374</v>
      </c>
      <c r="H130" s="157">
        <v>10</v>
      </c>
      <c r="I130" s="157">
        <v>0</v>
      </c>
      <c r="J130" s="127">
        <v>36000000</v>
      </c>
      <c r="K130" s="88" t="s">
        <v>398</v>
      </c>
      <c r="L130" s="155" t="s">
        <v>46</v>
      </c>
      <c r="M130" s="158" t="s">
        <v>421</v>
      </c>
      <c r="N130" s="23" t="s">
        <v>197</v>
      </c>
      <c r="O130" s="151" t="s">
        <v>957</v>
      </c>
      <c r="P130" s="155" t="s">
        <v>348</v>
      </c>
      <c r="Q130" s="53">
        <v>80111600</v>
      </c>
      <c r="R130" s="158" t="s">
        <v>208</v>
      </c>
      <c r="S130" s="158" t="str">
        <f>MID(PAA[[#This Row],[Meta Proyecto de Inversión]],1,4)</f>
        <v>8126</v>
      </c>
      <c r="T130" s="158" t="str">
        <f>MID(PAA[[#This Row],[Meta Proyecto de Inversión]],6,1)</f>
        <v>9</v>
      </c>
      <c r="U130" s="159" t="str">
        <f>IFERROR(VLOOKUP(N130,TD!$B$50:$F$54,2,0)," ")</f>
        <v>O230117</v>
      </c>
      <c r="V130" s="159" t="str">
        <f>IFERROR(VLOOKUP(N130,TD!$B$50:$F$54,3,0)," ")</f>
        <v>4599</v>
      </c>
      <c r="W130" s="159">
        <f>IFERROR(VLOOKUP(N130,TD!$B$50:$F$54,4,0)," ")</f>
        <v>20240207</v>
      </c>
      <c r="X130" s="158" t="s">
        <v>174</v>
      </c>
      <c r="Y130" s="159" t="str">
        <f>IFERROR(VLOOKUP(X130,TD!$J$51:$K$64,2,0)," ")</f>
        <v>Infraestructura física, mantenimiento y dotación (Sedes construidas, mantenidas reforzadas)</v>
      </c>
      <c r="Z130" s="160" t="str">
        <f>CONCATENATE(X130,"-",Y130)</f>
        <v>08-Infraestructura física, mantenimiento y dotación (Sedes construidas, mantenidas reforzadas)</v>
      </c>
      <c r="AA130" s="158" t="s">
        <v>227</v>
      </c>
      <c r="AB130" s="159" t="str">
        <f>IFERROR(VLOOKUP(AA130,TD!$N$51:$O$66,2,0)," ")</f>
        <v>Sedes mantenidas</v>
      </c>
      <c r="AC130" s="160" t="str">
        <f>CONCATENATE(AA130,"_",AB130)</f>
        <v>016_Sedes mantenidas</v>
      </c>
      <c r="AD130" s="160" t="str">
        <f>CONCATENATE(Z130," ",AC130)</f>
        <v>08-Infraestructura física, mantenimiento y dotación (Sedes construidas, mantenidas reforzadas) 016_Sedes mantenidas</v>
      </c>
      <c r="AE130" s="159" t="str">
        <f>CONCATENATE(U130,V130,W130,X130,AA130)</f>
        <v>O23011745992024020708016</v>
      </c>
      <c r="AF130" s="159" t="str">
        <f>IFERROR(VLOOKUP(AD130,TD!$J$66:$K$89,2,0)," ")</f>
        <v>PM/0131/0108/45990160207</v>
      </c>
      <c r="AG130" s="118" t="s">
        <v>385</v>
      </c>
      <c r="AH130" s="158" t="s">
        <v>193</v>
      </c>
      <c r="AI130" s="161" t="str">
        <f>CONCATENATE(PAA[[#This Row],[Id Interno]],"-",PAA[[#This Row],[tipo de Contrato (TH talento humano - B/S bienes y/o servicios)]],"-",S130,"-",T130,"-",PAA[[#This Row],[Objeto de la contratación]])</f>
        <v>20260090-TH-8126-9-Prestación de servicios de apoyo técnico a la Oficina de Control Disciplinario Interno de la UAECOB para la gestión y cumplimiento de las funciones administrativas asignadas.</v>
      </c>
    </row>
    <row r="131" spans="2:35" ht="56" x14ac:dyDescent="0.35">
      <c r="B131" s="23">
        <v>20260091</v>
      </c>
      <c r="C131" s="99" t="s">
        <v>625</v>
      </c>
      <c r="D131" s="23" t="s">
        <v>105</v>
      </c>
      <c r="E131" s="23" t="s">
        <v>363</v>
      </c>
      <c r="F131" s="155" t="s">
        <v>145</v>
      </c>
      <c r="G131" s="156" t="s">
        <v>374</v>
      </c>
      <c r="H131" s="157">
        <v>10</v>
      </c>
      <c r="I131" s="157">
        <v>0</v>
      </c>
      <c r="J131" s="127">
        <v>26000000</v>
      </c>
      <c r="K131" s="88" t="s">
        <v>398</v>
      </c>
      <c r="L131" s="155" t="s">
        <v>46</v>
      </c>
      <c r="M131" s="158" t="s">
        <v>421</v>
      </c>
      <c r="N131" s="23" t="s">
        <v>197</v>
      </c>
      <c r="O131" s="151" t="s">
        <v>957</v>
      </c>
      <c r="P131" s="155" t="s">
        <v>348</v>
      </c>
      <c r="Q131" s="53">
        <v>80111600</v>
      </c>
      <c r="R131" s="158" t="s">
        <v>208</v>
      </c>
      <c r="S131" s="158" t="str">
        <f>MID(PAA[[#This Row],[Meta Proyecto de Inversión]],1,4)</f>
        <v>8126</v>
      </c>
      <c r="T131" s="158" t="str">
        <f>MID(PAA[[#This Row],[Meta Proyecto de Inversión]],6,1)</f>
        <v>9</v>
      </c>
      <c r="U131" s="159" t="str">
        <f>IFERROR(VLOOKUP(N131,TD!$B$50:$F$54,2,0)," ")</f>
        <v>O230117</v>
      </c>
      <c r="V131" s="159" t="str">
        <f>IFERROR(VLOOKUP(N131,TD!$B$50:$F$54,3,0)," ")</f>
        <v>4599</v>
      </c>
      <c r="W131" s="159">
        <f>IFERROR(VLOOKUP(N131,TD!$B$50:$F$54,4,0)," ")</f>
        <v>20240207</v>
      </c>
      <c r="X131" s="158" t="s">
        <v>174</v>
      </c>
      <c r="Y131" s="159" t="str">
        <f>IFERROR(VLOOKUP(X131,TD!$J$51:$K$64,2,0)," ")</f>
        <v>Infraestructura física, mantenimiento y dotación (Sedes construidas, mantenidas reforzadas)</v>
      </c>
      <c r="Z131" s="160" t="str">
        <f>CONCATENATE(X131,"-",Y131)</f>
        <v>08-Infraestructura física, mantenimiento y dotación (Sedes construidas, mantenidas reforzadas)</v>
      </c>
      <c r="AA131" s="158" t="s">
        <v>227</v>
      </c>
      <c r="AB131" s="159" t="str">
        <f>IFERROR(VLOOKUP(AA131,TD!$N$51:$O$66,2,0)," ")</f>
        <v>Sedes mantenidas</v>
      </c>
      <c r="AC131" s="160" t="str">
        <f>CONCATENATE(AA131,"_",AB131)</f>
        <v>016_Sedes mantenidas</v>
      </c>
      <c r="AD131" s="160" t="str">
        <f>CONCATENATE(Z131," ",AC131)</f>
        <v>08-Infraestructura física, mantenimiento y dotación (Sedes construidas, mantenidas reforzadas) 016_Sedes mantenidas</v>
      </c>
      <c r="AE131" s="159" t="str">
        <f>CONCATENATE(U131,V131,W131,X131,AA131)</f>
        <v>O23011745992024020708016</v>
      </c>
      <c r="AF131" s="159" t="str">
        <f>IFERROR(VLOOKUP(AD131,TD!$J$66:$K$89,2,0)," ")</f>
        <v>PM/0131/0108/45990160207</v>
      </c>
      <c r="AG131" s="118" t="s">
        <v>385</v>
      </c>
      <c r="AH131" s="158" t="s">
        <v>193</v>
      </c>
      <c r="AI131" s="161" t="str">
        <f>CONCATENATE(PAA[[#This Row],[Id Interno]],"-",PAA[[#This Row],[tipo de Contrato (TH talento humano - B/S bienes y/o servicios)]],"-",S131,"-",T131,"-",PAA[[#This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32" spans="2:35" ht="56" x14ac:dyDescent="0.35">
      <c r="B132" s="23">
        <v>20260092</v>
      </c>
      <c r="C132" s="99" t="s">
        <v>626</v>
      </c>
      <c r="D132" s="23" t="s">
        <v>105</v>
      </c>
      <c r="E132" s="23" t="s">
        <v>363</v>
      </c>
      <c r="F132" s="155" t="s">
        <v>144</v>
      </c>
      <c r="G132" s="156" t="s">
        <v>374</v>
      </c>
      <c r="H132" s="157">
        <v>10</v>
      </c>
      <c r="I132" s="157">
        <v>0</v>
      </c>
      <c r="J132" s="127">
        <v>60000000</v>
      </c>
      <c r="K132" s="88" t="s">
        <v>398</v>
      </c>
      <c r="L132" s="155" t="s">
        <v>46</v>
      </c>
      <c r="M132" s="158" t="s">
        <v>421</v>
      </c>
      <c r="N132" s="23" t="s">
        <v>197</v>
      </c>
      <c r="O132" s="151" t="s">
        <v>957</v>
      </c>
      <c r="P132" s="155" t="s">
        <v>348</v>
      </c>
      <c r="Q132" s="53">
        <v>80111600</v>
      </c>
      <c r="R132" s="158" t="s">
        <v>208</v>
      </c>
      <c r="S132" s="158" t="str">
        <f>MID(PAA[[#This Row],[Meta Proyecto de Inversión]],1,4)</f>
        <v>8126</v>
      </c>
      <c r="T132" s="158" t="str">
        <f>MID(PAA[[#This Row],[Meta Proyecto de Inversión]],6,1)</f>
        <v>9</v>
      </c>
      <c r="U132" s="159" t="str">
        <f>IFERROR(VLOOKUP(N132,TD!$B$50:$F$54,2,0)," ")</f>
        <v>O230117</v>
      </c>
      <c r="V132" s="159" t="str">
        <f>IFERROR(VLOOKUP(N132,TD!$B$50:$F$54,3,0)," ")</f>
        <v>4599</v>
      </c>
      <c r="W132" s="159">
        <f>IFERROR(VLOOKUP(N132,TD!$B$50:$F$54,4,0)," ")</f>
        <v>20240207</v>
      </c>
      <c r="X132" s="158" t="s">
        <v>174</v>
      </c>
      <c r="Y132" s="159" t="str">
        <f>IFERROR(VLOOKUP(X132,TD!$J$51:$K$64,2,0)," ")</f>
        <v>Infraestructura física, mantenimiento y dotación (Sedes construidas, mantenidas reforzadas)</v>
      </c>
      <c r="Z132" s="160" t="str">
        <f>CONCATENATE(X132,"-",Y132)</f>
        <v>08-Infraestructura física, mantenimiento y dotación (Sedes construidas, mantenidas reforzadas)</v>
      </c>
      <c r="AA132" s="158" t="s">
        <v>227</v>
      </c>
      <c r="AB132" s="159" t="str">
        <f>IFERROR(VLOOKUP(AA132,TD!$N$51:$O$66,2,0)," ")</f>
        <v>Sedes mantenidas</v>
      </c>
      <c r="AC132" s="160" t="str">
        <f>CONCATENATE(AA132,"_",AB132)</f>
        <v>016_Sedes mantenidas</v>
      </c>
      <c r="AD132" s="160" t="str">
        <f>CONCATENATE(Z132," ",AC132)</f>
        <v>08-Infraestructura física, mantenimiento y dotación (Sedes construidas, mantenidas reforzadas) 016_Sedes mantenidas</v>
      </c>
      <c r="AE132" s="159" t="str">
        <f>CONCATENATE(U132,V132,W132,X132,AA132)</f>
        <v>O23011745992024020708016</v>
      </c>
      <c r="AF132" s="159" t="str">
        <f>IFERROR(VLOOKUP(AD132,TD!$J$66:$K$89,2,0)," ")</f>
        <v>PM/0131/0108/45990160207</v>
      </c>
      <c r="AG132" s="118" t="s">
        <v>385</v>
      </c>
      <c r="AH132" s="158" t="s">
        <v>193</v>
      </c>
      <c r="AI132" s="161" t="str">
        <f>CONCATENATE(PAA[[#This Row],[Id Interno]],"-",PAA[[#This Row],[tipo de Contrato (TH talento humano - B/S bienes y/o servicios)]],"-",S132,"-",T132,"-",PAA[[#This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33" spans="2:35" ht="56" x14ac:dyDescent="0.35">
      <c r="B133" s="23">
        <v>20260093</v>
      </c>
      <c r="C133" s="99" t="s">
        <v>425</v>
      </c>
      <c r="D133" s="23" t="s">
        <v>105</v>
      </c>
      <c r="E133" s="23" t="s">
        <v>363</v>
      </c>
      <c r="F133" s="155" t="s">
        <v>144</v>
      </c>
      <c r="G133" s="156" t="s">
        <v>373</v>
      </c>
      <c r="H133" s="157">
        <v>11</v>
      </c>
      <c r="I133" s="157">
        <v>0</v>
      </c>
      <c r="J133" s="127">
        <v>85158000</v>
      </c>
      <c r="K133" s="88" t="s">
        <v>398</v>
      </c>
      <c r="L133" s="155" t="s">
        <v>152</v>
      </c>
      <c r="M133" s="158" t="s">
        <v>970</v>
      </c>
      <c r="N133" s="23" t="s">
        <v>197</v>
      </c>
      <c r="O133" s="151" t="s">
        <v>957</v>
      </c>
      <c r="P133" s="155" t="s">
        <v>348</v>
      </c>
      <c r="Q133" s="53">
        <v>80111600</v>
      </c>
      <c r="R133" s="158" t="s">
        <v>208</v>
      </c>
      <c r="S133" s="158" t="str">
        <f>MID(PAA[[#This Row],[Meta Proyecto de Inversión]],1,4)</f>
        <v>8126</v>
      </c>
      <c r="T133" s="158" t="str">
        <f>MID(PAA[[#This Row],[Meta Proyecto de Inversión]],6,1)</f>
        <v>9</v>
      </c>
      <c r="U133" s="159" t="str">
        <f>IFERROR(VLOOKUP(N133,TD!$B$50:$F$54,2,0)," ")</f>
        <v>O230117</v>
      </c>
      <c r="V133" s="159" t="str">
        <f>IFERROR(VLOOKUP(N133,TD!$B$50:$F$54,3,0)," ")</f>
        <v>4599</v>
      </c>
      <c r="W133" s="159">
        <f>IFERROR(VLOOKUP(N133,TD!$B$50:$F$54,4,0)," ")</f>
        <v>20240207</v>
      </c>
      <c r="X133" s="158" t="s">
        <v>174</v>
      </c>
      <c r="Y133" s="159" t="str">
        <f>IFERROR(VLOOKUP(X133,TD!$J$51:$K$64,2,0)," ")</f>
        <v>Infraestructura física, mantenimiento y dotación (Sedes construidas, mantenidas reforzadas)</v>
      </c>
      <c r="Z133" s="160" t="str">
        <f>CONCATENATE(X133,"-",Y133)</f>
        <v>08-Infraestructura física, mantenimiento y dotación (Sedes construidas, mantenidas reforzadas)</v>
      </c>
      <c r="AA133" s="158" t="s">
        <v>227</v>
      </c>
      <c r="AB133" s="159" t="str">
        <f>IFERROR(VLOOKUP(AA133,TD!$N$51:$O$66,2,0)," ")</f>
        <v>Sedes mantenidas</v>
      </c>
      <c r="AC133" s="160" t="str">
        <f>CONCATENATE(AA133,"_",AB133)</f>
        <v>016_Sedes mantenidas</v>
      </c>
      <c r="AD133" s="160" t="str">
        <f>CONCATENATE(Z133," ",AC133)</f>
        <v>08-Infraestructura física, mantenimiento y dotación (Sedes construidas, mantenidas reforzadas) 016_Sedes mantenidas</v>
      </c>
      <c r="AE133" s="159" t="str">
        <f>CONCATENATE(U133,V133,W133,X133,AA133)</f>
        <v>O23011745992024020708016</v>
      </c>
      <c r="AF133" s="159" t="str">
        <f>IFERROR(VLOOKUP(AD133,TD!$J$66:$K$89,2,0)," ")</f>
        <v>PM/0131/0108/45990160207</v>
      </c>
      <c r="AG133" s="118" t="s">
        <v>385</v>
      </c>
      <c r="AH133" s="158" t="s">
        <v>193</v>
      </c>
      <c r="AI133" s="161" t="str">
        <f>CONCATENATE(PAA[[#This Row],[Id Interno]],"-",PAA[[#This Row],[tipo de Contrato (TH talento humano - B/S bienes y/o servicios)]],"-",S133,"-",T133,"-",PAA[[#This Row],[Objeto de la contratación]])</f>
        <v>20260093-TH-8126-9-Prestar los servicios profesionales como abogado en la Oficina de Control Interno para el desarrollo del Plan Anual de Auditorías.</v>
      </c>
    </row>
    <row r="134" spans="2:35" ht="70" x14ac:dyDescent="0.35">
      <c r="B134" s="23">
        <v>20260094</v>
      </c>
      <c r="C134" s="99" t="s">
        <v>426</v>
      </c>
      <c r="D134" s="23" t="s">
        <v>105</v>
      </c>
      <c r="E134" s="23" t="s">
        <v>363</v>
      </c>
      <c r="F134" s="155" t="s">
        <v>144</v>
      </c>
      <c r="G134" s="156" t="s">
        <v>373</v>
      </c>
      <c r="H134" s="157">
        <v>11</v>
      </c>
      <c r="I134" s="157">
        <v>0</v>
      </c>
      <c r="J134" s="127">
        <v>85158000</v>
      </c>
      <c r="K134" s="88" t="s">
        <v>398</v>
      </c>
      <c r="L134" s="155" t="s">
        <v>152</v>
      </c>
      <c r="M134" s="158" t="s">
        <v>970</v>
      </c>
      <c r="N134" s="23" t="s">
        <v>197</v>
      </c>
      <c r="O134" s="151" t="s">
        <v>957</v>
      </c>
      <c r="P134" s="155" t="s">
        <v>348</v>
      </c>
      <c r="Q134" s="53">
        <v>80111600</v>
      </c>
      <c r="R134" s="158" t="s">
        <v>208</v>
      </c>
      <c r="S134" s="158" t="str">
        <f>MID(PAA[[#This Row],[Meta Proyecto de Inversión]],1,4)</f>
        <v>8126</v>
      </c>
      <c r="T134" s="158" t="str">
        <f>MID(PAA[[#This Row],[Meta Proyecto de Inversión]],6,1)</f>
        <v>9</v>
      </c>
      <c r="U134" s="159" t="str">
        <f>IFERROR(VLOOKUP(N134,TD!$B$50:$F$54,2,0)," ")</f>
        <v>O230117</v>
      </c>
      <c r="V134" s="159" t="str">
        <f>IFERROR(VLOOKUP(N134,TD!$B$50:$F$54,3,0)," ")</f>
        <v>4599</v>
      </c>
      <c r="W134" s="159">
        <f>IFERROR(VLOOKUP(N134,TD!$B$50:$F$54,4,0)," ")</f>
        <v>20240207</v>
      </c>
      <c r="X134" s="158" t="s">
        <v>174</v>
      </c>
      <c r="Y134" s="159" t="str">
        <f>IFERROR(VLOOKUP(X134,TD!$J$51:$K$64,2,0)," ")</f>
        <v>Infraestructura física, mantenimiento y dotación (Sedes construidas, mantenidas reforzadas)</v>
      </c>
      <c r="Z134" s="160" t="str">
        <f>CONCATENATE(X134,"-",Y134)</f>
        <v>08-Infraestructura física, mantenimiento y dotación (Sedes construidas, mantenidas reforzadas)</v>
      </c>
      <c r="AA134" s="158" t="s">
        <v>227</v>
      </c>
      <c r="AB134" s="159" t="str">
        <f>IFERROR(VLOOKUP(AA134,TD!$N$51:$O$66,2,0)," ")</f>
        <v>Sedes mantenidas</v>
      </c>
      <c r="AC134" s="160" t="str">
        <f>CONCATENATE(AA134,"_",AB134)</f>
        <v>016_Sedes mantenidas</v>
      </c>
      <c r="AD134" s="160" t="str">
        <f>CONCATENATE(Z134," ",AC134)</f>
        <v>08-Infraestructura física, mantenimiento y dotación (Sedes construidas, mantenidas reforzadas) 016_Sedes mantenidas</v>
      </c>
      <c r="AE134" s="159" t="str">
        <f>CONCATENATE(U134,V134,W134,X134,AA134)</f>
        <v>O23011745992024020708016</v>
      </c>
      <c r="AF134" s="159" t="str">
        <f>IFERROR(VLOOKUP(AD134,TD!$J$66:$K$89,2,0)," ")</f>
        <v>PM/0131/0108/45990160207</v>
      </c>
      <c r="AG134" s="118" t="s">
        <v>385</v>
      </c>
      <c r="AH134" s="158" t="s">
        <v>193</v>
      </c>
      <c r="AI134" s="161" t="str">
        <f>CONCATENATE(PAA[[#This Row],[Id Interno]],"-",PAA[[#This Row],[tipo de Contrato (TH talento humano - B/S bienes y/o servicios)]],"-",S134,"-",T134,"-",PAA[[#This Row],[Objeto de la contratación]])</f>
        <v>20260094-TH-8126-9-Prestar los servicios profesionales como contador público en la Oficina de Control Interno para el desarrollo del Plan Anual de Auditorías.</v>
      </c>
    </row>
    <row r="135" spans="2:35" ht="56" x14ac:dyDescent="0.35">
      <c r="B135" s="23">
        <v>20260095</v>
      </c>
      <c r="C135" s="99" t="s">
        <v>427</v>
      </c>
      <c r="D135" s="23" t="s">
        <v>105</v>
      </c>
      <c r="E135" s="23" t="s">
        <v>363</v>
      </c>
      <c r="F135" s="155" t="s">
        <v>144</v>
      </c>
      <c r="G135" s="156" t="s">
        <v>373</v>
      </c>
      <c r="H135" s="157">
        <v>11</v>
      </c>
      <c r="I135" s="157">
        <v>0</v>
      </c>
      <c r="J135" s="127">
        <v>85158000</v>
      </c>
      <c r="K135" s="88" t="s">
        <v>398</v>
      </c>
      <c r="L135" s="155" t="s">
        <v>152</v>
      </c>
      <c r="M135" s="158" t="s">
        <v>970</v>
      </c>
      <c r="N135" s="23" t="s">
        <v>197</v>
      </c>
      <c r="O135" s="151" t="s">
        <v>957</v>
      </c>
      <c r="P135" s="155" t="s">
        <v>348</v>
      </c>
      <c r="Q135" s="53">
        <v>80111600</v>
      </c>
      <c r="R135" s="158" t="s">
        <v>208</v>
      </c>
      <c r="S135" s="158" t="str">
        <f>MID(PAA[[#This Row],[Meta Proyecto de Inversión]],1,4)</f>
        <v>8126</v>
      </c>
      <c r="T135" s="158" t="str">
        <f>MID(PAA[[#This Row],[Meta Proyecto de Inversión]],6,1)</f>
        <v>9</v>
      </c>
      <c r="U135" s="159" t="str">
        <f>IFERROR(VLOOKUP(N135,TD!$B$50:$F$54,2,0)," ")</f>
        <v>O230117</v>
      </c>
      <c r="V135" s="159" t="str">
        <f>IFERROR(VLOOKUP(N135,TD!$B$50:$F$54,3,0)," ")</f>
        <v>4599</v>
      </c>
      <c r="W135" s="159">
        <f>IFERROR(VLOOKUP(N135,TD!$B$50:$F$54,4,0)," ")</f>
        <v>20240207</v>
      </c>
      <c r="X135" s="158" t="s">
        <v>174</v>
      </c>
      <c r="Y135" s="159" t="str">
        <f>IFERROR(VLOOKUP(X135,TD!$J$51:$K$64,2,0)," ")</f>
        <v>Infraestructura física, mantenimiento y dotación (Sedes construidas, mantenidas reforzadas)</v>
      </c>
      <c r="Z135" s="160" t="str">
        <f>CONCATENATE(X135,"-",Y135)</f>
        <v>08-Infraestructura física, mantenimiento y dotación (Sedes construidas, mantenidas reforzadas)</v>
      </c>
      <c r="AA135" s="158" t="s">
        <v>227</v>
      </c>
      <c r="AB135" s="159" t="str">
        <f>IFERROR(VLOOKUP(AA135,TD!$N$51:$O$66,2,0)," ")</f>
        <v>Sedes mantenidas</v>
      </c>
      <c r="AC135" s="160" t="str">
        <f>CONCATENATE(AA135,"_",AB135)</f>
        <v>016_Sedes mantenidas</v>
      </c>
      <c r="AD135" s="160" t="str">
        <f>CONCATENATE(Z135," ",AC135)</f>
        <v>08-Infraestructura física, mantenimiento y dotación (Sedes construidas, mantenidas reforzadas) 016_Sedes mantenidas</v>
      </c>
      <c r="AE135" s="159" t="str">
        <f>CONCATENATE(U135,V135,W135,X135,AA135)</f>
        <v>O23011745992024020708016</v>
      </c>
      <c r="AF135" s="159" t="str">
        <f>IFERROR(VLOOKUP(AD135,TD!$J$66:$K$89,2,0)," ")</f>
        <v>PM/0131/0108/45990160207</v>
      </c>
      <c r="AG135" s="118" t="s">
        <v>385</v>
      </c>
      <c r="AH135" s="158" t="s">
        <v>193</v>
      </c>
      <c r="AI135" s="161" t="str">
        <f>CONCATENATE(PAA[[#This Row],[Id Interno]],"-",PAA[[#This Row],[tipo de Contrato (TH talento humano - B/S bienes y/o servicios)]],"-",S135,"-",T135,"-",PAA[[#This Row],[Objeto de la contratación]])</f>
        <v>20260095-TH-8126-9-Prestar los servicios profesionales en la Oficina de Control Interno para el desarrollo del Plan Anual de Auditorías.</v>
      </c>
    </row>
    <row r="136" spans="2:35" ht="56" x14ac:dyDescent="0.35">
      <c r="B136" s="23">
        <v>20260096</v>
      </c>
      <c r="C136" s="99" t="s">
        <v>427</v>
      </c>
      <c r="D136" s="23" t="s">
        <v>105</v>
      </c>
      <c r="E136" s="23" t="s">
        <v>363</v>
      </c>
      <c r="F136" s="155" t="s">
        <v>144</v>
      </c>
      <c r="G136" s="156" t="s">
        <v>373</v>
      </c>
      <c r="H136" s="157">
        <v>11</v>
      </c>
      <c r="I136" s="157">
        <v>0</v>
      </c>
      <c r="J136" s="127">
        <v>51424000</v>
      </c>
      <c r="K136" s="88" t="s">
        <v>398</v>
      </c>
      <c r="L136" s="155" t="s">
        <v>152</v>
      </c>
      <c r="M136" s="158" t="s">
        <v>970</v>
      </c>
      <c r="N136" s="23" t="s">
        <v>197</v>
      </c>
      <c r="O136" s="151" t="s">
        <v>957</v>
      </c>
      <c r="P136" s="155" t="s">
        <v>348</v>
      </c>
      <c r="Q136" s="53">
        <v>80111600</v>
      </c>
      <c r="R136" s="158" t="s">
        <v>208</v>
      </c>
      <c r="S136" s="158" t="str">
        <f>MID(PAA[[#This Row],[Meta Proyecto de Inversión]],1,4)</f>
        <v>8126</v>
      </c>
      <c r="T136" s="158" t="str">
        <f>MID(PAA[[#This Row],[Meta Proyecto de Inversión]],6,1)</f>
        <v>9</v>
      </c>
      <c r="U136" s="159" t="str">
        <f>IFERROR(VLOOKUP(N136,TD!$B$50:$F$54,2,0)," ")</f>
        <v>O230117</v>
      </c>
      <c r="V136" s="159" t="str">
        <f>IFERROR(VLOOKUP(N136,TD!$B$50:$F$54,3,0)," ")</f>
        <v>4599</v>
      </c>
      <c r="W136" s="159">
        <f>IFERROR(VLOOKUP(N136,TD!$B$50:$F$54,4,0)," ")</f>
        <v>20240207</v>
      </c>
      <c r="X136" s="158" t="s">
        <v>174</v>
      </c>
      <c r="Y136" s="159" t="str">
        <f>IFERROR(VLOOKUP(X136,TD!$J$51:$K$64,2,0)," ")</f>
        <v>Infraestructura física, mantenimiento y dotación (Sedes construidas, mantenidas reforzadas)</v>
      </c>
      <c r="Z136" s="160" t="str">
        <f>CONCATENATE(X136,"-",Y136)</f>
        <v>08-Infraestructura física, mantenimiento y dotación (Sedes construidas, mantenidas reforzadas)</v>
      </c>
      <c r="AA136" s="158" t="s">
        <v>227</v>
      </c>
      <c r="AB136" s="159" t="str">
        <f>IFERROR(VLOOKUP(AA136,TD!$N$51:$O$66,2,0)," ")</f>
        <v>Sedes mantenidas</v>
      </c>
      <c r="AC136" s="160" t="str">
        <f>CONCATENATE(AA136,"_",AB136)</f>
        <v>016_Sedes mantenidas</v>
      </c>
      <c r="AD136" s="160" t="str">
        <f>CONCATENATE(Z136," ",AC136)</f>
        <v>08-Infraestructura física, mantenimiento y dotación (Sedes construidas, mantenidas reforzadas) 016_Sedes mantenidas</v>
      </c>
      <c r="AE136" s="159" t="str">
        <f>CONCATENATE(U136,V136,W136,X136,AA136)</f>
        <v>O23011745992024020708016</v>
      </c>
      <c r="AF136" s="159" t="str">
        <f>IFERROR(VLOOKUP(AD136,TD!$J$66:$K$89,2,0)," ")</f>
        <v>PM/0131/0108/45990160207</v>
      </c>
      <c r="AG136" s="118" t="s">
        <v>385</v>
      </c>
      <c r="AH136" s="158" t="s">
        <v>193</v>
      </c>
      <c r="AI136" s="161" t="str">
        <f>CONCATENATE(PAA[[#This Row],[Id Interno]],"-",PAA[[#This Row],[tipo de Contrato (TH talento humano - B/S bienes y/o servicios)]],"-",S136,"-",T136,"-",PAA[[#This Row],[Objeto de la contratación]])</f>
        <v>20260096-TH-8126-9-Prestar los servicios profesionales en la Oficina de Control Interno para el desarrollo del Plan Anual de Auditorías.</v>
      </c>
    </row>
    <row r="137" spans="2:35" ht="56" x14ac:dyDescent="0.35">
      <c r="B137" s="23">
        <v>20260097</v>
      </c>
      <c r="C137" s="99" t="s">
        <v>428</v>
      </c>
      <c r="D137" s="23" t="s">
        <v>105</v>
      </c>
      <c r="E137" s="23" t="s">
        <v>363</v>
      </c>
      <c r="F137" s="155" t="s">
        <v>145</v>
      </c>
      <c r="G137" s="156" t="s">
        <v>373</v>
      </c>
      <c r="H137" s="157">
        <v>11</v>
      </c>
      <c r="I137" s="157">
        <v>0</v>
      </c>
      <c r="J137" s="127">
        <v>43102000</v>
      </c>
      <c r="K137" s="88" t="s">
        <v>398</v>
      </c>
      <c r="L137" s="155" t="s">
        <v>152</v>
      </c>
      <c r="M137" s="158" t="s">
        <v>970</v>
      </c>
      <c r="N137" s="23" t="s">
        <v>197</v>
      </c>
      <c r="O137" s="151" t="s">
        <v>957</v>
      </c>
      <c r="P137" s="155" t="s">
        <v>348</v>
      </c>
      <c r="Q137" s="53">
        <v>80111600</v>
      </c>
      <c r="R137" s="158" t="s">
        <v>208</v>
      </c>
      <c r="S137" s="158" t="str">
        <f>MID(PAA[[#This Row],[Meta Proyecto de Inversión]],1,4)</f>
        <v>8126</v>
      </c>
      <c r="T137" s="158" t="str">
        <f>MID(PAA[[#This Row],[Meta Proyecto de Inversión]],6,1)</f>
        <v>9</v>
      </c>
      <c r="U137" s="159" t="str">
        <f>IFERROR(VLOOKUP(N137,TD!$B$50:$F$54,2,0)," ")</f>
        <v>O230117</v>
      </c>
      <c r="V137" s="159" t="str">
        <f>IFERROR(VLOOKUP(N137,TD!$B$50:$F$54,3,0)," ")</f>
        <v>4599</v>
      </c>
      <c r="W137" s="159">
        <f>IFERROR(VLOOKUP(N137,TD!$B$50:$F$54,4,0)," ")</f>
        <v>20240207</v>
      </c>
      <c r="X137" s="158" t="s">
        <v>174</v>
      </c>
      <c r="Y137" s="159" t="str">
        <f>IFERROR(VLOOKUP(X137,TD!$J$51:$K$64,2,0)," ")</f>
        <v>Infraestructura física, mantenimiento y dotación (Sedes construidas, mantenidas reforzadas)</v>
      </c>
      <c r="Z137" s="160" t="str">
        <f>CONCATENATE(X137,"-",Y137)</f>
        <v>08-Infraestructura física, mantenimiento y dotación (Sedes construidas, mantenidas reforzadas)</v>
      </c>
      <c r="AA137" s="158" t="s">
        <v>227</v>
      </c>
      <c r="AB137" s="159" t="str">
        <f>IFERROR(VLOOKUP(AA137,TD!$N$51:$O$66,2,0)," ")</f>
        <v>Sedes mantenidas</v>
      </c>
      <c r="AC137" s="160" t="str">
        <f>CONCATENATE(AA137,"_",AB137)</f>
        <v>016_Sedes mantenidas</v>
      </c>
      <c r="AD137" s="160" t="str">
        <f>CONCATENATE(Z137," ",AC137)</f>
        <v>08-Infraestructura física, mantenimiento y dotación (Sedes construidas, mantenidas reforzadas) 016_Sedes mantenidas</v>
      </c>
      <c r="AE137" s="159" t="str">
        <f>CONCATENATE(U137,V137,W137,X137,AA137)</f>
        <v>O23011745992024020708016</v>
      </c>
      <c r="AF137" s="159" t="str">
        <f>IFERROR(VLOOKUP(AD137,TD!$J$66:$K$89,2,0)," ")</f>
        <v>PM/0131/0108/45990160207</v>
      </c>
      <c r="AG137" s="118" t="s">
        <v>385</v>
      </c>
      <c r="AH137" s="158" t="s">
        <v>193</v>
      </c>
      <c r="AI137" s="161" t="str">
        <f>CONCATENATE(PAA[[#This Row],[Id Interno]],"-",PAA[[#This Row],[tipo de Contrato (TH talento humano - B/S bienes y/o servicios)]],"-",S137,"-",T137,"-",PAA[[#This Row],[Objeto de la contratación]])</f>
        <v>20260097-TH-8126-9-Prestar servicios de apoyo a la gestión como técnico en la Oficina de Control Interno para ejecutar procesos y procedimientos administrativos y asistenciales teniendo en cuenta el Plan Anual de Auditorías.</v>
      </c>
    </row>
    <row r="138" spans="2:35" ht="56" x14ac:dyDescent="0.35">
      <c r="B138" s="23">
        <v>20260098</v>
      </c>
      <c r="C138" s="99" t="s">
        <v>403</v>
      </c>
      <c r="D138" s="23" t="s">
        <v>105</v>
      </c>
      <c r="E138" s="23" t="s">
        <v>363</v>
      </c>
      <c r="F138" s="155" t="s">
        <v>144</v>
      </c>
      <c r="G138" s="156" t="s">
        <v>374</v>
      </c>
      <c r="H138" s="157">
        <v>9</v>
      </c>
      <c r="I138" s="157">
        <v>0</v>
      </c>
      <c r="J138" s="127">
        <v>90000000</v>
      </c>
      <c r="K138" s="88" t="s">
        <v>398</v>
      </c>
      <c r="L138" s="155" t="s">
        <v>153</v>
      </c>
      <c r="M138" s="158" t="s">
        <v>420</v>
      </c>
      <c r="N138" s="23" t="s">
        <v>197</v>
      </c>
      <c r="O138" s="151" t="s">
        <v>957</v>
      </c>
      <c r="P138" s="155" t="s">
        <v>348</v>
      </c>
      <c r="Q138" s="53">
        <v>80111600</v>
      </c>
      <c r="R138" s="158" t="s">
        <v>208</v>
      </c>
      <c r="S138" s="158" t="str">
        <f>MID(PAA[[#This Row],[Meta Proyecto de Inversión]],1,4)</f>
        <v>8126</v>
      </c>
      <c r="T138" s="158" t="str">
        <f>MID(PAA[[#This Row],[Meta Proyecto de Inversión]],6,1)</f>
        <v>9</v>
      </c>
      <c r="U138" s="159" t="str">
        <f>IFERROR(VLOOKUP(N138,TD!$B$50:$F$54,2,0)," ")</f>
        <v>O230117</v>
      </c>
      <c r="V138" s="159" t="str">
        <f>IFERROR(VLOOKUP(N138,TD!$B$50:$F$54,3,0)," ")</f>
        <v>4599</v>
      </c>
      <c r="W138" s="159">
        <f>IFERROR(VLOOKUP(N138,TD!$B$50:$F$54,4,0)," ")</f>
        <v>20240207</v>
      </c>
      <c r="X138" s="158" t="s">
        <v>174</v>
      </c>
      <c r="Y138" s="159" t="str">
        <f>IFERROR(VLOOKUP(X138,TD!$J$51:$K$64,2,0)," ")</f>
        <v>Infraestructura física, mantenimiento y dotación (Sedes construidas, mantenidas reforzadas)</v>
      </c>
      <c r="Z138" s="160" t="str">
        <f>CONCATENATE(X138,"-",Y138)</f>
        <v>08-Infraestructura física, mantenimiento y dotación (Sedes construidas, mantenidas reforzadas)</v>
      </c>
      <c r="AA138" s="158" t="s">
        <v>227</v>
      </c>
      <c r="AB138" s="159" t="str">
        <f>IFERROR(VLOOKUP(AA138,TD!$N$51:$O$66,2,0)," ")</f>
        <v>Sedes mantenidas</v>
      </c>
      <c r="AC138" s="160" t="str">
        <f>CONCATENATE(AA138,"_",AB138)</f>
        <v>016_Sedes mantenidas</v>
      </c>
      <c r="AD138" s="160" t="str">
        <f>CONCATENATE(Z138," ",AC138)</f>
        <v>08-Infraestructura física, mantenimiento y dotación (Sedes construidas, mantenidas reforzadas) 016_Sedes mantenidas</v>
      </c>
      <c r="AE138" s="159" t="str">
        <f>CONCATENATE(U138,V138,W138,X138,AA138)</f>
        <v>O23011745992024020708016</v>
      </c>
      <c r="AF138" s="159" t="str">
        <f>IFERROR(VLOOKUP(AD138,TD!$J$66:$K$89,2,0)," ")</f>
        <v>PM/0131/0108/45990160207</v>
      </c>
      <c r="AG138" s="118" t="s">
        <v>385</v>
      </c>
      <c r="AH138" s="158" t="s">
        <v>193</v>
      </c>
      <c r="AI138" s="161" t="str">
        <f>CONCATENATE(PAA[[#This Row],[Id Interno]],"-",PAA[[#This Row],[tipo de Contrato (TH talento humano - B/S bienes y/o servicios)]],"-",S138,"-",T138,"-",PAA[[#This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39" spans="2:35" ht="56" x14ac:dyDescent="0.35">
      <c r="B139" s="23">
        <v>20260099</v>
      </c>
      <c r="C139" s="99" t="s">
        <v>627</v>
      </c>
      <c r="D139" s="23" t="s">
        <v>105</v>
      </c>
      <c r="E139" s="23" t="s">
        <v>363</v>
      </c>
      <c r="F139" s="155" t="s">
        <v>144</v>
      </c>
      <c r="G139" s="156" t="s">
        <v>374</v>
      </c>
      <c r="H139" s="157">
        <v>8</v>
      </c>
      <c r="I139" s="157">
        <v>0</v>
      </c>
      <c r="J139" s="127">
        <v>72000000</v>
      </c>
      <c r="K139" s="88" t="s">
        <v>398</v>
      </c>
      <c r="L139" s="155" t="s">
        <v>153</v>
      </c>
      <c r="M139" s="158" t="s">
        <v>420</v>
      </c>
      <c r="N139" s="23" t="s">
        <v>197</v>
      </c>
      <c r="O139" s="151" t="s">
        <v>957</v>
      </c>
      <c r="P139" s="155" t="s">
        <v>348</v>
      </c>
      <c r="Q139" s="53">
        <v>80111600</v>
      </c>
      <c r="R139" s="158" t="s">
        <v>208</v>
      </c>
      <c r="S139" s="158" t="str">
        <f>MID(PAA[[#This Row],[Meta Proyecto de Inversión]],1,4)</f>
        <v>8126</v>
      </c>
      <c r="T139" s="158" t="str">
        <f>MID(PAA[[#This Row],[Meta Proyecto de Inversión]],6,1)</f>
        <v>9</v>
      </c>
      <c r="U139" s="159" t="str">
        <f>IFERROR(VLOOKUP(N139,TD!$B$50:$F$54,2,0)," ")</f>
        <v>O230117</v>
      </c>
      <c r="V139" s="159" t="str">
        <f>IFERROR(VLOOKUP(N139,TD!$B$50:$F$54,3,0)," ")</f>
        <v>4599</v>
      </c>
      <c r="W139" s="159">
        <f>IFERROR(VLOOKUP(N139,TD!$B$50:$F$54,4,0)," ")</f>
        <v>20240207</v>
      </c>
      <c r="X139" s="158" t="s">
        <v>174</v>
      </c>
      <c r="Y139" s="159" t="str">
        <f>IFERROR(VLOOKUP(X139,TD!$J$51:$K$64,2,0)," ")</f>
        <v>Infraestructura física, mantenimiento y dotación (Sedes construidas, mantenidas reforzadas)</v>
      </c>
      <c r="Z139" s="160" t="str">
        <f>CONCATENATE(X139,"-",Y139)</f>
        <v>08-Infraestructura física, mantenimiento y dotación (Sedes construidas, mantenidas reforzadas)</v>
      </c>
      <c r="AA139" s="158" t="s">
        <v>227</v>
      </c>
      <c r="AB139" s="159" t="str">
        <f>IFERROR(VLOOKUP(AA139,TD!$N$51:$O$66,2,0)," ")</f>
        <v>Sedes mantenidas</v>
      </c>
      <c r="AC139" s="160" t="str">
        <f>CONCATENATE(AA139,"_",AB139)</f>
        <v>016_Sedes mantenidas</v>
      </c>
      <c r="AD139" s="160" t="str">
        <f>CONCATENATE(Z139," ",AC139)</f>
        <v>08-Infraestructura física, mantenimiento y dotación (Sedes construidas, mantenidas reforzadas) 016_Sedes mantenidas</v>
      </c>
      <c r="AE139" s="159" t="str">
        <f>CONCATENATE(U139,V139,W139,X139,AA139)</f>
        <v>O23011745992024020708016</v>
      </c>
      <c r="AF139" s="159" t="str">
        <f>IFERROR(VLOOKUP(AD139,TD!$J$66:$K$89,2,0)," ")</f>
        <v>PM/0131/0108/45990160207</v>
      </c>
      <c r="AG139" s="118" t="s">
        <v>385</v>
      </c>
      <c r="AH139" s="158" t="s">
        <v>193</v>
      </c>
      <c r="AI139" s="161" t="str">
        <f>CONCATENATE(PAA[[#This Row],[Id Interno]],"-",PAA[[#This Row],[tipo de Contrato (TH talento humano - B/S bienes y/o servicios)]],"-",S139,"-",T139,"-",PAA[[#This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40" spans="2:35" ht="98" x14ac:dyDescent="0.35">
      <c r="B140" s="23">
        <v>20260100</v>
      </c>
      <c r="C140" s="99" t="s">
        <v>628</v>
      </c>
      <c r="D140" s="23" t="s">
        <v>105</v>
      </c>
      <c r="E140" s="23" t="s">
        <v>363</v>
      </c>
      <c r="F140" s="155" t="s">
        <v>144</v>
      </c>
      <c r="G140" s="156" t="s">
        <v>374</v>
      </c>
      <c r="H140" s="157">
        <v>8</v>
      </c>
      <c r="I140" s="157">
        <v>0</v>
      </c>
      <c r="J140" s="127">
        <v>29600000</v>
      </c>
      <c r="K140" s="88" t="s">
        <v>398</v>
      </c>
      <c r="L140" s="155" t="s">
        <v>153</v>
      </c>
      <c r="M140" s="158" t="s">
        <v>420</v>
      </c>
      <c r="N140" s="23" t="s">
        <v>197</v>
      </c>
      <c r="O140" s="151" t="s">
        <v>957</v>
      </c>
      <c r="P140" s="155" t="s">
        <v>348</v>
      </c>
      <c r="Q140" s="53">
        <v>80111600</v>
      </c>
      <c r="R140" s="158" t="s">
        <v>208</v>
      </c>
      <c r="S140" s="158" t="str">
        <f>MID(PAA[[#This Row],[Meta Proyecto de Inversión]],1,4)</f>
        <v>8126</v>
      </c>
      <c r="T140" s="158" t="str">
        <f>MID(PAA[[#This Row],[Meta Proyecto de Inversión]],6,1)</f>
        <v>9</v>
      </c>
      <c r="U140" s="159" t="str">
        <f>IFERROR(VLOOKUP(N140,TD!$B$50:$F$54,2,0)," ")</f>
        <v>O230117</v>
      </c>
      <c r="V140" s="159" t="str">
        <f>IFERROR(VLOOKUP(N140,TD!$B$50:$F$54,3,0)," ")</f>
        <v>4599</v>
      </c>
      <c r="W140" s="159">
        <f>IFERROR(VLOOKUP(N140,TD!$B$50:$F$54,4,0)," ")</f>
        <v>20240207</v>
      </c>
      <c r="X140" s="158" t="s">
        <v>174</v>
      </c>
      <c r="Y140" s="159" t="str">
        <f>IFERROR(VLOOKUP(X140,TD!$J$51:$K$64,2,0)," ")</f>
        <v>Infraestructura física, mantenimiento y dotación (Sedes construidas, mantenidas reforzadas)</v>
      </c>
      <c r="Z140" s="160" t="str">
        <f>CONCATENATE(X140,"-",Y140)</f>
        <v>08-Infraestructura física, mantenimiento y dotación (Sedes construidas, mantenidas reforzadas)</v>
      </c>
      <c r="AA140" s="158" t="s">
        <v>227</v>
      </c>
      <c r="AB140" s="159" t="str">
        <f>IFERROR(VLOOKUP(AA140,TD!$N$51:$O$66,2,0)," ")</f>
        <v>Sedes mantenidas</v>
      </c>
      <c r="AC140" s="160" t="str">
        <f>CONCATENATE(AA140,"_",AB140)</f>
        <v>016_Sedes mantenidas</v>
      </c>
      <c r="AD140" s="160" t="str">
        <f>CONCATENATE(Z140," ",AC140)</f>
        <v>08-Infraestructura física, mantenimiento y dotación (Sedes construidas, mantenidas reforzadas) 016_Sedes mantenidas</v>
      </c>
      <c r="AE140" s="159" t="str">
        <f>CONCATENATE(U140,V140,W140,X140,AA140)</f>
        <v>O23011745992024020708016</v>
      </c>
      <c r="AF140" s="159" t="str">
        <f>IFERROR(VLOOKUP(AD140,TD!$J$66:$K$89,2,0)," ")</f>
        <v>PM/0131/0108/45990160207</v>
      </c>
      <c r="AG140" s="118" t="s">
        <v>385</v>
      </c>
      <c r="AH140" s="158" t="s">
        <v>193</v>
      </c>
      <c r="AI140" s="161" t="str">
        <f>CONCATENATE(PAA[[#This Row],[Id Interno]],"-",PAA[[#This Row],[tipo de Contrato (TH talento humano - B/S bienes y/o servicios)]],"-",S140,"-",T140,"-",PAA[[#This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141" spans="2:35" ht="98" x14ac:dyDescent="0.35">
      <c r="B141" s="23">
        <v>20260101</v>
      </c>
      <c r="C141" s="99" t="s">
        <v>629</v>
      </c>
      <c r="D141" s="23" t="s">
        <v>105</v>
      </c>
      <c r="E141" s="23" t="s">
        <v>363</v>
      </c>
      <c r="F141" s="155" t="s">
        <v>144</v>
      </c>
      <c r="G141" s="156" t="s">
        <v>374</v>
      </c>
      <c r="H141" s="157">
        <v>8</v>
      </c>
      <c r="I141" s="157">
        <v>0</v>
      </c>
      <c r="J141" s="127">
        <v>52000000</v>
      </c>
      <c r="K141" s="88" t="s">
        <v>398</v>
      </c>
      <c r="L141" s="155" t="s">
        <v>153</v>
      </c>
      <c r="M141" s="158" t="s">
        <v>420</v>
      </c>
      <c r="N141" s="23" t="s">
        <v>197</v>
      </c>
      <c r="O141" s="151" t="s">
        <v>957</v>
      </c>
      <c r="P141" s="155" t="s">
        <v>348</v>
      </c>
      <c r="Q141" s="53">
        <v>80111600</v>
      </c>
      <c r="R141" s="158" t="s">
        <v>208</v>
      </c>
      <c r="S141" s="158" t="str">
        <f>MID(PAA[[#This Row],[Meta Proyecto de Inversión]],1,4)</f>
        <v>8126</v>
      </c>
      <c r="T141" s="158" t="str">
        <f>MID(PAA[[#This Row],[Meta Proyecto de Inversión]],6,1)</f>
        <v>9</v>
      </c>
      <c r="U141" s="159" t="str">
        <f>IFERROR(VLOOKUP(N141,TD!$B$50:$F$54,2,0)," ")</f>
        <v>O230117</v>
      </c>
      <c r="V141" s="159" t="str">
        <f>IFERROR(VLOOKUP(N141,TD!$B$50:$F$54,3,0)," ")</f>
        <v>4599</v>
      </c>
      <c r="W141" s="159">
        <f>IFERROR(VLOOKUP(N141,TD!$B$50:$F$54,4,0)," ")</f>
        <v>20240207</v>
      </c>
      <c r="X141" s="158" t="s">
        <v>174</v>
      </c>
      <c r="Y141" s="159" t="str">
        <f>IFERROR(VLOOKUP(X141,TD!$J$51:$K$64,2,0)," ")</f>
        <v>Infraestructura física, mantenimiento y dotación (Sedes construidas, mantenidas reforzadas)</v>
      </c>
      <c r="Z141" s="160" t="str">
        <f>CONCATENATE(X141,"-",Y141)</f>
        <v>08-Infraestructura física, mantenimiento y dotación (Sedes construidas, mantenidas reforzadas)</v>
      </c>
      <c r="AA141" s="158" t="s">
        <v>227</v>
      </c>
      <c r="AB141" s="159" t="str">
        <f>IFERROR(VLOOKUP(AA141,TD!$N$51:$O$66,2,0)," ")</f>
        <v>Sedes mantenidas</v>
      </c>
      <c r="AC141" s="160" t="str">
        <f>CONCATENATE(AA141,"_",AB141)</f>
        <v>016_Sedes mantenidas</v>
      </c>
      <c r="AD141" s="160" t="str">
        <f>CONCATENATE(Z141," ",AC141)</f>
        <v>08-Infraestructura física, mantenimiento y dotación (Sedes construidas, mantenidas reforzadas) 016_Sedes mantenidas</v>
      </c>
      <c r="AE141" s="159" t="str">
        <f>CONCATENATE(U141,V141,W141,X141,AA141)</f>
        <v>O23011745992024020708016</v>
      </c>
      <c r="AF141" s="159" t="str">
        <f>IFERROR(VLOOKUP(AD141,TD!$J$66:$K$89,2,0)," ")</f>
        <v>PM/0131/0108/45990160207</v>
      </c>
      <c r="AG141" s="118" t="s">
        <v>385</v>
      </c>
      <c r="AH141" s="158" t="s">
        <v>193</v>
      </c>
      <c r="AI141" s="161" t="str">
        <f>CONCATENATE(PAA[[#This Row],[Id Interno]],"-",PAA[[#This Row],[tipo de Contrato (TH talento humano - B/S bienes y/o servicios)]],"-",S141,"-",T141,"-",PAA[[#This Row],[Objeto de la contratación]])</f>
        <v>20260101-TH-8126-9-Prestar servicios profesionales jurídicos para apoyar las actividades de defensa Judicial y de procesos penales que adelante la UAE Cuerpo Oficial de Bomberos de Bogotá</v>
      </c>
    </row>
    <row r="142" spans="2:35" ht="84" x14ac:dyDescent="0.35">
      <c r="B142" s="23">
        <v>20260102</v>
      </c>
      <c r="C142" s="99" t="s">
        <v>408</v>
      </c>
      <c r="D142" s="23" t="s">
        <v>105</v>
      </c>
      <c r="E142" s="23" t="s">
        <v>363</v>
      </c>
      <c r="F142" s="155" t="s">
        <v>144</v>
      </c>
      <c r="G142" s="156" t="s">
        <v>374</v>
      </c>
      <c r="H142" s="157">
        <v>9</v>
      </c>
      <c r="I142" s="157">
        <v>0</v>
      </c>
      <c r="J142" s="127">
        <v>67500000</v>
      </c>
      <c r="K142" s="88" t="s">
        <v>398</v>
      </c>
      <c r="L142" s="155" t="s">
        <v>153</v>
      </c>
      <c r="M142" s="158" t="s">
        <v>420</v>
      </c>
      <c r="N142" s="23" t="s">
        <v>197</v>
      </c>
      <c r="O142" s="151" t="s">
        <v>957</v>
      </c>
      <c r="P142" s="155" t="s">
        <v>348</v>
      </c>
      <c r="Q142" s="53">
        <v>80111600</v>
      </c>
      <c r="R142" s="158" t="s">
        <v>208</v>
      </c>
      <c r="S142" s="158" t="str">
        <f>MID(PAA[[#This Row],[Meta Proyecto de Inversión]],1,4)</f>
        <v>8126</v>
      </c>
      <c r="T142" s="158" t="str">
        <f>MID(PAA[[#This Row],[Meta Proyecto de Inversión]],6,1)</f>
        <v>9</v>
      </c>
      <c r="U142" s="159" t="str">
        <f>IFERROR(VLOOKUP(N142,TD!$B$50:$F$54,2,0)," ")</f>
        <v>O230117</v>
      </c>
      <c r="V142" s="159" t="str">
        <f>IFERROR(VLOOKUP(N142,TD!$B$50:$F$54,3,0)," ")</f>
        <v>4599</v>
      </c>
      <c r="W142" s="159">
        <f>IFERROR(VLOOKUP(N142,TD!$B$50:$F$54,4,0)," ")</f>
        <v>20240207</v>
      </c>
      <c r="X142" s="158" t="s">
        <v>174</v>
      </c>
      <c r="Y142" s="159" t="str">
        <f>IFERROR(VLOOKUP(X142,TD!$J$51:$K$64,2,0)," ")</f>
        <v>Infraestructura física, mantenimiento y dotación (Sedes construidas, mantenidas reforzadas)</v>
      </c>
      <c r="Z142" s="160" t="str">
        <f>CONCATENATE(X142,"-",Y142)</f>
        <v>08-Infraestructura física, mantenimiento y dotación (Sedes construidas, mantenidas reforzadas)</v>
      </c>
      <c r="AA142" s="158" t="s">
        <v>227</v>
      </c>
      <c r="AB142" s="159" t="str">
        <f>IFERROR(VLOOKUP(AA142,TD!$N$51:$O$66,2,0)," ")</f>
        <v>Sedes mantenidas</v>
      </c>
      <c r="AC142" s="160" t="str">
        <f>CONCATENATE(AA142,"_",AB142)</f>
        <v>016_Sedes mantenidas</v>
      </c>
      <c r="AD142" s="160" t="str">
        <f>CONCATENATE(Z142," ",AC142)</f>
        <v>08-Infraestructura física, mantenimiento y dotación (Sedes construidas, mantenidas reforzadas) 016_Sedes mantenidas</v>
      </c>
      <c r="AE142" s="159" t="str">
        <f>CONCATENATE(U142,V142,W142,X142,AA142)</f>
        <v>O23011745992024020708016</v>
      </c>
      <c r="AF142" s="159" t="str">
        <f>IFERROR(VLOOKUP(AD142,TD!$J$66:$K$89,2,0)," ")</f>
        <v>PM/0131/0108/45990160207</v>
      </c>
      <c r="AG142" s="118" t="s">
        <v>385</v>
      </c>
      <c r="AH142" s="158" t="s">
        <v>193</v>
      </c>
      <c r="AI142" s="161" t="str">
        <f>CONCATENATE(PAA[[#This Row],[Id Interno]],"-",PAA[[#This Row],[tipo de Contrato (TH talento humano - B/S bienes y/o servicios)]],"-",S142,"-",T142,"-",PAA[[#This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43" spans="2:35" ht="98" x14ac:dyDescent="0.35">
      <c r="B143" s="23">
        <v>20260103</v>
      </c>
      <c r="C143" s="99" t="s">
        <v>410</v>
      </c>
      <c r="D143" s="23" t="s">
        <v>105</v>
      </c>
      <c r="E143" s="23" t="s">
        <v>363</v>
      </c>
      <c r="F143" s="155" t="s">
        <v>144</v>
      </c>
      <c r="G143" s="156" t="s">
        <v>374</v>
      </c>
      <c r="H143" s="157">
        <v>8</v>
      </c>
      <c r="I143" s="157">
        <v>0</v>
      </c>
      <c r="J143" s="127">
        <v>53600000</v>
      </c>
      <c r="K143" s="88" t="s">
        <v>398</v>
      </c>
      <c r="L143" s="155" t="s">
        <v>153</v>
      </c>
      <c r="M143" s="158" t="s">
        <v>420</v>
      </c>
      <c r="N143" s="23" t="s">
        <v>197</v>
      </c>
      <c r="O143" s="151" t="s">
        <v>957</v>
      </c>
      <c r="P143" s="155" t="s">
        <v>348</v>
      </c>
      <c r="Q143" s="53">
        <v>80111600</v>
      </c>
      <c r="R143" s="158" t="s">
        <v>208</v>
      </c>
      <c r="S143" s="158" t="str">
        <f>MID(PAA[[#This Row],[Meta Proyecto de Inversión]],1,4)</f>
        <v>8126</v>
      </c>
      <c r="T143" s="158" t="str">
        <f>MID(PAA[[#This Row],[Meta Proyecto de Inversión]],6,1)</f>
        <v>9</v>
      </c>
      <c r="U143" s="159" t="str">
        <f>IFERROR(VLOOKUP(N143,TD!$B$50:$F$54,2,0)," ")</f>
        <v>O230117</v>
      </c>
      <c r="V143" s="159" t="str">
        <f>IFERROR(VLOOKUP(N143,TD!$B$50:$F$54,3,0)," ")</f>
        <v>4599</v>
      </c>
      <c r="W143" s="159">
        <f>IFERROR(VLOOKUP(N143,TD!$B$50:$F$54,4,0)," ")</f>
        <v>20240207</v>
      </c>
      <c r="X143" s="158" t="s">
        <v>174</v>
      </c>
      <c r="Y143" s="159" t="str">
        <f>IFERROR(VLOOKUP(X143,TD!$J$51:$K$64,2,0)," ")</f>
        <v>Infraestructura física, mantenimiento y dotación (Sedes construidas, mantenidas reforzadas)</v>
      </c>
      <c r="Z143" s="160" t="str">
        <f>CONCATENATE(X143,"-",Y143)</f>
        <v>08-Infraestructura física, mantenimiento y dotación (Sedes construidas, mantenidas reforzadas)</v>
      </c>
      <c r="AA143" s="158" t="s">
        <v>227</v>
      </c>
      <c r="AB143" s="159" t="str">
        <f>IFERROR(VLOOKUP(AA143,TD!$N$51:$O$66,2,0)," ")</f>
        <v>Sedes mantenidas</v>
      </c>
      <c r="AC143" s="160" t="str">
        <f>CONCATENATE(AA143,"_",AB143)</f>
        <v>016_Sedes mantenidas</v>
      </c>
      <c r="AD143" s="160" t="str">
        <f>CONCATENATE(Z143," ",AC143)</f>
        <v>08-Infraestructura física, mantenimiento y dotación (Sedes construidas, mantenidas reforzadas) 016_Sedes mantenidas</v>
      </c>
      <c r="AE143" s="159" t="str">
        <f>CONCATENATE(U143,V143,W143,X143,AA143)</f>
        <v>O23011745992024020708016</v>
      </c>
      <c r="AF143" s="159" t="str">
        <f>IFERROR(VLOOKUP(AD143,TD!$J$66:$K$89,2,0)," ")</f>
        <v>PM/0131/0108/45990160207</v>
      </c>
      <c r="AG143" s="118" t="s">
        <v>385</v>
      </c>
      <c r="AH143" s="158" t="s">
        <v>193</v>
      </c>
      <c r="AI143" s="161" t="str">
        <f>CONCATENATE(PAA[[#This Row],[Id Interno]],"-",PAA[[#This Row],[tipo de Contrato (TH talento humano - B/S bienes y/o servicios)]],"-",S143,"-",T143,"-",PAA[[#This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4" spans="2:35" ht="98" x14ac:dyDescent="0.35">
      <c r="B144" s="23">
        <v>20260104</v>
      </c>
      <c r="C144" s="99" t="s">
        <v>410</v>
      </c>
      <c r="D144" s="23" t="s">
        <v>105</v>
      </c>
      <c r="E144" s="23" t="s">
        <v>363</v>
      </c>
      <c r="F144" s="155" t="s">
        <v>144</v>
      </c>
      <c r="G144" s="156" t="s">
        <v>374</v>
      </c>
      <c r="H144" s="157">
        <v>4</v>
      </c>
      <c r="I144" s="157">
        <v>0</v>
      </c>
      <c r="J144" s="127">
        <v>24800000</v>
      </c>
      <c r="K144" s="88" t="s">
        <v>398</v>
      </c>
      <c r="L144" s="155" t="s">
        <v>153</v>
      </c>
      <c r="M144" s="158" t="s">
        <v>420</v>
      </c>
      <c r="N144" s="23" t="s">
        <v>197</v>
      </c>
      <c r="O144" s="151" t="s">
        <v>957</v>
      </c>
      <c r="P144" s="155" t="s">
        <v>348</v>
      </c>
      <c r="Q144" s="53">
        <v>80111600</v>
      </c>
      <c r="R144" s="158" t="s">
        <v>208</v>
      </c>
      <c r="S144" s="158" t="str">
        <f>MID(PAA[[#This Row],[Meta Proyecto de Inversión]],1,4)</f>
        <v>8126</v>
      </c>
      <c r="T144" s="158" t="str">
        <f>MID(PAA[[#This Row],[Meta Proyecto de Inversión]],6,1)</f>
        <v>9</v>
      </c>
      <c r="U144" s="159" t="str">
        <f>IFERROR(VLOOKUP(N144,TD!$B$50:$F$54,2,0)," ")</f>
        <v>O230117</v>
      </c>
      <c r="V144" s="159" t="str">
        <f>IFERROR(VLOOKUP(N144,TD!$B$50:$F$54,3,0)," ")</f>
        <v>4599</v>
      </c>
      <c r="W144" s="159">
        <f>IFERROR(VLOOKUP(N144,TD!$B$50:$F$54,4,0)," ")</f>
        <v>20240207</v>
      </c>
      <c r="X144" s="158" t="s">
        <v>174</v>
      </c>
      <c r="Y144" s="159" t="str">
        <f>IFERROR(VLOOKUP(X144,TD!$J$51:$K$64,2,0)," ")</f>
        <v>Infraestructura física, mantenimiento y dotación (Sedes construidas, mantenidas reforzadas)</v>
      </c>
      <c r="Z144" s="160" t="str">
        <f>CONCATENATE(X144,"-",Y144)</f>
        <v>08-Infraestructura física, mantenimiento y dotación (Sedes construidas, mantenidas reforzadas)</v>
      </c>
      <c r="AA144" s="158" t="s">
        <v>227</v>
      </c>
      <c r="AB144" s="159" t="str">
        <f>IFERROR(VLOOKUP(AA144,TD!$N$51:$O$66,2,0)," ")</f>
        <v>Sedes mantenidas</v>
      </c>
      <c r="AC144" s="160" t="str">
        <f>CONCATENATE(AA144,"_",AB144)</f>
        <v>016_Sedes mantenidas</v>
      </c>
      <c r="AD144" s="160" t="str">
        <f>CONCATENATE(Z144," ",AC144)</f>
        <v>08-Infraestructura física, mantenimiento y dotación (Sedes construidas, mantenidas reforzadas) 016_Sedes mantenidas</v>
      </c>
      <c r="AE144" s="159" t="str">
        <f>CONCATENATE(U144,V144,W144,X144,AA144)</f>
        <v>O23011745992024020708016</v>
      </c>
      <c r="AF144" s="159" t="str">
        <f>IFERROR(VLOOKUP(AD144,TD!$J$66:$K$89,2,0)," ")</f>
        <v>PM/0131/0108/45990160207</v>
      </c>
      <c r="AG144" s="118" t="s">
        <v>385</v>
      </c>
      <c r="AH144" s="158" t="s">
        <v>193</v>
      </c>
      <c r="AI144" s="161" t="str">
        <f>CONCATENATE(PAA[[#This Row],[Id Interno]],"-",PAA[[#This Row],[tipo de Contrato (TH talento humano - B/S bienes y/o servicios)]],"-",S144,"-",T144,"-",PAA[[#This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5" spans="2:35" ht="70" x14ac:dyDescent="0.35">
      <c r="B145" s="23">
        <v>20260105</v>
      </c>
      <c r="C145" s="99" t="s">
        <v>410</v>
      </c>
      <c r="D145" s="23" t="s">
        <v>105</v>
      </c>
      <c r="E145" s="23" t="s">
        <v>363</v>
      </c>
      <c r="F145" s="155" t="s">
        <v>144</v>
      </c>
      <c r="G145" s="156" t="s">
        <v>374</v>
      </c>
      <c r="H145" s="157">
        <v>8</v>
      </c>
      <c r="I145" s="157">
        <v>0</v>
      </c>
      <c r="J145" s="127">
        <v>53600000</v>
      </c>
      <c r="K145" s="88" t="s">
        <v>398</v>
      </c>
      <c r="L145" s="155" t="s">
        <v>153</v>
      </c>
      <c r="M145" s="158" t="s">
        <v>420</v>
      </c>
      <c r="N145" s="23" t="s">
        <v>197</v>
      </c>
      <c r="O145" s="151" t="s">
        <v>957</v>
      </c>
      <c r="P145" s="155" t="s">
        <v>348</v>
      </c>
      <c r="Q145" s="53">
        <v>80111600</v>
      </c>
      <c r="R145" s="158" t="s">
        <v>208</v>
      </c>
      <c r="S145" s="158" t="str">
        <f>MID(PAA[[#This Row],[Meta Proyecto de Inversión]],1,4)</f>
        <v>8126</v>
      </c>
      <c r="T145" s="158" t="str">
        <f>MID(PAA[[#This Row],[Meta Proyecto de Inversión]],6,1)</f>
        <v>9</v>
      </c>
      <c r="U145" s="159" t="str">
        <f>IFERROR(VLOOKUP(N145,TD!$B$50:$F$54,2,0)," ")</f>
        <v>O230117</v>
      </c>
      <c r="V145" s="159" t="str">
        <f>IFERROR(VLOOKUP(N145,TD!$B$50:$F$54,3,0)," ")</f>
        <v>4599</v>
      </c>
      <c r="W145" s="159">
        <f>IFERROR(VLOOKUP(N145,TD!$B$50:$F$54,4,0)," ")</f>
        <v>20240207</v>
      </c>
      <c r="X145" s="158" t="s">
        <v>174</v>
      </c>
      <c r="Y145" s="159" t="str">
        <f>IFERROR(VLOOKUP(X145,TD!$J$51:$K$64,2,0)," ")</f>
        <v>Infraestructura física, mantenimiento y dotación (Sedes construidas, mantenidas reforzadas)</v>
      </c>
      <c r="Z145" s="160" t="str">
        <f>CONCATENATE(X145,"-",Y145)</f>
        <v>08-Infraestructura física, mantenimiento y dotación (Sedes construidas, mantenidas reforzadas)</v>
      </c>
      <c r="AA145" s="158" t="s">
        <v>227</v>
      </c>
      <c r="AB145" s="159" t="str">
        <f>IFERROR(VLOOKUP(AA145,TD!$N$51:$O$66,2,0)," ")</f>
        <v>Sedes mantenidas</v>
      </c>
      <c r="AC145" s="160" t="str">
        <f>CONCATENATE(AA145,"_",AB145)</f>
        <v>016_Sedes mantenidas</v>
      </c>
      <c r="AD145" s="160" t="str">
        <f>CONCATENATE(Z145," ",AC145)</f>
        <v>08-Infraestructura física, mantenimiento y dotación (Sedes construidas, mantenidas reforzadas) 016_Sedes mantenidas</v>
      </c>
      <c r="AE145" s="159" t="str">
        <f>CONCATENATE(U145,V145,W145,X145,AA145)</f>
        <v>O23011745992024020708016</v>
      </c>
      <c r="AF145" s="159" t="str">
        <f>IFERROR(VLOOKUP(AD145,TD!$J$66:$K$89,2,0)," ")</f>
        <v>PM/0131/0108/45990160207</v>
      </c>
      <c r="AG145" s="118" t="s">
        <v>385</v>
      </c>
      <c r="AH145" s="158" t="s">
        <v>193</v>
      </c>
      <c r="AI145" s="161" t="str">
        <f>CONCATENATE(PAA[[#This Row],[Id Interno]],"-",PAA[[#This Row],[tipo de Contrato (TH talento humano - B/S bienes y/o servicios)]],"-",S145,"-",T145,"-",PAA[[#This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6" spans="2:35" ht="84" x14ac:dyDescent="0.35">
      <c r="B146" s="23">
        <v>20260106</v>
      </c>
      <c r="C146" s="99" t="s">
        <v>404</v>
      </c>
      <c r="D146" s="23" t="s">
        <v>105</v>
      </c>
      <c r="E146" s="23" t="s">
        <v>363</v>
      </c>
      <c r="F146" s="155" t="s">
        <v>144</v>
      </c>
      <c r="G146" s="156" t="s">
        <v>374</v>
      </c>
      <c r="H146" s="157">
        <v>9</v>
      </c>
      <c r="I146" s="157">
        <v>0</v>
      </c>
      <c r="J146" s="127">
        <v>94500000</v>
      </c>
      <c r="K146" s="88" t="s">
        <v>398</v>
      </c>
      <c r="L146" s="155" t="s">
        <v>153</v>
      </c>
      <c r="M146" s="158" t="s">
        <v>420</v>
      </c>
      <c r="N146" s="23" t="s">
        <v>197</v>
      </c>
      <c r="O146" s="151" t="s">
        <v>957</v>
      </c>
      <c r="P146" s="155" t="s">
        <v>348</v>
      </c>
      <c r="Q146" s="53">
        <v>80111600</v>
      </c>
      <c r="R146" s="158" t="s">
        <v>208</v>
      </c>
      <c r="S146" s="158" t="str">
        <f>MID(PAA[[#This Row],[Meta Proyecto de Inversión]],1,4)</f>
        <v>8126</v>
      </c>
      <c r="T146" s="158" t="str">
        <f>MID(PAA[[#This Row],[Meta Proyecto de Inversión]],6,1)</f>
        <v>9</v>
      </c>
      <c r="U146" s="159" t="str">
        <f>IFERROR(VLOOKUP(N146,TD!$B$50:$F$54,2,0)," ")</f>
        <v>O230117</v>
      </c>
      <c r="V146" s="159" t="str">
        <f>IFERROR(VLOOKUP(N146,TD!$B$50:$F$54,3,0)," ")</f>
        <v>4599</v>
      </c>
      <c r="W146" s="159">
        <f>IFERROR(VLOOKUP(N146,TD!$B$50:$F$54,4,0)," ")</f>
        <v>20240207</v>
      </c>
      <c r="X146" s="158" t="s">
        <v>174</v>
      </c>
      <c r="Y146" s="159" t="str">
        <f>IFERROR(VLOOKUP(X146,TD!$J$51:$K$64,2,0)," ")</f>
        <v>Infraestructura física, mantenimiento y dotación (Sedes construidas, mantenidas reforzadas)</v>
      </c>
      <c r="Z146" s="160" t="str">
        <f>CONCATENATE(X146,"-",Y146)</f>
        <v>08-Infraestructura física, mantenimiento y dotación (Sedes construidas, mantenidas reforzadas)</v>
      </c>
      <c r="AA146" s="158" t="s">
        <v>227</v>
      </c>
      <c r="AB146" s="159" t="str">
        <f>IFERROR(VLOOKUP(AA146,TD!$N$51:$O$66,2,0)," ")</f>
        <v>Sedes mantenidas</v>
      </c>
      <c r="AC146" s="160" t="str">
        <f>CONCATENATE(AA146,"_",AB146)</f>
        <v>016_Sedes mantenidas</v>
      </c>
      <c r="AD146" s="160" t="str">
        <f>CONCATENATE(Z146," ",AC146)</f>
        <v>08-Infraestructura física, mantenimiento y dotación (Sedes construidas, mantenidas reforzadas) 016_Sedes mantenidas</v>
      </c>
      <c r="AE146" s="159" t="str">
        <f>CONCATENATE(U146,V146,W146,X146,AA146)</f>
        <v>O23011745992024020708016</v>
      </c>
      <c r="AF146" s="159" t="str">
        <f>IFERROR(VLOOKUP(AD146,TD!$J$66:$K$89,2,0)," ")</f>
        <v>PM/0131/0108/45990160207</v>
      </c>
      <c r="AG146" s="118" t="s">
        <v>385</v>
      </c>
      <c r="AH146" s="158" t="s">
        <v>193</v>
      </c>
      <c r="AI146" s="161" t="str">
        <f>CONCATENATE(PAA[[#This Row],[Id Interno]],"-",PAA[[#This Row],[tipo de Contrato (TH talento humano - B/S bienes y/o servicios)]],"-",S146,"-",T146,"-",PAA[[#This Row],[Objeto de la contratación]])</f>
        <v>20260106-TH-8126-9-Prestar los servicios profesionales jurídicos especializados en la Oficina Jurídica que garantice la verificación de la legalidad, en apoyo a cada una de las actuaciones a cargo de esta Oficina.</v>
      </c>
    </row>
    <row r="147" spans="2:35" ht="70" x14ac:dyDescent="0.35">
      <c r="B147" s="23">
        <v>20260107</v>
      </c>
      <c r="C147" s="99" t="s">
        <v>405</v>
      </c>
      <c r="D147" s="23" t="s">
        <v>105</v>
      </c>
      <c r="E147" s="23" t="s">
        <v>363</v>
      </c>
      <c r="F147" s="155" t="s">
        <v>144</v>
      </c>
      <c r="G147" s="156" t="s">
        <v>374</v>
      </c>
      <c r="H147" s="157">
        <v>8</v>
      </c>
      <c r="I147" s="157">
        <v>0</v>
      </c>
      <c r="J147" s="127">
        <v>77200000</v>
      </c>
      <c r="K147" s="88" t="s">
        <v>398</v>
      </c>
      <c r="L147" s="155" t="s">
        <v>153</v>
      </c>
      <c r="M147" s="158" t="s">
        <v>420</v>
      </c>
      <c r="N147" s="23" t="s">
        <v>197</v>
      </c>
      <c r="O147" s="151" t="s">
        <v>957</v>
      </c>
      <c r="P147" s="155" t="s">
        <v>348</v>
      </c>
      <c r="Q147" s="53">
        <v>80111600</v>
      </c>
      <c r="R147" s="158" t="s">
        <v>208</v>
      </c>
      <c r="S147" s="158" t="str">
        <f>MID(PAA[[#This Row],[Meta Proyecto de Inversión]],1,4)</f>
        <v>8126</v>
      </c>
      <c r="T147" s="158" t="str">
        <f>MID(PAA[[#This Row],[Meta Proyecto de Inversión]],6,1)</f>
        <v>9</v>
      </c>
      <c r="U147" s="159" t="str">
        <f>IFERROR(VLOOKUP(N147,TD!$B$50:$F$54,2,0)," ")</f>
        <v>O230117</v>
      </c>
      <c r="V147" s="159" t="str">
        <f>IFERROR(VLOOKUP(N147,TD!$B$50:$F$54,3,0)," ")</f>
        <v>4599</v>
      </c>
      <c r="W147" s="159">
        <f>IFERROR(VLOOKUP(N147,TD!$B$50:$F$54,4,0)," ")</f>
        <v>20240207</v>
      </c>
      <c r="X147" s="158" t="s">
        <v>174</v>
      </c>
      <c r="Y147" s="159" t="str">
        <f>IFERROR(VLOOKUP(X147,TD!$J$51:$K$64,2,0)," ")</f>
        <v>Infraestructura física, mantenimiento y dotación (Sedes construidas, mantenidas reforzadas)</v>
      </c>
      <c r="Z147" s="160" t="str">
        <f>CONCATENATE(X147,"-",Y147)</f>
        <v>08-Infraestructura física, mantenimiento y dotación (Sedes construidas, mantenidas reforzadas)</v>
      </c>
      <c r="AA147" s="158" t="s">
        <v>227</v>
      </c>
      <c r="AB147" s="159" t="str">
        <f>IFERROR(VLOOKUP(AA147,TD!$N$51:$O$66,2,0)," ")</f>
        <v>Sedes mantenidas</v>
      </c>
      <c r="AC147" s="160" t="str">
        <f>CONCATENATE(AA147,"_",AB147)</f>
        <v>016_Sedes mantenidas</v>
      </c>
      <c r="AD147" s="160" t="str">
        <f>CONCATENATE(Z147," ",AC147)</f>
        <v>08-Infraestructura física, mantenimiento y dotación (Sedes construidas, mantenidas reforzadas) 016_Sedes mantenidas</v>
      </c>
      <c r="AE147" s="159" t="str">
        <f>CONCATENATE(U147,V147,W147,X147,AA147)</f>
        <v>O23011745992024020708016</v>
      </c>
      <c r="AF147" s="159" t="str">
        <f>IFERROR(VLOOKUP(AD147,TD!$J$66:$K$89,2,0)," ")</f>
        <v>PM/0131/0108/45990160207</v>
      </c>
      <c r="AG147" s="118" t="s">
        <v>385</v>
      </c>
      <c r="AH147" s="158" t="s">
        <v>193</v>
      </c>
      <c r="AI147" s="161" t="str">
        <f>CONCATENATE(PAA[[#This Row],[Id Interno]],"-",PAA[[#This Row],[tipo de Contrato (TH talento humano - B/S bienes y/o servicios)]],"-",S147,"-",T147,"-",PAA[[#This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48" spans="2:35" ht="70" x14ac:dyDescent="0.35">
      <c r="B148" s="23">
        <v>20260108</v>
      </c>
      <c r="C148" s="99" t="s">
        <v>406</v>
      </c>
      <c r="D148" s="23" t="s">
        <v>105</v>
      </c>
      <c r="E148" s="23" t="s">
        <v>363</v>
      </c>
      <c r="F148" s="155" t="s">
        <v>144</v>
      </c>
      <c r="G148" s="156" t="s">
        <v>374</v>
      </c>
      <c r="H148" s="157">
        <v>8</v>
      </c>
      <c r="I148" s="157">
        <v>0</v>
      </c>
      <c r="J148" s="127">
        <v>52000000</v>
      </c>
      <c r="K148" s="88" t="s">
        <v>398</v>
      </c>
      <c r="L148" s="155" t="s">
        <v>153</v>
      </c>
      <c r="M148" s="158" t="s">
        <v>420</v>
      </c>
      <c r="N148" s="23" t="s">
        <v>197</v>
      </c>
      <c r="O148" s="151" t="s">
        <v>957</v>
      </c>
      <c r="P148" s="155" t="s">
        <v>348</v>
      </c>
      <c r="Q148" s="53">
        <v>80111600</v>
      </c>
      <c r="R148" s="158" t="s">
        <v>208</v>
      </c>
      <c r="S148" s="158" t="str">
        <f>MID(PAA[[#This Row],[Meta Proyecto de Inversión]],1,4)</f>
        <v>8126</v>
      </c>
      <c r="T148" s="158" t="str">
        <f>MID(PAA[[#This Row],[Meta Proyecto de Inversión]],6,1)</f>
        <v>9</v>
      </c>
      <c r="U148" s="159" t="str">
        <f>IFERROR(VLOOKUP(N148,TD!$B$50:$F$54,2,0)," ")</f>
        <v>O230117</v>
      </c>
      <c r="V148" s="159" t="str">
        <f>IFERROR(VLOOKUP(N148,TD!$B$50:$F$54,3,0)," ")</f>
        <v>4599</v>
      </c>
      <c r="W148" s="159">
        <f>IFERROR(VLOOKUP(N148,TD!$B$50:$F$54,4,0)," ")</f>
        <v>20240207</v>
      </c>
      <c r="X148" s="158" t="s">
        <v>174</v>
      </c>
      <c r="Y148" s="159" t="str">
        <f>IFERROR(VLOOKUP(X148,TD!$J$51:$K$64,2,0)," ")</f>
        <v>Infraestructura física, mantenimiento y dotación (Sedes construidas, mantenidas reforzadas)</v>
      </c>
      <c r="Z148" s="160" t="str">
        <f>CONCATENATE(X148,"-",Y148)</f>
        <v>08-Infraestructura física, mantenimiento y dotación (Sedes construidas, mantenidas reforzadas)</v>
      </c>
      <c r="AA148" s="158" t="s">
        <v>227</v>
      </c>
      <c r="AB148" s="159" t="str">
        <f>IFERROR(VLOOKUP(AA148,TD!$N$51:$O$66,2,0)," ")</f>
        <v>Sedes mantenidas</v>
      </c>
      <c r="AC148" s="160" t="str">
        <f>CONCATENATE(AA148,"_",AB148)</f>
        <v>016_Sedes mantenidas</v>
      </c>
      <c r="AD148" s="160" t="str">
        <f>CONCATENATE(Z148," ",AC148)</f>
        <v>08-Infraestructura física, mantenimiento y dotación (Sedes construidas, mantenidas reforzadas) 016_Sedes mantenidas</v>
      </c>
      <c r="AE148" s="159" t="str">
        <f>CONCATENATE(U148,V148,W148,X148,AA148)</f>
        <v>O23011745992024020708016</v>
      </c>
      <c r="AF148" s="159" t="str">
        <f>IFERROR(VLOOKUP(AD148,TD!$J$66:$K$89,2,0)," ")</f>
        <v>PM/0131/0108/45990160207</v>
      </c>
      <c r="AG148" s="118" t="s">
        <v>385</v>
      </c>
      <c r="AH148" s="158" t="s">
        <v>193</v>
      </c>
      <c r="AI148" s="161" t="str">
        <f>CONCATENATE(PAA[[#This Row],[Id Interno]],"-",PAA[[#This Row],[tipo de Contrato (TH talento humano - B/S bienes y/o servicios)]],"-",S148,"-",T148,"-",PAA[[#This Row],[Objeto de la contratación]])</f>
        <v>20260108-TH-8126-9-Prestar servicios profesionales para apoyar en la estructuración de las acciones de mejora, elaboración de informes y soporte de las funciones administrativas y de mejora</v>
      </c>
    </row>
    <row r="149" spans="2:35" ht="84" x14ac:dyDescent="0.35">
      <c r="B149" s="23">
        <v>20260109</v>
      </c>
      <c r="C149" s="99" t="s">
        <v>407</v>
      </c>
      <c r="D149" s="23" t="s">
        <v>105</v>
      </c>
      <c r="E149" s="23" t="s">
        <v>363</v>
      </c>
      <c r="F149" s="155" t="s">
        <v>144</v>
      </c>
      <c r="G149" s="156" t="s">
        <v>374</v>
      </c>
      <c r="H149" s="157">
        <v>6</v>
      </c>
      <c r="I149" s="157">
        <v>0</v>
      </c>
      <c r="J149" s="127">
        <v>66000000</v>
      </c>
      <c r="K149" s="88" t="s">
        <v>398</v>
      </c>
      <c r="L149" s="155" t="s">
        <v>153</v>
      </c>
      <c r="M149" s="158" t="s">
        <v>420</v>
      </c>
      <c r="N149" s="23" t="s">
        <v>197</v>
      </c>
      <c r="O149" s="151" t="s">
        <v>957</v>
      </c>
      <c r="P149" s="155" t="s">
        <v>348</v>
      </c>
      <c r="Q149" s="53">
        <v>80111600</v>
      </c>
      <c r="R149" s="158" t="s">
        <v>208</v>
      </c>
      <c r="S149" s="158" t="str">
        <f>MID(PAA[[#This Row],[Meta Proyecto de Inversión]],1,4)</f>
        <v>8126</v>
      </c>
      <c r="T149" s="158" t="str">
        <f>MID(PAA[[#This Row],[Meta Proyecto de Inversión]],6,1)</f>
        <v>9</v>
      </c>
      <c r="U149" s="159" t="str">
        <f>IFERROR(VLOOKUP(N149,TD!$B$50:$F$54,2,0)," ")</f>
        <v>O230117</v>
      </c>
      <c r="V149" s="159" t="str">
        <f>IFERROR(VLOOKUP(N149,TD!$B$50:$F$54,3,0)," ")</f>
        <v>4599</v>
      </c>
      <c r="W149" s="159">
        <f>IFERROR(VLOOKUP(N149,TD!$B$50:$F$54,4,0)," ")</f>
        <v>20240207</v>
      </c>
      <c r="X149" s="158" t="s">
        <v>174</v>
      </c>
      <c r="Y149" s="159" t="str">
        <f>IFERROR(VLOOKUP(X149,TD!$J$51:$K$64,2,0)," ")</f>
        <v>Infraestructura física, mantenimiento y dotación (Sedes construidas, mantenidas reforzadas)</v>
      </c>
      <c r="Z149" s="160" t="str">
        <f>CONCATENATE(X149,"-",Y149)</f>
        <v>08-Infraestructura física, mantenimiento y dotación (Sedes construidas, mantenidas reforzadas)</v>
      </c>
      <c r="AA149" s="158" t="s">
        <v>227</v>
      </c>
      <c r="AB149" s="159" t="str">
        <f>IFERROR(VLOOKUP(AA149,TD!$N$51:$O$66,2,0)," ")</f>
        <v>Sedes mantenidas</v>
      </c>
      <c r="AC149" s="160" t="str">
        <f>CONCATENATE(AA149,"_",AB149)</f>
        <v>016_Sedes mantenidas</v>
      </c>
      <c r="AD149" s="160" t="str">
        <f>CONCATENATE(Z149," ",AC149)</f>
        <v>08-Infraestructura física, mantenimiento y dotación (Sedes construidas, mantenidas reforzadas) 016_Sedes mantenidas</v>
      </c>
      <c r="AE149" s="159" t="str">
        <f>CONCATENATE(U149,V149,W149,X149,AA149)</f>
        <v>O23011745992024020708016</v>
      </c>
      <c r="AF149" s="159" t="str">
        <f>IFERROR(VLOOKUP(AD149,TD!$J$66:$K$89,2,0)," ")</f>
        <v>PM/0131/0108/45990160207</v>
      </c>
      <c r="AG149" s="118" t="s">
        <v>385</v>
      </c>
      <c r="AH149" s="158" t="s">
        <v>193</v>
      </c>
      <c r="AI149" s="161" t="str">
        <f>CONCATENATE(PAA[[#This Row],[Id Interno]],"-",PAA[[#This Row],[tipo de Contrato (TH talento humano - B/S bienes y/o servicios)]],"-",S149,"-",T149,"-",PAA[[#This Row],[Objeto de la contratación]])</f>
        <v>20260109-TH-8126-9-Prestar los servicios profesionales jurídicos especializados para apoyar el desarrollo de las funciones de la Oficina Jurídica</v>
      </c>
    </row>
    <row r="150" spans="2:35" ht="98" x14ac:dyDescent="0.35">
      <c r="B150" s="23">
        <v>20260110</v>
      </c>
      <c r="C150" s="99" t="s">
        <v>408</v>
      </c>
      <c r="D150" s="23" t="s">
        <v>105</v>
      </c>
      <c r="E150" s="23" t="s">
        <v>363</v>
      </c>
      <c r="F150" s="155" t="s">
        <v>144</v>
      </c>
      <c r="G150" s="156" t="s">
        <v>374</v>
      </c>
      <c r="H150" s="157">
        <v>9</v>
      </c>
      <c r="I150" s="157">
        <v>0</v>
      </c>
      <c r="J150" s="127">
        <v>76500000</v>
      </c>
      <c r="K150" s="88" t="s">
        <v>398</v>
      </c>
      <c r="L150" s="155" t="s">
        <v>153</v>
      </c>
      <c r="M150" s="158" t="s">
        <v>420</v>
      </c>
      <c r="N150" s="23" t="s">
        <v>197</v>
      </c>
      <c r="O150" s="151" t="s">
        <v>957</v>
      </c>
      <c r="P150" s="155" t="s">
        <v>348</v>
      </c>
      <c r="Q150" s="53">
        <v>80111600</v>
      </c>
      <c r="R150" s="158" t="s">
        <v>208</v>
      </c>
      <c r="S150" s="158" t="str">
        <f>MID(PAA[[#This Row],[Meta Proyecto de Inversión]],1,4)</f>
        <v>8126</v>
      </c>
      <c r="T150" s="158" t="str">
        <f>MID(PAA[[#This Row],[Meta Proyecto de Inversión]],6,1)</f>
        <v>9</v>
      </c>
      <c r="U150" s="159" t="str">
        <f>IFERROR(VLOOKUP(N150,TD!$B$50:$F$54,2,0)," ")</f>
        <v>O230117</v>
      </c>
      <c r="V150" s="159" t="str">
        <f>IFERROR(VLOOKUP(N150,TD!$B$50:$F$54,3,0)," ")</f>
        <v>4599</v>
      </c>
      <c r="W150" s="159">
        <f>IFERROR(VLOOKUP(N150,TD!$B$50:$F$54,4,0)," ")</f>
        <v>20240207</v>
      </c>
      <c r="X150" s="158" t="s">
        <v>174</v>
      </c>
      <c r="Y150" s="159" t="str">
        <f>IFERROR(VLOOKUP(X150,TD!$J$51:$K$64,2,0)," ")</f>
        <v>Infraestructura física, mantenimiento y dotación (Sedes construidas, mantenidas reforzadas)</v>
      </c>
      <c r="Z150" s="160" t="str">
        <f>CONCATENATE(X150,"-",Y150)</f>
        <v>08-Infraestructura física, mantenimiento y dotación (Sedes construidas, mantenidas reforzadas)</v>
      </c>
      <c r="AA150" s="158" t="s">
        <v>227</v>
      </c>
      <c r="AB150" s="159" t="str">
        <f>IFERROR(VLOOKUP(AA150,TD!$N$51:$O$66,2,0)," ")</f>
        <v>Sedes mantenidas</v>
      </c>
      <c r="AC150" s="160" t="str">
        <f>CONCATENATE(AA150,"_",AB150)</f>
        <v>016_Sedes mantenidas</v>
      </c>
      <c r="AD150" s="160" t="str">
        <f>CONCATENATE(Z150," ",AC150)</f>
        <v>08-Infraestructura física, mantenimiento y dotación (Sedes construidas, mantenidas reforzadas) 016_Sedes mantenidas</v>
      </c>
      <c r="AE150" s="159" t="str">
        <f>CONCATENATE(U150,V150,W150,X150,AA150)</f>
        <v>O23011745992024020708016</v>
      </c>
      <c r="AF150" s="159" t="str">
        <f>IFERROR(VLOOKUP(AD150,TD!$J$66:$K$89,2,0)," ")</f>
        <v>PM/0131/0108/45990160207</v>
      </c>
      <c r="AG150" s="118" t="s">
        <v>385</v>
      </c>
      <c r="AH150" s="158" t="s">
        <v>193</v>
      </c>
      <c r="AI150" s="161" t="str">
        <f>CONCATENATE(PAA[[#This Row],[Id Interno]],"-",PAA[[#This Row],[tipo de Contrato (TH talento humano - B/S bienes y/o servicios)]],"-",S150,"-",T150,"-",PAA[[#This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1" spans="2:35" ht="112" x14ac:dyDescent="0.35">
      <c r="B151" s="23">
        <v>20260111</v>
      </c>
      <c r="C151" s="99" t="s">
        <v>408</v>
      </c>
      <c r="D151" s="23" t="s">
        <v>105</v>
      </c>
      <c r="E151" s="23" t="s">
        <v>363</v>
      </c>
      <c r="F151" s="155" t="s">
        <v>144</v>
      </c>
      <c r="G151" s="156" t="s">
        <v>374</v>
      </c>
      <c r="H151" s="157">
        <v>9</v>
      </c>
      <c r="I151" s="157">
        <v>0</v>
      </c>
      <c r="J151" s="127">
        <v>76500000</v>
      </c>
      <c r="K151" s="88" t="s">
        <v>398</v>
      </c>
      <c r="L151" s="155" t="s">
        <v>153</v>
      </c>
      <c r="M151" s="158" t="s">
        <v>420</v>
      </c>
      <c r="N151" s="23" t="s">
        <v>197</v>
      </c>
      <c r="O151" s="151" t="s">
        <v>957</v>
      </c>
      <c r="P151" s="155" t="s">
        <v>348</v>
      </c>
      <c r="Q151" s="53">
        <v>80111600</v>
      </c>
      <c r="R151" s="158" t="s">
        <v>208</v>
      </c>
      <c r="S151" s="158" t="str">
        <f>MID(PAA[[#This Row],[Meta Proyecto de Inversión]],1,4)</f>
        <v>8126</v>
      </c>
      <c r="T151" s="158" t="str">
        <f>MID(PAA[[#This Row],[Meta Proyecto de Inversión]],6,1)</f>
        <v>9</v>
      </c>
      <c r="U151" s="159" t="str">
        <f>IFERROR(VLOOKUP(N151,TD!$B$50:$F$54,2,0)," ")</f>
        <v>O230117</v>
      </c>
      <c r="V151" s="159" t="str">
        <f>IFERROR(VLOOKUP(N151,TD!$B$50:$F$54,3,0)," ")</f>
        <v>4599</v>
      </c>
      <c r="W151" s="159">
        <f>IFERROR(VLOOKUP(N151,TD!$B$50:$F$54,4,0)," ")</f>
        <v>20240207</v>
      </c>
      <c r="X151" s="158" t="s">
        <v>174</v>
      </c>
      <c r="Y151" s="159" t="str">
        <f>IFERROR(VLOOKUP(X151,TD!$J$51:$K$64,2,0)," ")</f>
        <v>Infraestructura física, mantenimiento y dotación (Sedes construidas, mantenidas reforzadas)</v>
      </c>
      <c r="Z151" s="160" t="str">
        <f>CONCATENATE(X151,"-",Y151)</f>
        <v>08-Infraestructura física, mantenimiento y dotación (Sedes construidas, mantenidas reforzadas)</v>
      </c>
      <c r="AA151" s="158" t="s">
        <v>227</v>
      </c>
      <c r="AB151" s="159" t="str">
        <f>IFERROR(VLOOKUP(AA151,TD!$N$51:$O$66,2,0)," ")</f>
        <v>Sedes mantenidas</v>
      </c>
      <c r="AC151" s="160" t="str">
        <f>CONCATENATE(AA151,"_",AB151)</f>
        <v>016_Sedes mantenidas</v>
      </c>
      <c r="AD151" s="160" t="str">
        <f>CONCATENATE(Z151," ",AC151)</f>
        <v>08-Infraestructura física, mantenimiento y dotación (Sedes construidas, mantenidas reforzadas) 016_Sedes mantenidas</v>
      </c>
      <c r="AE151" s="159" t="str">
        <f>CONCATENATE(U151,V151,W151,X151,AA151)</f>
        <v>O23011745992024020708016</v>
      </c>
      <c r="AF151" s="159" t="str">
        <f>IFERROR(VLOOKUP(AD151,TD!$J$66:$K$89,2,0)," ")</f>
        <v>PM/0131/0108/45990160207</v>
      </c>
      <c r="AG151" s="118" t="s">
        <v>385</v>
      </c>
      <c r="AH151" s="158" t="s">
        <v>193</v>
      </c>
      <c r="AI151" s="161" t="str">
        <f>CONCATENATE(PAA[[#This Row],[Id Interno]],"-",PAA[[#This Row],[tipo de Contrato (TH talento humano - B/S bienes y/o servicios)]],"-",S151,"-",T151,"-",PAA[[#This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2" spans="2:35" ht="84" x14ac:dyDescent="0.35">
      <c r="B152" s="23">
        <v>20260112</v>
      </c>
      <c r="C152" s="99" t="s">
        <v>409</v>
      </c>
      <c r="D152" s="23" t="s">
        <v>105</v>
      </c>
      <c r="E152" s="23" t="s">
        <v>363</v>
      </c>
      <c r="F152" s="155" t="s">
        <v>144</v>
      </c>
      <c r="G152" s="156" t="s">
        <v>374</v>
      </c>
      <c r="H152" s="157">
        <v>9</v>
      </c>
      <c r="I152" s="157">
        <v>0</v>
      </c>
      <c r="J152" s="127">
        <v>76500000</v>
      </c>
      <c r="K152" s="88" t="s">
        <v>398</v>
      </c>
      <c r="L152" s="155" t="s">
        <v>153</v>
      </c>
      <c r="M152" s="158" t="s">
        <v>420</v>
      </c>
      <c r="N152" s="23" t="s">
        <v>197</v>
      </c>
      <c r="O152" s="151" t="s">
        <v>957</v>
      </c>
      <c r="P152" s="155" t="s">
        <v>348</v>
      </c>
      <c r="Q152" s="53">
        <v>80111600</v>
      </c>
      <c r="R152" s="158" t="s">
        <v>208</v>
      </c>
      <c r="S152" s="158" t="str">
        <f>MID(PAA[[#This Row],[Meta Proyecto de Inversión]],1,4)</f>
        <v>8126</v>
      </c>
      <c r="T152" s="158" t="str">
        <f>MID(PAA[[#This Row],[Meta Proyecto de Inversión]],6,1)</f>
        <v>9</v>
      </c>
      <c r="U152" s="159" t="str">
        <f>IFERROR(VLOOKUP(N152,TD!$B$50:$F$54,2,0)," ")</f>
        <v>O230117</v>
      </c>
      <c r="V152" s="159" t="str">
        <f>IFERROR(VLOOKUP(N152,TD!$B$50:$F$54,3,0)," ")</f>
        <v>4599</v>
      </c>
      <c r="W152" s="159">
        <f>IFERROR(VLOOKUP(N152,TD!$B$50:$F$54,4,0)," ")</f>
        <v>20240207</v>
      </c>
      <c r="X152" s="158" t="s">
        <v>174</v>
      </c>
      <c r="Y152" s="159" t="str">
        <f>IFERROR(VLOOKUP(X152,TD!$J$51:$K$64,2,0)," ")</f>
        <v>Infraestructura física, mantenimiento y dotación (Sedes construidas, mantenidas reforzadas)</v>
      </c>
      <c r="Z152" s="160" t="str">
        <f>CONCATENATE(X152,"-",Y152)</f>
        <v>08-Infraestructura física, mantenimiento y dotación (Sedes construidas, mantenidas reforzadas)</v>
      </c>
      <c r="AA152" s="158" t="s">
        <v>227</v>
      </c>
      <c r="AB152" s="159" t="str">
        <f>IFERROR(VLOOKUP(AA152,TD!$N$51:$O$66,2,0)," ")</f>
        <v>Sedes mantenidas</v>
      </c>
      <c r="AC152" s="160" t="str">
        <f>CONCATENATE(AA152,"_",AB152)</f>
        <v>016_Sedes mantenidas</v>
      </c>
      <c r="AD152" s="160" t="str">
        <f>CONCATENATE(Z152," ",AC152)</f>
        <v>08-Infraestructura física, mantenimiento y dotación (Sedes construidas, mantenidas reforzadas) 016_Sedes mantenidas</v>
      </c>
      <c r="AE152" s="159" t="str">
        <f>CONCATENATE(U152,V152,W152,X152,AA152)</f>
        <v>O23011745992024020708016</v>
      </c>
      <c r="AF152" s="159" t="str">
        <f>IFERROR(VLOOKUP(AD152,TD!$J$66:$K$89,2,0)," ")</f>
        <v>PM/0131/0108/45990160207</v>
      </c>
      <c r="AG152" s="118" t="s">
        <v>385</v>
      </c>
      <c r="AH152" s="158" t="s">
        <v>193</v>
      </c>
      <c r="AI152" s="161" t="str">
        <f>CONCATENATE(PAA[[#This Row],[Id Interno]],"-",PAA[[#This Row],[tipo de Contrato (TH talento humano - B/S bienes y/o servicios)]],"-",S152,"-",T152,"-",PAA[[#This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53" spans="2:35" ht="84" x14ac:dyDescent="0.35">
      <c r="B153" s="23">
        <v>20260113</v>
      </c>
      <c r="C153" s="99" t="s">
        <v>408</v>
      </c>
      <c r="D153" s="23" t="s">
        <v>105</v>
      </c>
      <c r="E153" s="23" t="s">
        <v>363</v>
      </c>
      <c r="F153" s="155" t="s">
        <v>144</v>
      </c>
      <c r="G153" s="156" t="s">
        <v>374</v>
      </c>
      <c r="H153" s="157">
        <v>9</v>
      </c>
      <c r="I153" s="157">
        <v>0</v>
      </c>
      <c r="J153" s="127">
        <v>76500000</v>
      </c>
      <c r="K153" s="88" t="s">
        <v>398</v>
      </c>
      <c r="L153" s="155" t="s">
        <v>153</v>
      </c>
      <c r="M153" s="158" t="s">
        <v>420</v>
      </c>
      <c r="N153" s="23" t="s">
        <v>197</v>
      </c>
      <c r="O153" s="151" t="s">
        <v>957</v>
      </c>
      <c r="P153" s="155" t="s">
        <v>348</v>
      </c>
      <c r="Q153" s="53">
        <v>80111600</v>
      </c>
      <c r="R153" s="158" t="s">
        <v>208</v>
      </c>
      <c r="S153" s="158" t="str">
        <f>MID(PAA[[#This Row],[Meta Proyecto de Inversión]],1,4)</f>
        <v>8126</v>
      </c>
      <c r="T153" s="158" t="str">
        <f>MID(PAA[[#This Row],[Meta Proyecto de Inversión]],6,1)</f>
        <v>9</v>
      </c>
      <c r="U153" s="159" t="str">
        <f>IFERROR(VLOOKUP(N153,TD!$B$50:$F$54,2,0)," ")</f>
        <v>O230117</v>
      </c>
      <c r="V153" s="159" t="str">
        <f>IFERROR(VLOOKUP(N153,TD!$B$50:$F$54,3,0)," ")</f>
        <v>4599</v>
      </c>
      <c r="W153" s="159">
        <f>IFERROR(VLOOKUP(N153,TD!$B$50:$F$54,4,0)," ")</f>
        <v>20240207</v>
      </c>
      <c r="X153" s="158" t="s">
        <v>174</v>
      </c>
      <c r="Y153" s="159" t="str">
        <f>IFERROR(VLOOKUP(X153,TD!$J$51:$K$64,2,0)," ")</f>
        <v>Infraestructura física, mantenimiento y dotación (Sedes construidas, mantenidas reforzadas)</v>
      </c>
      <c r="Z153" s="160" t="str">
        <f>CONCATENATE(X153,"-",Y153)</f>
        <v>08-Infraestructura física, mantenimiento y dotación (Sedes construidas, mantenidas reforzadas)</v>
      </c>
      <c r="AA153" s="158" t="s">
        <v>227</v>
      </c>
      <c r="AB153" s="159" t="str">
        <f>IFERROR(VLOOKUP(AA153,TD!$N$51:$O$66,2,0)," ")</f>
        <v>Sedes mantenidas</v>
      </c>
      <c r="AC153" s="160" t="str">
        <f>CONCATENATE(AA153,"_",AB153)</f>
        <v>016_Sedes mantenidas</v>
      </c>
      <c r="AD153" s="160" t="str">
        <f>CONCATENATE(Z153," ",AC153)</f>
        <v>08-Infraestructura física, mantenimiento y dotación (Sedes construidas, mantenidas reforzadas) 016_Sedes mantenidas</v>
      </c>
      <c r="AE153" s="159" t="str">
        <f>CONCATENATE(U153,V153,W153,X153,AA153)</f>
        <v>O23011745992024020708016</v>
      </c>
      <c r="AF153" s="159" t="str">
        <f>IFERROR(VLOOKUP(AD153,TD!$J$66:$K$89,2,0)," ")</f>
        <v>PM/0131/0108/45990160207</v>
      </c>
      <c r="AG153" s="118" t="s">
        <v>385</v>
      </c>
      <c r="AH153" s="158" t="s">
        <v>193</v>
      </c>
      <c r="AI153" s="161" t="str">
        <f>CONCATENATE(PAA[[#This Row],[Id Interno]],"-",PAA[[#This Row],[tipo de Contrato (TH talento humano - B/S bienes y/o servicios)]],"-",S153,"-",T153,"-",PAA[[#This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4" spans="2:35" ht="84" x14ac:dyDescent="0.35">
      <c r="B154" s="23">
        <v>20260114</v>
      </c>
      <c r="C154" s="99" t="s">
        <v>408</v>
      </c>
      <c r="D154" s="23" t="s">
        <v>105</v>
      </c>
      <c r="E154" s="23" t="s">
        <v>363</v>
      </c>
      <c r="F154" s="155" t="s">
        <v>144</v>
      </c>
      <c r="G154" s="156" t="s">
        <v>374</v>
      </c>
      <c r="H154" s="157">
        <v>9</v>
      </c>
      <c r="I154" s="157">
        <v>0</v>
      </c>
      <c r="J154" s="127">
        <v>72000000</v>
      </c>
      <c r="K154" s="88" t="s">
        <v>398</v>
      </c>
      <c r="L154" s="155" t="s">
        <v>153</v>
      </c>
      <c r="M154" s="158" t="s">
        <v>420</v>
      </c>
      <c r="N154" s="23" t="s">
        <v>197</v>
      </c>
      <c r="O154" s="151" t="s">
        <v>957</v>
      </c>
      <c r="P154" s="155" t="s">
        <v>348</v>
      </c>
      <c r="Q154" s="53">
        <v>80111600</v>
      </c>
      <c r="R154" s="158" t="s">
        <v>208</v>
      </c>
      <c r="S154" s="158" t="str">
        <f>MID(PAA[[#This Row],[Meta Proyecto de Inversión]],1,4)</f>
        <v>8126</v>
      </c>
      <c r="T154" s="158" t="str">
        <f>MID(PAA[[#This Row],[Meta Proyecto de Inversión]],6,1)</f>
        <v>9</v>
      </c>
      <c r="U154" s="159" t="str">
        <f>IFERROR(VLOOKUP(N154,TD!$B$50:$F$54,2,0)," ")</f>
        <v>O230117</v>
      </c>
      <c r="V154" s="159" t="str">
        <f>IFERROR(VLOOKUP(N154,TD!$B$50:$F$54,3,0)," ")</f>
        <v>4599</v>
      </c>
      <c r="W154" s="159">
        <f>IFERROR(VLOOKUP(N154,TD!$B$50:$F$54,4,0)," ")</f>
        <v>20240207</v>
      </c>
      <c r="X154" s="158" t="s">
        <v>174</v>
      </c>
      <c r="Y154" s="159" t="str">
        <f>IFERROR(VLOOKUP(X154,TD!$J$51:$K$64,2,0)," ")</f>
        <v>Infraestructura física, mantenimiento y dotación (Sedes construidas, mantenidas reforzadas)</v>
      </c>
      <c r="Z154" s="160" t="str">
        <f>CONCATENATE(X154,"-",Y154)</f>
        <v>08-Infraestructura física, mantenimiento y dotación (Sedes construidas, mantenidas reforzadas)</v>
      </c>
      <c r="AA154" s="158" t="s">
        <v>227</v>
      </c>
      <c r="AB154" s="159" t="str">
        <f>IFERROR(VLOOKUP(AA154,TD!$N$51:$O$66,2,0)," ")</f>
        <v>Sedes mantenidas</v>
      </c>
      <c r="AC154" s="160" t="str">
        <f>CONCATENATE(AA154,"_",AB154)</f>
        <v>016_Sedes mantenidas</v>
      </c>
      <c r="AD154" s="160" t="str">
        <f>CONCATENATE(Z154," ",AC154)</f>
        <v>08-Infraestructura física, mantenimiento y dotación (Sedes construidas, mantenidas reforzadas) 016_Sedes mantenidas</v>
      </c>
      <c r="AE154" s="159" t="str">
        <f>CONCATENATE(U154,V154,W154,X154,AA154)</f>
        <v>O23011745992024020708016</v>
      </c>
      <c r="AF154" s="159" t="str">
        <f>IFERROR(VLOOKUP(AD154,TD!$J$66:$K$89,2,0)," ")</f>
        <v>PM/0131/0108/45990160207</v>
      </c>
      <c r="AG154" s="118" t="s">
        <v>385</v>
      </c>
      <c r="AH154" s="158" t="s">
        <v>193</v>
      </c>
      <c r="AI154" s="161" t="str">
        <f>CONCATENATE(PAA[[#This Row],[Id Interno]],"-",PAA[[#This Row],[tipo de Contrato (TH talento humano - B/S bienes y/o servicios)]],"-",S154,"-",T154,"-",PAA[[#This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5" spans="2:35" ht="84" x14ac:dyDescent="0.35">
      <c r="B155" s="23">
        <v>20260115</v>
      </c>
      <c r="C155" s="99" t="s">
        <v>410</v>
      </c>
      <c r="D155" s="23" t="s">
        <v>105</v>
      </c>
      <c r="E155" s="23" t="s">
        <v>363</v>
      </c>
      <c r="F155" s="155" t="s">
        <v>145</v>
      </c>
      <c r="G155" s="156" t="s">
        <v>374</v>
      </c>
      <c r="H155" s="157">
        <v>9</v>
      </c>
      <c r="I155" s="157">
        <v>0</v>
      </c>
      <c r="J155" s="127">
        <v>60300000</v>
      </c>
      <c r="K155" s="88" t="s">
        <v>398</v>
      </c>
      <c r="L155" s="155" t="s">
        <v>153</v>
      </c>
      <c r="M155" s="158" t="s">
        <v>420</v>
      </c>
      <c r="N155" s="23" t="s">
        <v>197</v>
      </c>
      <c r="O155" s="151" t="s">
        <v>957</v>
      </c>
      <c r="P155" s="155" t="s">
        <v>348</v>
      </c>
      <c r="Q155" s="53">
        <v>80111600</v>
      </c>
      <c r="R155" s="158" t="s">
        <v>208</v>
      </c>
      <c r="S155" s="158" t="str">
        <f>MID(PAA[[#This Row],[Meta Proyecto de Inversión]],1,4)</f>
        <v>8126</v>
      </c>
      <c r="T155" s="158" t="str">
        <f>MID(PAA[[#This Row],[Meta Proyecto de Inversión]],6,1)</f>
        <v>9</v>
      </c>
      <c r="U155" s="159" t="str">
        <f>IFERROR(VLOOKUP(N155,TD!$B$50:$F$54,2,0)," ")</f>
        <v>O230117</v>
      </c>
      <c r="V155" s="159" t="str">
        <f>IFERROR(VLOOKUP(N155,TD!$B$50:$F$54,3,0)," ")</f>
        <v>4599</v>
      </c>
      <c r="W155" s="159">
        <f>IFERROR(VLOOKUP(N155,TD!$B$50:$F$54,4,0)," ")</f>
        <v>20240207</v>
      </c>
      <c r="X155" s="158" t="s">
        <v>174</v>
      </c>
      <c r="Y155" s="159" t="str">
        <f>IFERROR(VLOOKUP(X155,TD!$J$51:$K$64,2,0)," ")</f>
        <v>Infraestructura física, mantenimiento y dotación (Sedes construidas, mantenidas reforzadas)</v>
      </c>
      <c r="Z155" s="160" t="str">
        <f>CONCATENATE(X155,"-",Y155)</f>
        <v>08-Infraestructura física, mantenimiento y dotación (Sedes construidas, mantenidas reforzadas)</v>
      </c>
      <c r="AA155" s="158" t="s">
        <v>227</v>
      </c>
      <c r="AB155" s="159" t="str">
        <f>IFERROR(VLOOKUP(AA155,TD!$N$51:$O$66,2,0)," ")</f>
        <v>Sedes mantenidas</v>
      </c>
      <c r="AC155" s="160" t="str">
        <f>CONCATENATE(AA155,"_",AB155)</f>
        <v>016_Sedes mantenidas</v>
      </c>
      <c r="AD155" s="160" t="str">
        <f>CONCATENATE(Z155," ",AC155)</f>
        <v>08-Infraestructura física, mantenimiento y dotación (Sedes construidas, mantenidas reforzadas) 016_Sedes mantenidas</v>
      </c>
      <c r="AE155" s="159" t="str">
        <f>CONCATENATE(U155,V155,W155,X155,AA155)</f>
        <v>O23011745992024020708016</v>
      </c>
      <c r="AF155" s="159" t="str">
        <f>IFERROR(VLOOKUP(AD155,TD!$J$66:$K$89,2,0)," ")</f>
        <v>PM/0131/0108/45990160207</v>
      </c>
      <c r="AG155" s="118" t="s">
        <v>385</v>
      </c>
      <c r="AH155" s="158" t="s">
        <v>193</v>
      </c>
      <c r="AI155" s="161" t="str">
        <f>CONCATENATE(PAA[[#This Row],[Id Interno]],"-",PAA[[#This Row],[tipo de Contrato (TH talento humano - B/S bienes y/o servicios)]],"-",S155,"-",T155,"-",PAA[[#This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56" spans="2:35" ht="84" x14ac:dyDescent="0.35">
      <c r="B156" s="23">
        <v>20260116</v>
      </c>
      <c r="C156" s="99" t="s">
        <v>410</v>
      </c>
      <c r="D156" s="23" t="s">
        <v>105</v>
      </c>
      <c r="E156" s="23" t="s">
        <v>363</v>
      </c>
      <c r="F156" s="155" t="s">
        <v>145</v>
      </c>
      <c r="G156" s="156" t="s">
        <v>374</v>
      </c>
      <c r="H156" s="157">
        <v>8</v>
      </c>
      <c r="I156" s="157">
        <v>0</v>
      </c>
      <c r="J156" s="127">
        <v>46400000</v>
      </c>
      <c r="K156" s="88" t="s">
        <v>398</v>
      </c>
      <c r="L156" s="155" t="s">
        <v>153</v>
      </c>
      <c r="M156" s="158" t="s">
        <v>420</v>
      </c>
      <c r="N156" s="23" t="s">
        <v>197</v>
      </c>
      <c r="O156" s="151" t="s">
        <v>957</v>
      </c>
      <c r="P156" s="155" t="s">
        <v>348</v>
      </c>
      <c r="Q156" s="53">
        <v>80111600</v>
      </c>
      <c r="R156" s="158" t="s">
        <v>208</v>
      </c>
      <c r="S156" s="158" t="str">
        <f>MID(PAA[[#This Row],[Meta Proyecto de Inversión]],1,4)</f>
        <v>8126</v>
      </c>
      <c r="T156" s="158" t="str">
        <f>MID(PAA[[#This Row],[Meta Proyecto de Inversión]],6,1)</f>
        <v>9</v>
      </c>
      <c r="U156" s="159" t="str">
        <f>IFERROR(VLOOKUP(N156,TD!$B$50:$F$54,2,0)," ")</f>
        <v>O230117</v>
      </c>
      <c r="V156" s="159" t="str">
        <f>IFERROR(VLOOKUP(N156,TD!$B$50:$F$54,3,0)," ")</f>
        <v>4599</v>
      </c>
      <c r="W156" s="159">
        <f>IFERROR(VLOOKUP(N156,TD!$B$50:$F$54,4,0)," ")</f>
        <v>20240207</v>
      </c>
      <c r="X156" s="158" t="s">
        <v>174</v>
      </c>
      <c r="Y156" s="159" t="str">
        <f>IFERROR(VLOOKUP(X156,TD!$J$51:$K$64,2,0)," ")</f>
        <v>Infraestructura física, mantenimiento y dotación (Sedes construidas, mantenidas reforzadas)</v>
      </c>
      <c r="Z156" s="160" t="str">
        <f>CONCATENATE(X156,"-",Y156)</f>
        <v>08-Infraestructura física, mantenimiento y dotación (Sedes construidas, mantenidas reforzadas)</v>
      </c>
      <c r="AA156" s="158" t="s">
        <v>227</v>
      </c>
      <c r="AB156" s="159" t="str">
        <f>IFERROR(VLOOKUP(AA156,TD!$N$51:$O$66,2,0)," ")</f>
        <v>Sedes mantenidas</v>
      </c>
      <c r="AC156" s="160" t="str">
        <f>CONCATENATE(AA156,"_",AB156)</f>
        <v>016_Sedes mantenidas</v>
      </c>
      <c r="AD156" s="160" t="str">
        <f>CONCATENATE(Z156," ",AC156)</f>
        <v>08-Infraestructura física, mantenimiento y dotación (Sedes construidas, mantenidas reforzadas) 016_Sedes mantenidas</v>
      </c>
      <c r="AE156" s="159" t="str">
        <f>CONCATENATE(U156,V156,W156,X156,AA156)</f>
        <v>O23011745992024020708016</v>
      </c>
      <c r="AF156" s="159" t="str">
        <f>IFERROR(VLOOKUP(AD156,TD!$J$66:$K$89,2,0)," ")</f>
        <v>PM/0131/0108/45990160207</v>
      </c>
      <c r="AG156" s="118" t="s">
        <v>385</v>
      </c>
      <c r="AH156" s="158" t="s">
        <v>193</v>
      </c>
      <c r="AI156" s="161" t="str">
        <f>CONCATENATE(PAA[[#This Row],[Id Interno]],"-",PAA[[#This Row],[tipo de Contrato (TH talento humano - B/S bienes y/o servicios)]],"-",S156,"-",T156,"-",PAA[[#This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57" spans="2:35" ht="84" x14ac:dyDescent="0.35">
      <c r="B157" s="23">
        <v>20260117</v>
      </c>
      <c r="C157" s="99" t="s">
        <v>411</v>
      </c>
      <c r="D157" s="23" t="s">
        <v>105</v>
      </c>
      <c r="E157" s="23" t="s">
        <v>363</v>
      </c>
      <c r="F157" s="155" t="s">
        <v>144</v>
      </c>
      <c r="G157" s="156" t="s">
        <v>374</v>
      </c>
      <c r="H157" s="157">
        <v>8</v>
      </c>
      <c r="I157" s="157">
        <v>0</v>
      </c>
      <c r="J157" s="127">
        <v>72000000</v>
      </c>
      <c r="K157" s="88" t="s">
        <v>398</v>
      </c>
      <c r="L157" s="155" t="s">
        <v>153</v>
      </c>
      <c r="M157" s="158" t="s">
        <v>420</v>
      </c>
      <c r="N157" s="23" t="s">
        <v>197</v>
      </c>
      <c r="O157" s="151" t="s">
        <v>957</v>
      </c>
      <c r="P157" s="155" t="s">
        <v>348</v>
      </c>
      <c r="Q157" s="53">
        <v>80111600</v>
      </c>
      <c r="R157" s="158" t="s">
        <v>208</v>
      </c>
      <c r="S157" s="158" t="str">
        <f>MID(PAA[[#This Row],[Meta Proyecto de Inversión]],1,4)</f>
        <v>8126</v>
      </c>
      <c r="T157" s="158" t="str">
        <f>MID(PAA[[#This Row],[Meta Proyecto de Inversión]],6,1)</f>
        <v>9</v>
      </c>
      <c r="U157" s="159" t="str">
        <f>IFERROR(VLOOKUP(N157,TD!$B$50:$F$54,2,0)," ")</f>
        <v>O230117</v>
      </c>
      <c r="V157" s="159" t="str">
        <f>IFERROR(VLOOKUP(N157,TD!$B$50:$F$54,3,0)," ")</f>
        <v>4599</v>
      </c>
      <c r="W157" s="159">
        <f>IFERROR(VLOOKUP(N157,TD!$B$50:$F$54,4,0)," ")</f>
        <v>20240207</v>
      </c>
      <c r="X157" s="158" t="s">
        <v>174</v>
      </c>
      <c r="Y157" s="159" t="str">
        <f>IFERROR(VLOOKUP(X157,TD!$J$51:$K$64,2,0)," ")</f>
        <v>Infraestructura física, mantenimiento y dotación (Sedes construidas, mantenidas reforzadas)</v>
      </c>
      <c r="Z157" s="160" t="str">
        <f>CONCATENATE(X157,"-",Y157)</f>
        <v>08-Infraestructura física, mantenimiento y dotación (Sedes construidas, mantenidas reforzadas)</v>
      </c>
      <c r="AA157" s="158" t="s">
        <v>227</v>
      </c>
      <c r="AB157" s="159" t="str">
        <f>IFERROR(VLOOKUP(AA157,TD!$N$51:$O$66,2,0)," ")</f>
        <v>Sedes mantenidas</v>
      </c>
      <c r="AC157" s="160" t="str">
        <f>CONCATENATE(AA157,"_",AB157)</f>
        <v>016_Sedes mantenidas</v>
      </c>
      <c r="AD157" s="160" t="str">
        <f>CONCATENATE(Z157," ",AC157)</f>
        <v>08-Infraestructura física, mantenimiento y dotación (Sedes construidas, mantenidas reforzadas) 016_Sedes mantenidas</v>
      </c>
      <c r="AE157" s="159" t="str">
        <f>CONCATENATE(U157,V157,W157,X157,AA157)</f>
        <v>O23011745992024020708016</v>
      </c>
      <c r="AF157" s="159" t="str">
        <f>IFERROR(VLOOKUP(AD157,TD!$J$66:$K$89,2,0)," ")</f>
        <v>PM/0131/0108/45990160207</v>
      </c>
      <c r="AG157" s="118" t="s">
        <v>385</v>
      </c>
      <c r="AH157" s="158" t="s">
        <v>193</v>
      </c>
      <c r="AI157" s="161" t="str">
        <f>CONCATENATE(PAA[[#This Row],[Id Interno]],"-",PAA[[#This Row],[tipo de Contrato (TH talento humano - B/S bienes y/o servicios)]],"-",S157,"-",T157,"-",PAA[[#This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58" spans="2:35" ht="70" x14ac:dyDescent="0.35">
      <c r="B158" s="23">
        <v>20260118</v>
      </c>
      <c r="C158" s="99" t="s">
        <v>412</v>
      </c>
      <c r="D158" s="23" t="s">
        <v>105</v>
      </c>
      <c r="E158" s="23" t="s">
        <v>363</v>
      </c>
      <c r="F158" s="155" t="s">
        <v>144</v>
      </c>
      <c r="G158" s="156" t="s">
        <v>374</v>
      </c>
      <c r="H158" s="157">
        <v>11</v>
      </c>
      <c r="I158" s="157">
        <v>0</v>
      </c>
      <c r="J158" s="127">
        <v>374000000</v>
      </c>
      <c r="K158" s="88" t="s">
        <v>398</v>
      </c>
      <c r="L158" s="155" t="s">
        <v>153</v>
      </c>
      <c r="M158" s="158" t="s">
        <v>420</v>
      </c>
      <c r="N158" s="23" t="s">
        <v>197</v>
      </c>
      <c r="O158" s="151" t="s">
        <v>957</v>
      </c>
      <c r="P158" s="155" t="s">
        <v>348</v>
      </c>
      <c r="Q158" s="53">
        <v>80111600</v>
      </c>
      <c r="R158" s="158" t="s">
        <v>208</v>
      </c>
      <c r="S158" s="158" t="str">
        <f>MID(PAA[[#This Row],[Meta Proyecto de Inversión]],1,4)</f>
        <v>8126</v>
      </c>
      <c r="T158" s="158" t="str">
        <f>MID(PAA[[#This Row],[Meta Proyecto de Inversión]],6,1)</f>
        <v>9</v>
      </c>
      <c r="U158" s="159" t="str">
        <f>IFERROR(VLOOKUP(N158,TD!$B$50:$F$54,2,0)," ")</f>
        <v>O230117</v>
      </c>
      <c r="V158" s="159" t="str">
        <f>IFERROR(VLOOKUP(N158,TD!$B$50:$F$54,3,0)," ")</f>
        <v>4599</v>
      </c>
      <c r="W158" s="159">
        <f>IFERROR(VLOOKUP(N158,TD!$B$50:$F$54,4,0)," ")</f>
        <v>20240207</v>
      </c>
      <c r="X158" s="158" t="s">
        <v>174</v>
      </c>
      <c r="Y158" s="159" t="str">
        <f>IFERROR(VLOOKUP(X158,TD!$J$51:$K$64,2,0)," ")</f>
        <v>Infraestructura física, mantenimiento y dotación (Sedes construidas, mantenidas reforzadas)</v>
      </c>
      <c r="Z158" s="160" t="str">
        <f>CONCATENATE(X158,"-",Y158)</f>
        <v>08-Infraestructura física, mantenimiento y dotación (Sedes construidas, mantenidas reforzadas)</v>
      </c>
      <c r="AA158" s="158" t="s">
        <v>227</v>
      </c>
      <c r="AB158" s="159" t="str">
        <f>IFERROR(VLOOKUP(AA158,TD!$N$51:$O$66,2,0)," ")</f>
        <v>Sedes mantenidas</v>
      </c>
      <c r="AC158" s="160" t="str">
        <f>CONCATENATE(AA158,"_",AB158)</f>
        <v>016_Sedes mantenidas</v>
      </c>
      <c r="AD158" s="160" t="str">
        <f>CONCATENATE(Z158," ",AC158)</f>
        <v>08-Infraestructura física, mantenimiento y dotación (Sedes construidas, mantenidas reforzadas) 016_Sedes mantenidas</v>
      </c>
      <c r="AE158" s="159" t="str">
        <f>CONCATENATE(U158,V158,W158,X158,AA158)</f>
        <v>O23011745992024020708016</v>
      </c>
      <c r="AF158" s="159" t="str">
        <f>IFERROR(VLOOKUP(AD158,TD!$J$66:$K$89,2,0)," ")</f>
        <v>PM/0131/0108/45990160207</v>
      </c>
      <c r="AG158" s="118" t="s">
        <v>385</v>
      </c>
      <c r="AH158" s="158" t="s">
        <v>193</v>
      </c>
      <c r="AI158" s="161" t="str">
        <f>CONCATENATE(PAA[[#This Row],[Id Interno]],"-",PAA[[#This Row],[tipo de Contrato (TH talento humano - B/S bienes y/o servicios)]],"-",S158,"-",T158,"-",PAA[[#This Row],[Objeto de la contratación]])</f>
        <v>20260118-TH-8126-9-Prestar los servicios profesionales especializados para la representación judicial  de la Entidad y la prevención del daño antijurídico.</v>
      </c>
    </row>
    <row r="159" spans="2:35" ht="84" x14ac:dyDescent="0.35">
      <c r="B159" s="23">
        <v>20260119</v>
      </c>
      <c r="C159" s="99" t="s">
        <v>413</v>
      </c>
      <c r="D159" s="23" t="s">
        <v>105</v>
      </c>
      <c r="E159" s="23" t="s">
        <v>363</v>
      </c>
      <c r="F159" s="155" t="s">
        <v>145</v>
      </c>
      <c r="G159" s="156" t="s">
        <v>374</v>
      </c>
      <c r="H159" s="157">
        <v>8</v>
      </c>
      <c r="I159" s="157">
        <v>0</v>
      </c>
      <c r="J159" s="127">
        <v>28800000</v>
      </c>
      <c r="K159" s="88" t="s">
        <v>398</v>
      </c>
      <c r="L159" s="155" t="s">
        <v>153</v>
      </c>
      <c r="M159" s="158" t="s">
        <v>420</v>
      </c>
      <c r="N159" s="23" t="s">
        <v>197</v>
      </c>
      <c r="O159" s="151" t="s">
        <v>957</v>
      </c>
      <c r="P159" s="155" t="s">
        <v>348</v>
      </c>
      <c r="Q159" s="53">
        <v>80111600</v>
      </c>
      <c r="R159" s="158" t="s">
        <v>208</v>
      </c>
      <c r="S159" s="158" t="str">
        <f>MID(PAA[[#This Row],[Meta Proyecto de Inversión]],1,4)</f>
        <v>8126</v>
      </c>
      <c r="T159" s="158" t="str">
        <f>MID(PAA[[#This Row],[Meta Proyecto de Inversión]],6,1)</f>
        <v>9</v>
      </c>
      <c r="U159" s="159" t="str">
        <f>IFERROR(VLOOKUP(N159,TD!$B$50:$F$54,2,0)," ")</f>
        <v>O230117</v>
      </c>
      <c r="V159" s="159" t="str">
        <f>IFERROR(VLOOKUP(N159,TD!$B$50:$F$54,3,0)," ")</f>
        <v>4599</v>
      </c>
      <c r="W159" s="159">
        <f>IFERROR(VLOOKUP(N159,TD!$B$50:$F$54,4,0)," ")</f>
        <v>20240207</v>
      </c>
      <c r="X159" s="158" t="s">
        <v>174</v>
      </c>
      <c r="Y159" s="159" t="str">
        <f>IFERROR(VLOOKUP(X159,TD!$J$51:$K$64,2,0)," ")</f>
        <v>Infraestructura física, mantenimiento y dotación (Sedes construidas, mantenidas reforzadas)</v>
      </c>
      <c r="Z159" s="160" t="str">
        <f>CONCATENATE(X159,"-",Y159)</f>
        <v>08-Infraestructura física, mantenimiento y dotación (Sedes construidas, mantenidas reforzadas)</v>
      </c>
      <c r="AA159" s="158" t="s">
        <v>227</v>
      </c>
      <c r="AB159" s="159" t="str">
        <f>IFERROR(VLOOKUP(AA159,TD!$N$51:$O$66,2,0)," ")</f>
        <v>Sedes mantenidas</v>
      </c>
      <c r="AC159" s="160" t="str">
        <f>CONCATENATE(AA159,"_",AB159)</f>
        <v>016_Sedes mantenidas</v>
      </c>
      <c r="AD159" s="160" t="str">
        <f>CONCATENATE(Z159," ",AC159)</f>
        <v>08-Infraestructura física, mantenimiento y dotación (Sedes construidas, mantenidas reforzadas) 016_Sedes mantenidas</v>
      </c>
      <c r="AE159" s="159" t="str">
        <f>CONCATENATE(U159,V159,W159,X159,AA159)</f>
        <v>O23011745992024020708016</v>
      </c>
      <c r="AF159" s="159" t="str">
        <f>IFERROR(VLOOKUP(AD159,TD!$J$66:$K$89,2,0)," ")</f>
        <v>PM/0131/0108/45990160207</v>
      </c>
      <c r="AG159" s="118" t="s">
        <v>385</v>
      </c>
      <c r="AH159" s="158" t="s">
        <v>193</v>
      </c>
      <c r="AI159" s="161" t="str">
        <f>CONCATENATE(PAA[[#This Row],[Id Interno]],"-",PAA[[#This Row],[tipo de Contrato (TH talento humano - B/S bienes y/o servicios)]],"-",S159,"-",T159,"-",PAA[[#This Row],[Objeto de la contratación]])</f>
        <v>20260119-TH-8126-9-Prestar los servicios de apoyo para las gestiones administrativas requeridas en la Oficina Jurídica.</v>
      </c>
    </row>
    <row r="160" spans="2:35" ht="98" x14ac:dyDescent="0.35">
      <c r="B160" s="23">
        <v>20260120</v>
      </c>
      <c r="C160" s="99" t="s">
        <v>414</v>
      </c>
      <c r="D160" s="23" t="s">
        <v>105</v>
      </c>
      <c r="E160" s="23" t="s">
        <v>363</v>
      </c>
      <c r="F160" s="155" t="s">
        <v>145</v>
      </c>
      <c r="G160" s="156" t="s">
        <v>374</v>
      </c>
      <c r="H160" s="157">
        <v>8</v>
      </c>
      <c r="I160" s="157">
        <v>0</v>
      </c>
      <c r="J160" s="127">
        <v>28800000</v>
      </c>
      <c r="K160" s="88" t="s">
        <v>398</v>
      </c>
      <c r="L160" s="155" t="s">
        <v>153</v>
      </c>
      <c r="M160" s="158" t="s">
        <v>420</v>
      </c>
      <c r="N160" s="23" t="s">
        <v>197</v>
      </c>
      <c r="O160" s="151" t="s">
        <v>957</v>
      </c>
      <c r="P160" s="155" t="s">
        <v>348</v>
      </c>
      <c r="Q160" s="53">
        <v>80111600</v>
      </c>
      <c r="R160" s="158" t="s">
        <v>208</v>
      </c>
      <c r="S160" s="158" t="str">
        <f>MID(PAA[[#This Row],[Meta Proyecto de Inversión]],1,4)</f>
        <v>8126</v>
      </c>
      <c r="T160" s="158" t="str">
        <f>MID(PAA[[#This Row],[Meta Proyecto de Inversión]],6,1)</f>
        <v>9</v>
      </c>
      <c r="U160" s="159" t="str">
        <f>IFERROR(VLOOKUP(N160,TD!$B$50:$F$54,2,0)," ")</f>
        <v>O230117</v>
      </c>
      <c r="V160" s="159" t="str">
        <f>IFERROR(VLOOKUP(N160,TD!$B$50:$F$54,3,0)," ")</f>
        <v>4599</v>
      </c>
      <c r="W160" s="159">
        <f>IFERROR(VLOOKUP(N160,TD!$B$50:$F$54,4,0)," ")</f>
        <v>20240207</v>
      </c>
      <c r="X160" s="158" t="s">
        <v>174</v>
      </c>
      <c r="Y160" s="159" t="str">
        <f>IFERROR(VLOOKUP(X160,TD!$J$51:$K$64,2,0)," ")</f>
        <v>Infraestructura física, mantenimiento y dotación (Sedes construidas, mantenidas reforzadas)</v>
      </c>
      <c r="Z160" s="160" t="str">
        <f>CONCATENATE(X160,"-",Y160)</f>
        <v>08-Infraestructura física, mantenimiento y dotación (Sedes construidas, mantenidas reforzadas)</v>
      </c>
      <c r="AA160" s="158" t="s">
        <v>227</v>
      </c>
      <c r="AB160" s="159" t="str">
        <f>IFERROR(VLOOKUP(AA160,TD!$N$51:$O$66,2,0)," ")</f>
        <v>Sedes mantenidas</v>
      </c>
      <c r="AC160" s="160" t="str">
        <f>CONCATENATE(AA160,"_",AB160)</f>
        <v>016_Sedes mantenidas</v>
      </c>
      <c r="AD160" s="160" t="str">
        <f>CONCATENATE(Z160," ",AC160)</f>
        <v>08-Infraestructura física, mantenimiento y dotación (Sedes construidas, mantenidas reforzadas) 016_Sedes mantenidas</v>
      </c>
      <c r="AE160" s="159" t="str">
        <f>CONCATENATE(U160,V160,W160,X160,AA160)</f>
        <v>O23011745992024020708016</v>
      </c>
      <c r="AF160" s="159" t="str">
        <f>IFERROR(VLOOKUP(AD160,TD!$J$66:$K$89,2,0)," ")</f>
        <v>PM/0131/0108/45990160207</v>
      </c>
      <c r="AG160" s="118" t="s">
        <v>385</v>
      </c>
      <c r="AH160" s="158" t="s">
        <v>193</v>
      </c>
      <c r="AI160" s="161" t="str">
        <f>CONCATENATE(PAA[[#This Row],[Id Interno]],"-",PAA[[#This Row],[tipo de Contrato (TH talento humano - B/S bienes y/o servicios)]],"-",S160,"-",T160,"-",PAA[[#This Row],[Objeto de la contratación]])</f>
        <v>20260120-TH-8126-9-Prestar los servicios de apoyo para las gestiones documentales y administrativas requerida por la Oficina  Jurídica.</v>
      </c>
    </row>
    <row r="161" spans="2:35" ht="98" x14ac:dyDescent="0.35">
      <c r="B161" s="23">
        <v>20260121</v>
      </c>
      <c r="C161" s="99" t="s">
        <v>414</v>
      </c>
      <c r="D161" s="23" t="s">
        <v>105</v>
      </c>
      <c r="E161" s="23" t="s">
        <v>363</v>
      </c>
      <c r="F161" s="155" t="s">
        <v>145</v>
      </c>
      <c r="G161" s="156" t="s">
        <v>374</v>
      </c>
      <c r="H161" s="157">
        <v>8</v>
      </c>
      <c r="I161" s="157">
        <v>0</v>
      </c>
      <c r="J161" s="127">
        <v>28800000</v>
      </c>
      <c r="K161" s="88" t="s">
        <v>398</v>
      </c>
      <c r="L161" s="155" t="s">
        <v>153</v>
      </c>
      <c r="M161" s="158" t="s">
        <v>420</v>
      </c>
      <c r="N161" s="23" t="s">
        <v>197</v>
      </c>
      <c r="O161" s="151" t="s">
        <v>957</v>
      </c>
      <c r="P161" s="155" t="s">
        <v>348</v>
      </c>
      <c r="Q161" s="53">
        <v>80111600</v>
      </c>
      <c r="R161" s="158" t="s">
        <v>208</v>
      </c>
      <c r="S161" s="158" t="str">
        <f>MID(PAA[[#This Row],[Meta Proyecto de Inversión]],1,4)</f>
        <v>8126</v>
      </c>
      <c r="T161" s="158" t="str">
        <f>MID(PAA[[#This Row],[Meta Proyecto de Inversión]],6,1)</f>
        <v>9</v>
      </c>
      <c r="U161" s="159" t="str">
        <f>IFERROR(VLOOKUP(N161,TD!$B$50:$F$54,2,0)," ")</f>
        <v>O230117</v>
      </c>
      <c r="V161" s="159" t="str">
        <f>IFERROR(VLOOKUP(N161,TD!$B$50:$F$54,3,0)," ")</f>
        <v>4599</v>
      </c>
      <c r="W161" s="159">
        <f>IFERROR(VLOOKUP(N161,TD!$B$50:$F$54,4,0)," ")</f>
        <v>20240207</v>
      </c>
      <c r="X161" s="158" t="s">
        <v>174</v>
      </c>
      <c r="Y161" s="159" t="str">
        <f>IFERROR(VLOOKUP(X161,TD!$J$51:$K$64,2,0)," ")</f>
        <v>Infraestructura física, mantenimiento y dotación (Sedes construidas, mantenidas reforzadas)</v>
      </c>
      <c r="Z161" s="160" t="str">
        <f>CONCATENATE(X161,"-",Y161)</f>
        <v>08-Infraestructura física, mantenimiento y dotación (Sedes construidas, mantenidas reforzadas)</v>
      </c>
      <c r="AA161" s="158" t="s">
        <v>227</v>
      </c>
      <c r="AB161" s="159" t="str">
        <f>IFERROR(VLOOKUP(AA161,TD!$N$51:$O$66,2,0)," ")</f>
        <v>Sedes mantenidas</v>
      </c>
      <c r="AC161" s="160" t="str">
        <f>CONCATENATE(AA161,"_",AB161)</f>
        <v>016_Sedes mantenidas</v>
      </c>
      <c r="AD161" s="160" t="str">
        <f>CONCATENATE(Z161," ",AC161)</f>
        <v>08-Infraestructura física, mantenimiento y dotación (Sedes construidas, mantenidas reforzadas) 016_Sedes mantenidas</v>
      </c>
      <c r="AE161" s="159" t="str">
        <f>CONCATENATE(U161,V161,W161,X161,AA161)</f>
        <v>O23011745992024020708016</v>
      </c>
      <c r="AF161" s="159" t="str">
        <f>IFERROR(VLOOKUP(AD161,TD!$J$66:$K$89,2,0)," ")</f>
        <v>PM/0131/0108/45990160207</v>
      </c>
      <c r="AG161" s="118" t="s">
        <v>385</v>
      </c>
      <c r="AH161" s="158" t="s">
        <v>193</v>
      </c>
      <c r="AI161" s="161" t="str">
        <f>CONCATENATE(PAA[[#This Row],[Id Interno]],"-",PAA[[#This Row],[tipo de Contrato (TH talento humano - B/S bienes y/o servicios)]],"-",S161,"-",T161,"-",PAA[[#This Row],[Objeto de la contratación]])</f>
        <v>20260121-TH-8126-9-Prestar los servicios de apoyo para las gestiones documentales y administrativas requerida por la Oficina  Jurídica.</v>
      </c>
    </row>
    <row r="162" spans="2:35" ht="98" x14ac:dyDescent="0.35">
      <c r="B162" s="23">
        <v>20260122</v>
      </c>
      <c r="C162" s="99" t="s">
        <v>415</v>
      </c>
      <c r="D162" s="23" t="s">
        <v>105</v>
      </c>
      <c r="E162" s="23" t="s">
        <v>363</v>
      </c>
      <c r="F162" s="155" t="s">
        <v>144</v>
      </c>
      <c r="G162" s="156" t="s">
        <v>374</v>
      </c>
      <c r="H162" s="157">
        <v>8</v>
      </c>
      <c r="I162" s="157">
        <v>0</v>
      </c>
      <c r="J162" s="127">
        <v>64000000</v>
      </c>
      <c r="K162" s="88" t="s">
        <v>398</v>
      </c>
      <c r="L162" s="155" t="s">
        <v>153</v>
      </c>
      <c r="M162" s="158" t="s">
        <v>420</v>
      </c>
      <c r="N162" s="23" t="s">
        <v>197</v>
      </c>
      <c r="O162" s="151" t="s">
        <v>957</v>
      </c>
      <c r="P162" s="155" t="s">
        <v>348</v>
      </c>
      <c r="Q162" s="53">
        <v>80111600</v>
      </c>
      <c r="R162" s="158" t="s">
        <v>208</v>
      </c>
      <c r="S162" s="158" t="str">
        <f>MID(PAA[[#This Row],[Meta Proyecto de Inversión]],1,4)</f>
        <v>8126</v>
      </c>
      <c r="T162" s="158" t="str">
        <f>MID(PAA[[#This Row],[Meta Proyecto de Inversión]],6,1)</f>
        <v>9</v>
      </c>
      <c r="U162" s="159" t="str">
        <f>IFERROR(VLOOKUP(N162,TD!$B$50:$F$54,2,0)," ")</f>
        <v>O230117</v>
      </c>
      <c r="V162" s="159" t="str">
        <f>IFERROR(VLOOKUP(N162,TD!$B$50:$F$54,3,0)," ")</f>
        <v>4599</v>
      </c>
      <c r="W162" s="159">
        <f>IFERROR(VLOOKUP(N162,TD!$B$50:$F$54,4,0)," ")</f>
        <v>20240207</v>
      </c>
      <c r="X162" s="158" t="s">
        <v>174</v>
      </c>
      <c r="Y162" s="159" t="str">
        <f>IFERROR(VLOOKUP(X162,TD!$J$51:$K$64,2,0)," ")</f>
        <v>Infraestructura física, mantenimiento y dotación (Sedes construidas, mantenidas reforzadas)</v>
      </c>
      <c r="Z162" s="160" t="str">
        <f>CONCATENATE(X162,"-",Y162)</f>
        <v>08-Infraestructura física, mantenimiento y dotación (Sedes construidas, mantenidas reforzadas)</v>
      </c>
      <c r="AA162" s="158" t="s">
        <v>227</v>
      </c>
      <c r="AB162" s="159" t="str">
        <f>IFERROR(VLOOKUP(AA162,TD!$N$51:$O$66,2,0)," ")</f>
        <v>Sedes mantenidas</v>
      </c>
      <c r="AC162" s="160" t="str">
        <f>CONCATENATE(AA162,"_",AB162)</f>
        <v>016_Sedes mantenidas</v>
      </c>
      <c r="AD162" s="160" t="str">
        <f>CONCATENATE(Z162," ",AC162)</f>
        <v>08-Infraestructura física, mantenimiento y dotación (Sedes construidas, mantenidas reforzadas) 016_Sedes mantenidas</v>
      </c>
      <c r="AE162" s="159" t="str">
        <f>CONCATENATE(U162,V162,W162,X162,AA162)</f>
        <v>O23011745992024020708016</v>
      </c>
      <c r="AF162" s="159" t="str">
        <f>IFERROR(VLOOKUP(AD162,TD!$J$66:$K$89,2,0)," ")</f>
        <v>PM/0131/0108/45990160207</v>
      </c>
      <c r="AG162" s="118" t="s">
        <v>385</v>
      </c>
      <c r="AH162" s="158" t="s">
        <v>193</v>
      </c>
      <c r="AI162" s="161" t="str">
        <f>CONCATENATE(PAA[[#This Row],[Id Interno]],"-",PAA[[#This Row],[tipo de Contrato (TH talento humano - B/S bienes y/o servicios)]],"-",S162,"-",T162,"-",PAA[[#This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63" spans="2:35" ht="98" x14ac:dyDescent="0.35">
      <c r="B163" s="23">
        <v>20260123</v>
      </c>
      <c r="C163" s="99" t="s">
        <v>416</v>
      </c>
      <c r="D163" s="23" t="s">
        <v>105</v>
      </c>
      <c r="E163" s="23" t="s">
        <v>363</v>
      </c>
      <c r="F163" s="155" t="s">
        <v>144</v>
      </c>
      <c r="G163" s="156" t="s">
        <v>374</v>
      </c>
      <c r="H163" s="157">
        <v>8</v>
      </c>
      <c r="I163" s="157">
        <v>0</v>
      </c>
      <c r="J163" s="127">
        <v>46100000</v>
      </c>
      <c r="K163" s="88" t="s">
        <v>398</v>
      </c>
      <c r="L163" s="155" t="s">
        <v>153</v>
      </c>
      <c r="M163" s="158" t="s">
        <v>420</v>
      </c>
      <c r="N163" s="23" t="s">
        <v>197</v>
      </c>
      <c r="O163" s="151" t="s">
        <v>957</v>
      </c>
      <c r="P163" s="155" t="s">
        <v>348</v>
      </c>
      <c r="Q163" s="53">
        <v>80111600</v>
      </c>
      <c r="R163" s="158" t="s">
        <v>208</v>
      </c>
      <c r="S163" s="158" t="str">
        <f>MID(PAA[[#This Row],[Meta Proyecto de Inversión]],1,4)</f>
        <v>8126</v>
      </c>
      <c r="T163" s="158" t="str">
        <f>MID(PAA[[#This Row],[Meta Proyecto de Inversión]],6,1)</f>
        <v>9</v>
      </c>
      <c r="U163" s="159" t="str">
        <f>IFERROR(VLOOKUP(N163,TD!$B$50:$F$54,2,0)," ")</f>
        <v>O230117</v>
      </c>
      <c r="V163" s="159" t="str">
        <f>IFERROR(VLOOKUP(N163,TD!$B$50:$F$54,3,0)," ")</f>
        <v>4599</v>
      </c>
      <c r="W163" s="159">
        <f>IFERROR(VLOOKUP(N163,TD!$B$50:$F$54,4,0)," ")</f>
        <v>20240207</v>
      </c>
      <c r="X163" s="158" t="s">
        <v>174</v>
      </c>
      <c r="Y163" s="159" t="str">
        <f>IFERROR(VLOOKUP(X163,TD!$J$51:$K$64,2,0)," ")</f>
        <v>Infraestructura física, mantenimiento y dotación (Sedes construidas, mantenidas reforzadas)</v>
      </c>
      <c r="Z163" s="160" t="str">
        <f>CONCATENATE(X163,"-",Y163)</f>
        <v>08-Infraestructura física, mantenimiento y dotación (Sedes construidas, mantenidas reforzadas)</v>
      </c>
      <c r="AA163" s="158" t="s">
        <v>227</v>
      </c>
      <c r="AB163" s="159" t="str">
        <f>IFERROR(VLOOKUP(AA163,TD!$N$51:$O$66,2,0)," ")</f>
        <v>Sedes mantenidas</v>
      </c>
      <c r="AC163" s="160" t="str">
        <f>CONCATENATE(AA163,"_",AB163)</f>
        <v>016_Sedes mantenidas</v>
      </c>
      <c r="AD163" s="160" t="str">
        <f>CONCATENATE(Z163," ",AC163)</f>
        <v>08-Infraestructura física, mantenimiento y dotación (Sedes construidas, mantenidas reforzadas) 016_Sedes mantenidas</v>
      </c>
      <c r="AE163" s="159" t="str">
        <f>CONCATENATE(U163,V163,W163,X163,AA163)</f>
        <v>O23011745992024020708016</v>
      </c>
      <c r="AF163" s="159" t="str">
        <f>IFERROR(VLOOKUP(AD163,TD!$J$66:$K$89,2,0)," ")</f>
        <v>PM/0131/0108/45990160207</v>
      </c>
      <c r="AG163" s="118" t="s">
        <v>385</v>
      </c>
      <c r="AH163" s="158" t="s">
        <v>193</v>
      </c>
      <c r="AI163" s="161" t="str">
        <f>CONCATENATE(PAA[[#This Row],[Id Interno]],"-",PAA[[#This Row],[tipo de Contrato (TH talento humano - B/S bienes y/o servicios)]],"-",S163,"-",T163,"-",PAA[[#This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64" spans="2:35" ht="98" x14ac:dyDescent="0.35">
      <c r="B164" s="23">
        <v>20260124</v>
      </c>
      <c r="C164" s="99" t="s">
        <v>417</v>
      </c>
      <c r="D164" s="23" t="s">
        <v>105</v>
      </c>
      <c r="E164" s="23" t="s">
        <v>363</v>
      </c>
      <c r="F164" s="155" t="s">
        <v>144</v>
      </c>
      <c r="G164" s="156" t="s">
        <v>374</v>
      </c>
      <c r="H164" s="157">
        <v>8</v>
      </c>
      <c r="I164" s="157">
        <v>0</v>
      </c>
      <c r="J164" s="127">
        <v>60000000</v>
      </c>
      <c r="K164" s="88" t="s">
        <v>398</v>
      </c>
      <c r="L164" s="155" t="s">
        <v>153</v>
      </c>
      <c r="M164" s="158" t="s">
        <v>420</v>
      </c>
      <c r="N164" s="23" t="s">
        <v>197</v>
      </c>
      <c r="O164" s="151" t="s">
        <v>957</v>
      </c>
      <c r="P164" s="155" t="s">
        <v>348</v>
      </c>
      <c r="Q164" s="53">
        <v>80111600</v>
      </c>
      <c r="R164" s="158" t="s">
        <v>208</v>
      </c>
      <c r="S164" s="158" t="str">
        <f>MID(PAA[[#This Row],[Meta Proyecto de Inversión]],1,4)</f>
        <v>8126</v>
      </c>
      <c r="T164" s="158" t="str">
        <f>MID(PAA[[#This Row],[Meta Proyecto de Inversión]],6,1)</f>
        <v>9</v>
      </c>
      <c r="U164" s="159" t="str">
        <f>IFERROR(VLOOKUP(N164,TD!$B$50:$F$54,2,0)," ")</f>
        <v>O230117</v>
      </c>
      <c r="V164" s="159" t="str">
        <f>IFERROR(VLOOKUP(N164,TD!$B$50:$F$54,3,0)," ")</f>
        <v>4599</v>
      </c>
      <c r="W164" s="159">
        <f>IFERROR(VLOOKUP(N164,TD!$B$50:$F$54,4,0)," ")</f>
        <v>20240207</v>
      </c>
      <c r="X164" s="158" t="s">
        <v>174</v>
      </c>
      <c r="Y164" s="159" t="str">
        <f>IFERROR(VLOOKUP(X164,TD!$J$51:$K$64,2,0)," ")</f>
        <v>Infraestructura física, mantenimiento y dotación (Sedes construidas, mantenidas reforzadas)</v>
      </c>
      <c r="Z164" s="160" t="str">
        <f>CONCATENATE(X164,"-",Y164)</f>
        <v>08-Infraestructura física, mantenimiento y dotación (Sedes construidas, mantenidas reforzadas)</v>
      </c>
      <c r="AA164" s="158" t="s">
        <v>227</v>
      </c>
      <c r="AB164" s="159" t="str">
        <f>IFERROR(VLOOKUP(AA164,TD!$N$51:$O$66,2,0)," ")</f>
        <v>Sedes mantenidas</v>
      </c>
      <c r="AC164" s="160" t="str">
        <f>CONCATENATE(AA164,"_",AB164)</f>
        <v>016_Sedes mantenidas</v>
      </c>
      <c r="AD164" s="160" t="str">
        <f>CONCATENATE(Z164," ",AC164)</f>
        <v>08-Infraestructura física, mantenimiento y dotación (Sedes construidas, mantenidas reforzadas) 016_Sedes mantenidas</v>
      </c>
      <c r="AE164" s="159" t="str">
        <f>CONCATENATE(U164,V164,W164,X164,AA164)</f>
        <v>O23011745992024020708016</v>
      </c>
      <c r="AF164" s="159" t="str">
        <f>IFERROR(VLOOKUP(AD164,TD!$J$66:$K$89,2,0)," ")</f>
        <v>PM/0131/0108/45990160207</v>
      </c>
      <c r="AG164" s="118" t="s">
        <v>385</v>
      </c>
      <c r="AH164" s="158" t="s">
        <v>193</v>
      </c>
      <c r="AI164" s="161" t="str">
        <f>CONCATENATE(PAA[[#This Row],[Id Interno]],"-",PAA[[#This Row],[tipo de Contrato (TH talento humano - B/S bienes y/o servicios)]],"-",S164,"-",T164,"-",PAA[[#This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65" spans="2:35" ht="112" x14ac:dyDescent="0.35">
      <c r="B165" s="23">
        <v>20260125</v>
      </c>
      <c r="C165" s="99" t="s">
        <v>418</v>
      </c>
      <c r="D165" s="23" t="s">
        <v>105</v>
      </c>
      <c r="E165" s="23" t="s">
        <v>363</v>
      </c>
      <c r="F165" s="155" t="s">
        <v>144</v>
      </c>
      <c r="G165" s="156" t="s">
        <v>374</v>
      </c>
      <c r="H165" s="157">
        <v>8</v>
      </c>
      <c r="I165" s="157">
        <v>0</v>
      </c>
      <c r="J165" s="127">
        <v>64000000</v>
      </c>
      <c r="K165" s="88" t="s">
        <v>398</v>
      </c>
      <c r="L165" s="155" t="s">
        <v>153</v>
      </c>
      <c r="M165" s="158" t="s">
        <v>420</v>
      </c>
      <c r="N165" s="23" t="s">
        <v>197</v>
      </c>
      <c r="O165" s="151" t="s">
        <v>957</v>
      </c>
      <c r="P165" s="155" t="s">
        <v>348</v>
      </c>
      <c r="Q165" s="53">
        <v>80111600</v>
      </c>
      <c r="R165" s="158" t="s">
        <v>208</v>
      </c>
      <c r="S165" s="158" t="str">
        <f>MID(PAA[[#This Row],[Meta Proyecto de Inversión]],1,4)</f>
        <v>8126</v>
      </c>
      <c r="T165" s="158" t="str">
        <f>MID(PAA[[#This Row],[Meta Proyecto de Inversión]],6,1)</f>
        <v>9</v>
      </c>
      <c r="U165" s="159" t="str">
        <f>IFERROR(VLOOKUP(N165,TD!$B$50:$F$54,2,0)," ")</f>
        <v>O230117</v>
      </c>
      <c r="V165" s="159" t="str">
        <f>IFERROR(VLOOKUP(N165,TD!$B$50:$F$54,3,0)," ")</f>
        <v>4599</v>
      </c>
      <c r="W165" s="159">
        <f>IFERROR(VLOOKUP(N165,TD!$B$50:$F$54,4,0)," ")</f>
        <v>20240207</v>
      </c>
      <c r="X165" s="158" t="s">
        <v>174</v>
      </c>
      <c r="Y165" s="159" t="str">
        <f>IFERROR(VLOOKUP(X165,TD!$J$51:$K$64,2,0)," ")</f>
        <v>Infraestructura física, mantenimiento y dotación (Sedes construidas, mantenidas reforzadas)</v>
      </c>
      <c r="Z165" s="160" t="str">
        <f>CONCATENATE(X165,"-",Y165)</f>
        <v>08-Infraestructura física, mantenimiento y dotación (Sedes construidas, mantenidas reforzadas)</v>
      </c>
      <c r="AA165" s="158" t="s">
        <v>227</v>
      </c>
      <c r="AB165" s="159" t="str">
        <f>IFERROR(VLOOKUP(AA165,TD!$N$51:$O$66,2,0)," ")</f>
        <v>Sedes mantenidas</v>
      </c>
      <c r="AC165" s="160" t="str">
        <f>CONCATENATE(AA165,"_",AB165)</f>
        <v>016_Sedes mantenidas</v>
      </c>
      <c r="AD165" s="160" t="str">
        <f>CONCATENATE(Z165," ",AC165)</f>
        <v>08-Infraestructura física, mantenimiento y dotación (Sedes construidas, mantenidas reforzadas) 016_Sedes mantenidas</v>
      </c>
      <c r="AE165" s="159" t="str">
        <f>CONCATENATE(U165,V165,W165,X165,AA165)</f>
        <v>O23011745992024020708016</v>
      </c>
      <c r="AF165" s="159" t="str">
        <f>IFERROR(VLOOKUP(AD165,TD!$J$66:$K$89,2,0)," ")</f>
        <v>PM/0131/0108/45990160207</v>
      </c>
      <c r="AG165" s="118" t="s">
        <v>385</v>
      </c>
      <c r="AH165" s="158" t="s">
        <v>193</v>
      </c>
      <c r="AI165" s="161" t="str">
        <f>CONCATENATE(PAA[[#This Row],[Id Interno]],"-",PAA[[#This Row],[tipo de Contrato (TH talento humano - B/S bienes y/o servicios)]],"-",S165,"-",T165,"-",PAA[[#This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66" spans="2:35" ht="98" x14ac:dyDescent="0.35">
      <c r="B166" s="23">
        <v>20260126</v>
      </c>
      <c r="C166" s="99" t="s">
        <v>941</v>
      </c>
      <c r="D166" s="23" t="s">
        <v>105</v>
      </c>
      <c r="E166" s="23" t="s">
        <v>363</v>
      </c>
      <c r="F166" s="155" t="s">
        <v>144</v>
      </c>
      <c r="G166" s="156" t="s">
        <v>374</v>
      </c>
      <c r="H166" s="157">
        <v>8</v>
      </c>
      <c r="I166" s="157">
        <v>0</v>
      </c>
      <c r="J166" s="127">
        <v>64000000</v>
      </c>
      <c r="K166" s="88" t="s">
        <v>398</v>
      </c>
      <c r="L166" s="155" t="s">
        <v>153</v>
      </c>
      <c r="M166" s="158" t="s">
        <v>420</v>
      </c>
      <c r="N166" s="23" t="s">
        <v>197</v>
      </c>
      <c r="O166" s="151" t="s">
        <v>957</v>
      </c>
      <c r="P166" s="155" t="s">
        <v>348</v>
      </c>
      <c r="Q166" s="53">
        <v>80111600</v>
      </c>
      <c r="R166" s="158" t="s">
        <v>208</v>
      </c>
      <c r="S166" s="158" t="str">
        <f>MID(PAA[[#This Row],[Meta Proyecto de Inversión]],1,4)</f>
        <v>8126</v>
      </c>
      <c r="T166" s="158" t="str">
        <f>MID(PAA[[#This Row],[Meta Proyecto de Inversión]],6,1)</f>
        <v>9</v>
      </c>
      <c r="U166" s="159" t="str">
        <f>IFERROR(VLOOKUP(N166,TD!$B$50:$F$54,2,0)," ")</f>
        <v>O230117</v>
      </c>
      <c r="V166" s="159" t="str">
        <f>IFERROR(VLOOKUP(N166,TD!$B$50:$F$54,3,0)," ")</f>
        <v>4599</v>
      </c>
      <c r="W166" s="159">
        <f>IFERROR(VLOOKUP(N166,TD!$B$50:$F$54,4,0)," ")</f>
        <v>20240207</v>
      </c>
      <c r="X166" s="158" t="s">
        <v>174</v>
      </c>
      <c r="Y166" s="159" t="str">
        <f>IFERROR(VLOOKUP(X166,TD!$J$51:$K$64,2,0)," ")</f>
        <v>Infraestructura física, mantenimiento y dotación (Sedes construidas, mantenidas reforzadas)</v>
      </c>
      <c r="Z166" s="160" t="str">
        <f>CONCATENATE(X166,"-",Y166)</f>
        <v>08-Infraestructura física, mantenimiento y dotación (Sedes construidas, mantenidas reforzadas)</v>
      </c>
      <c r="AA166" s="158" t="s">
        <v>227</v>
      </c>
      <c r="AB166" s="159" t="str">
        <f>IFERROR(VLOOKUP(AA166,TD!$N$51:$O$66,2,0)," ")</f>
        <v>Sedes mantenidas</v>
      </c>
      <c r="AC166" s="160" t="str">
        <f>CONCATENATE(AA166,"_",AB166)</f>
        <v>016_Sedes mantenidas</v>
      </c>
      <c r="AD166" s="160" t="str">
        <f>CONCATENATE(Z166," ",AC166)</f>
        <v>08-Infraestructura física, mantenimiento y dotación (Sedes construidas, mantenidas reforzadas) 016_Sedes mantenidas</v>
      </c>
      <c r="AE166" s="159" t="str">
        <f>CONCATENATE(U166,V166,W166,X166,AA166)</f>
        <v>O23011745992024020708016</v>
      </c>
      <c r="AF166" s="159" t="str">
        <f>IFERROR(VLOOKUP(AD166,TD!$J$66:$K$89,2,0)," ")</f>
        <v>PM/0131/0108/45990160207</v>
      </c>
      <c r="AG166" s="118" t="s">
        <v>385</v>
      </c>
      <c r="AH166" s="158" t="s">
        <v>193</v>
      </c>
      <c r="AI166" s="161" t="str">
        <f>CONCATENATE(PAA[[#This Row],[Id Interno]],"-",PAA[[#This Row],[tipo de Contrato (TH talento humano - B/S bienes y/o servicios)]],"-",S166,"-",T166,"-",PAA[[#This Row],[Objeto de la contratación]])</f>
        <v>20260126-TH-8126-9-Prestar servicios profesionales de carácter jurídico para apoyar y fortalecer de manera integral las actividades propias de la Oficina Jurídica</v>
      </c>
    </row>
    <row r="167" spans="2:35" ht="112" x14ac:dyDescent="0.35">
      <c r="B167" s="23">
        <v>20260127</v>
      </c>
      <c r="C167" s="99" t="s">
        <v>419</v>
      </c>
      <c r="D167" s="23" t="s">
        <v>105</v>
      </c>
      <c r="E167" s="23" t="s">
        <v>363</v>
      </c>
      <c r="F167" s="155" t="s">
        <v>144</v>
      </c>
      <c r="G167" s="156" t="s">
        <v>374</v>
      </c>
      <c r="H167" s="157">
        <v>8</v>
      </c>
      <c r="I167" s="157">
        <v>0</v>
      </c>
      <c r="J167" s="127">
        <v>52000000</v>
      </c>
      <c r="K167" s="88" t="s">
        <v>398</v>
      </c>
      <c r="L167" s="155" t="s">
        <v>153</v>
      </c>
      <c r="M167" s="158" t="s">
        <v>420</v>
      </c>
      <c r="N167" s="23" t="s">
        <v>197</v>
      </c>
      <c r="O167" s="151" t="s">
        <v>957</v>
      </c>
      <c r="P167" s="155" t="s">
        <v>348</v>
      </c>
      <c r="Q167" s="53">
        <v>80111600</v>
      </c>
      <c r="R167" s="158" t="s">
        <v>208</v>
      </c>
      <c r="S167" s="158" t="str">
        <f>MID(PAA[[#This Row],[Meta Proyecto de Inversión]],1,4)</f>
        <v>8126</v>
      </c>
      <c r="T167" s="158" t="str">
        <f>MID(PAA[[#This Row],[Meta Proyecto de Inversión]],6,1)</f>
        <v>9</v>
      </c>
      <c r="U167" s="159" t="str">
        <f>IFERROR(VLOOKUP(N167,TD!$B$50:$F$54,2,0)," ")</f>
        <v>O230117</v>
      </c>
      <c r="V167" s="159" t="str">
        <f>IFERROR(VLOOKUP(N167,TD!$B$50:$F$54,3,0)," ")</f>
        <v>4599</v>
      </c>
      <c r="W167" s="159">
        <f>IFERROR(VLOOKUP(N167,TD!$B$50:$F$54,4,0)," ")</f>
        <v>20240207</v>
      </c>
      <c r="X167" s="158" t="s">
        <v>174</v>
      </c>
      <c r="Y167" s="159" t="str">
        <f>IFERROR(VLOOKUP(X167,TD!$J$51:$K$64,2,0)," ")</f>
        <v>Infraestructura física, mantenimiento y dotación (Sedes construidas, mantenidas reforzadas)</v>
      </c>
      <c r="Z167" s="160" t="str">
        <f>CONCATENATE(X167,"-",Y167)</f>
        <v>08-Infraestructura física, mantenimiento y dotación (Sedes construidas, mantenidas reforzadas)</v>
      </c>
      <c r="AA167" s="158" t="s">
        <v>227</v>
      </c>
      <c r="AB167" s="159" t="str">
        <f>IFERROR(VLOOKUP(AA167,TD!$N$51:$O$66,2,0)," ")</f>
        <v>Sedes mantenidas</v>
      </c>
      <c r="AC167" s="160" t="str">
        <f>CONCATENATE(AA167,"_",AB167)</f>
        <v>016_Sedes mantenidas</v>
      </c>
      <c r="AD167" s="160" t="str">
        <f>CONCATENATE(Z167," ",AC167)</f>
        <v>08-Infraestructura física, mantenimiento y dotación (Sedes construidas, mantenidas reforzadas) 016_Sedes mantenidas</v>
      </c>
      <c r="AE167" s="159" t="str">
        <f>CONCATENATE(U167,V167,W167,X167,AA167)</f>
        <v>O23011745992024020708016</v>
      </c>
      <c r="AF167" s="159" t="str">
        <f>IFERROR(VLOOKUP(AD167,TD!$J$66:$K$89,2,0)," ")</f>
        <v>PM/0131/0108/45990160207</v>
      </c>
      <c r="AG167" s="118" t="s">
        <v>385</v>
      </c>
      <c r="AH167" s="158" t="s">
        <v>193</v>
      </c>
      <c r="AI167" s="161" t="str">
        <f>CONCATENATE(PAA[[#This Row],[Id Interno]],"-",PAA[[#This Row],[tipo de Contrato (TH talento humano - B/S bienes y/o servicios)]],"-",S167,"-",T167,"-",PAA[[#This Row],[Objeto de la contratación]])</f>
        <v>20260127-TH-8126-9-Prestar los servicios profesionales jurídicos para apoyar las actuaciones procesales y procedimentales de la Oficina Jurídica</v>
      </c>
    </row>
    <row r="168" spans="2:35" ht="98" x14ac:dyDescent="0.35">
      <c r="B168" s="23">
        <v>20260128</v>
      </c>
      <c r="C168" s="99" t="s">
        <v>630</v>
      </c>
      <c r="D168" s="23" t="s">
        <v>105</v>
      </c>
      <c r="E168" s="23" t="s">
        <v>363</v>
      </c>
      <c r="F168" s="155" t="s">
        <v>144</v>
      </c>
      <c r="G168" s="156" t="s">
        <v>373</v>
      </c>
      <c r="H168" s="157">
        <v>8</v>
      </c>
      <c r="I168" s="157">
        <v>0</v>
      </c>
      <c r="J168" s="127">
        <v>64000000</v>
      </c>
      <c r="K168" s="88" t="s">
        <v>398</v>
      </c>
      <c r="L168" s="155" t="s">
        <v>154</v>
      </c>
      <c r="M168" s="158" t="s">
        <v>460</v>
      </c>
      <c r="N168" s="23" t="s">
        <v>198</v>
      </c>
      <c r="O168" s="151" t="s">
        <v>958</v>
      </c>
      <c r="P168" s="155" t="s">
        <v>348</v>
      </c>
      <c r="Q168" s="53">
        <v>80111600</v>
      </c>
      <c r="R168" s="158" t="s">
        <v>218</v>
      </c>
      <c r="S168" s="158" t="str">
        <f>MID(PAA[[#This Row],[Meta Proyecto de Inversión]],1,4)</f>
        <v>8173</v>
      </c>
      <c r="T168" s="158" t="str">
        <f>MID(PAA[[#This Row],[Meta Proyecto de Inversión]],6,1)</f>
        <v>9</v>
      </c>
      <c r="U168" s="159" t="str">
        <f>IFERROR(VLOOKUP(N168,TD!$B$50:$F$54,2,0)," ")</f>
        <v>O230117</v>
      </c>
      <c r="V168" s="159" t="str">
        <f>IFERROR(VLOOKUP(N168,TD!$B$50:$F$54,3,0)," ")</f>
        <v>4503</v>
      </c>
      <c r="W168" s="159">
        <f>IFERROR(VLOOKUP(N168,TD!$B$50:$F$54,4,0)," ")</f>
        <v>20240255</v>
      </c>
      <c r="X168" s="158" t="s">
        <v>172</v>
      </c>
      <c r="Y168" s="159" t="str">
        <f>IFERROR(VLOOKUP(X168,TD!$J$51:$K$64,2,0)," ")</f>
        <v>Servicio de formación en gestión del riesgo de incendios para el personal UAECOB</v>
      </c>
      <c r="Z168" s="160" t="str">
        <f>CONCATENATE(X168,"-",Y168)</f>
        <v>07-Servicio de formación en gestión del riesgo de incendios para el personal UAECOB</v>
      </c>
      <c r="AA168" s="158" t="s">
        <v>222</v>
      </c>
      <c r="AB168" s="159" t="str">
        <f>IFERROR(VLOOKUP(AA168,TD!$N$51:$O$66,2,0)," ")</f>
        <v>Servicio de educación informal</v>
      </c>
      <c r="AC168" s="160" t="str">
        <f>CONCATENATE(AA168,"_",AB168)</f>
        <v>002_Servicio de educación informal</v>
      </c>
      <c r="AD168" s="160" t="str">
        <f>CONCATENATE(Z168," ",AC168)</f>
        <v>07-Servicio de formación en gestión del riesgo de incendios para el personal UAECOB 002_Servicio de educación informal</v>
      </c>
      <c r="AE168" s="159" t="str">
        <f>CONCATENATE(U168,V168,W168,X168,AA168)</f>
        <v>O23011745032024025507002</v>
      </c>
      <c r="AF168" s="159" t="str">
        <f>IFERROR(VLOOKUP(AD168,TD!$J$66:$K$89,2,0)," ")</f>
        <v>PM/0131/0107/45030020255</v>
      </c>
      <c r="AG168" s="118" t="s">
        <v>385</v>
      </c>
      <c r="AH168" s="158" t="s">
        <v>193</v>
      </c>
      <c r="AI168" s="161" t="str">
        <f>CONCATENATE(PAA[[#This Row],[Id Interno]],"-",PAA[[#This Row],[tipo de Contrato (TH talento humano - B/S bienes y/o servicios)]],"-",S168,"-",T168,"-",PAA[[#This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69" spans="2:35" ht="112" x14ac:dyDescent="0.35">
      <c r="B169" s="23">
        <v>20260129</v>
      </c>
      <c r="C169" s="99" t="s">
        <v>631</v>
      </c>
      <c r="D169" s="23" t="s">
        <v>105</v>
      </c>
      <c r="E169" s="23" t="s">
        <v>363</v>
      </c>
      <c r="F169" s="155" t="s">
        <v>145</v>
      </c>
      <c r="G169" s="156" t="s">
        <v>373</v>
      </c>
      <c r="H169" s="157">
        <v>7</v>
      </c>
      <c r="I169" s="157">
        <v>0</v>
      </c>
      <c r="J169" s="127">
        <v>26600000</v>
      </c>
      <c r="K169" s="88" t="s">
        <v>398</v>
      </c>
      <c r="L169" s="155" t="s">
        <v>154</v>
      </c>
      <c r="M169" s="158" t="s">
        <v>460</v>
      </c>
      <c r="N169" s="23" t="s">
        <v>197</v>
      </c>
      <c r="O169" s="151" t="s">
        <v>957</v>
      </c>
      <c r="P169" s="155" t="s">
        <v>348</v>
      </c>
      <c r="Q169" s="53">
        <v>80111600</v>
      </c>
      <c r="R169" s="158" t="s">
        <v>208</v>
      </c>
      <c r="S169" s="158" t="str">
        <f>MID(PAA[[#This Row],[Meta Proyecto de Inversión]],1,4)</f>
        <v>8126</v>
      </c>
      <c r="T169" s="158" t="str">
        <f>MID(PAA[[#This Row],[Meta Proyecto de Inversión]],6,1)</f>
        <v>9</v>
      </c>
      <c r="U169" s="159" t="str">
        <f>IFERROR(VLOOKUP(N169,TD!$B$50:$F$54,2,0)," ")</f>
        <v>O230117</v>
      </c>
      <c r="V169" s="159" t="str">
        <f>IFERROR(VLOOKUP(N169,TD!$B$50:$F$54,3,0)," ")</f>
        <v>4599</v>
      </c>
      <c r="W169" s="159">
        <f>IFERROR(VLOOKUP(N169,TD!$B$50:$F$54,4,0)," ")</f>
        <v>20240207</v>
      </c>
      <c r="X169" s="158" t="s">
        <v>174</v>
      </c>
      <c r="Y169" s="159" t="str">
        <f>IFERROR(VLOOKUP(X169,TD!$J$51:$K$64,2,0)," ")</f>
        <v>Infraestructura física, mantenimiento y dotación (Sedes construidas, mantenidas reforzadas)</v>
      </c>
      <c r="Z169" s="160" t="str">
        <f>CONCATENATE(X169,"-",Y169)</f>
        <v>08-Infraestructura física, mantenimiento y dotación (Sedes construidas, mantenidas reforzadas)</v>
      </c>
      <c r="AA169" s="158" t="s">
        <v>227</v>
      </c>
      <c r="AB169" s="159" t="str">
        <f>IFERROR(VLOOKUP(AA169,TD!$N$51:$O$66,2,0)," ")</f>
        <v>Sedes mantenidas</v>
      </c>
      <c r="AC169" s="160" t="str">
        <f>CONCATENATE(AA169,"_",AB169)</f>
        <v>016_Sedes mantenidas</v>
      </c>
      <c r="AD169" s="160" t="str">
        <f>CONCATENATE(Z169," ",AC169)</f>
        <v>08-Infraestructura física, mantenimiento y dotación (Sedes construidas, mantenidas reforzadas) 016_Sedes mantenidas</v>
      </c>
      <c r="AE169" s="159" t="str">
        <f>CONCATENATE(U169,V169,W169,X169,AA169)</f>
        <v>O23011745992024020708016</v>
      </c>
      <c r="AF169" s="159" t="str">
        <f>IFERROR(VLOOKUP(AD169,TD!$J$66:$K$89,2,0)," ")</f>
        <v>PM/0131/0108/45990160207</v>
      </c>
      <c r="AG169" s="118" t="s">
        <v>385</v>
      </c>
      <c r="AH169" s="158" t="s">
        <v>193</v>
      </c>
      <c r="AI169" s="161" t="str">
        <f>CONCATENATE(PAA[[#This Row],[Id Interno]],"-",PAA[[#This Row],[tipo de Contrato (TH talento humano - B/S bienes y/o servicios)]],"-",S169,"-",T169,"-",PAA[[#This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70" spans="2:35" ht="98" x14ac:dyDescent="0.35">
      <c r="B170" s="23">
        <v>20260130</v>
      </c>
      <c r="C170" s="99" t="s">
        <v>632</v>
      </c>
      <c r="D170" s="23" t="s">
        <v>105</v>
      </c>
      <c r="E170" s="23" t="s">
        <v>363</v>
      </c>
      <c r="F170" s="155" t="s">
        <v>145</v>
      </c>
      <c r="G170" s="156" t="s">
        <v>373</v>
      </c>
      <c r="H170" s="157">
        <v>11</v>
      </c>
      <c r="I170" s="157">
        <v>0</v>
      </c>
      <c r="J170" s="127">
        <v>46200000</v>
      </c>
      <c r="K170" s="88" t="s">
        <v>398</v>
      </c>
      <c r="L170" s="155" t="s">
        <v>154</v>
      </c>
      <c r="M170" s="158" t="s">
        <v>460</v>
      </c>
      <c r="N170" s="23" t="s">
        <v>197</v>
      </c>
      <c r="O170" s="151" t="s">
        <v>957</v>
      </c>
      <c r="P170" s="155" t="s">
        <v>348</v>
      </c>
      <c r="Q170" s="53">
        <v>80111600</v>
      </c>
      <c r="R170" s="158" t="s">
        <v>208</v>
      </c>
      <c r="S170" s="158" t="str">
        <f>MID(PAA[[#This Row],[Meta Proyecto de Inversión]],1,4)</f>
        <v>8126</v>
      </c>
      <c r="T170" s="158" t="str">
        <f>MID(PAA[[#This Row],[Meta Proyecto de Inversión]],6,1)</f>
        <v>9</v>
      </c>
      <c r="U170" s="159" t="str">
        <f>IFERROR(VLOOKUP(N170,TD!$B$50:$F$54,2,0)," ")</f>
        <v>O230117</v>
      </c>
      <c r="V170" s="159" t="str">
        <f>IFERROR(VLOOKUP(N170,TD!$B$50:$F$54,3,0)," ")</f>
        <v>4599</v>
      </c>
      <c r="W170" s="159">
        <f>IFERROR(VLOOKUP(N170,TD!$B$50:$F$54,4,0)," ")</f>
        <v>20240207</v>
      </c>
      <c r="X170" s="158" t="s">
        <v>174</v>
      </c>
      <c r="Y170" s="159" t="str">
        <f>IFERROR(VLOOKUP(X170,TD!$J$51:$K$64,2,0)," ")</f>
        <v>Infraestructura física, mantenimiento y dotación (Sedes construidas, mantenidas reforzadas)</v>
      </c>
      <c r="Z170" s="160" t="str">
        <f>CONCATENATE(X170,"-",Y170)</f>
        <v>08-Infraestructura física, mantenimiento y dotación (Sedes construidas, mantenidas reforzadas)</v>
      </c>
      <c r="AA170" s="158" t="s">
        <v>227</v>
      </c>
      <c r="AB170" s="159" t="str">
        <f>IFERROR(VLOOKUP(AA170,TD!$N$51:$O$66,2,0)," ")</f>
        <v>Sedes mantenidas</v>
      </c>
      <c r="AC170" s="160" t="str">
        <f>CONCATENATE(AA170,"_",AB170)</f>
        <v>016_Sedes mantenidas</v>
      </c>
      <c r="AD170" s="160" t="str">
        <f>CONCATENATE(Z170," ",AC170)</f>
        <v>08-Infraestructura física, mantenimiento y dotación (Sedes construidas, mantenidas reforzadas) 016_Sedes mantenidas</v>
      </c>
      <c r="AE170" s="159" t="str">
        <f>CONCATENATE(U170,V170,W170,X170,AA170)</f>
        <v>O23011745992024020708016</v>
      </c>
      <c r="AF170" s="159" t="str">
        <f>IFERROR(VLOOKUP(AD170,TD!$J$66:$K$89,2,0)," ")</f>
        <v>PM/0131/0108/45990160207</v>
      </c>
      <c r="AG170" s="118" t="s">
        <v>385</v>
      </c>
      <c r="AH170" s="158" t="s">
        <v>193</v>
      </c>
      <c r="AI170" s="161" t="str">
        <f>CONCATENATE(PAA[[#This Row],[Id Interno]],"-",PAA[[#This Row],[tipo de Contrato (TH talento humano - B/S bienes y/o servicios)]],"-",S170,"-",T170,"-",PAA[[#This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71" spans="2:35" ht="98" x14ac:dyDescent="0.35">
      <c r="B171" s="23">
        <v>20260131</v>
      </c>
      <c r="C171" s="99" t="s">
        <v>631</v>
      </c>
      <c r="D171" s="23" t="s">
        <v>105</v>
      </c>
      <c r="E171" s="23" t="s">
        <v>363</v>
      </c>
      <c r="F171" s="155" t="s">
        <v>145</v>
      </c>
      <c r="G171" s="156" t="s">
        <v>373</v>
      </c>
      <c r="H171" s="157">
        <v>7</v>
      </c>
      <c r="I171" s="157">
        <v>0</v>
      </c>
      <c r="J171" s="127">
        <v>26600000</v>
      </c>
      <c r="K171" s="88" t="s">
        <v>398</v>
      </c>
      <c r="L171" s="155" t="s">
        <v>154</v>
      </c>
      <c r="M171" s="158" t="s">
        <v>460</v>
      </c>
      <c r="N171" s="23" t="s">
        <v>197</v>
      </c>
      <c r="O171" s="151" t="s">
        <v>957</v>
      </c>
      <c r="P171" s="155" t="s">
        <v>348</v>
      </c>
      <c r="Q171" s="53">
        <v>80111600</v>
      </c>
      <c r="R171" s="158" t="s">
        <v>208</v>
      </c>
      <c r="S171" s="158" t="str">
        <f>MID(PAA[[#This Row],[Meta Proyecto de Inversión]],1,4)</f>
        <v>8126</v>
      </c>
      <c r="T171" s="158" t="str">
        <f>MID(PAA[[#This Row],[Meta Proyecto de Inversión]],6,1)</f>
        <v>9</v>
      </c>
      <c r="U171" s="159" t="str">
        <f>IFERROR(VLOOKUP(N171,TD!$B$50:$F$54,2,0)," ")</f>
        <v>O230117</v>
      </c>
      <c r="V171" s="159" t="str">
        <f>IFERROR(VLOOKUP(N171,TD!$B$50:$F$54,3,0)," ")</f>
        <v>4599</v>
      </c>
      <c r="W171" s="159">
        <f>IFERROR(VLOOKUP(N171,TD!$B$50:$F$54,4,0)," ")</f>
        <v>20240207</v>
      </c>
      <c r="X171" s="158" t="s">
        <v>174</v>
      </c>
      <c r="Y171" s="159" t="str">
        <f>IFERROR(VLOOKUP(X171,TD!$J$51:$K$64,2,0)," ")</f>
        <v>Infraestructura física, mantenimiento y dotación (Sedes construidas, mantenidas reforzadas)</v>
      </c>
      <c r="Z171" s="160" t="str">
        <f>CONCATENATE(X171,"-",Y171)</f>
        <v>08-Infraestructura física, mantenimiento y dotación (Sedes construidas, mantenidas reforzadas)</v>
      </c>
      <c r="AA171" s="158" t="s">
        <v>227</v>
      </c>
      <c r="AB171" s="159" t="str">
        <f>IFERROR(VLOOKUP(AA171,TD!$N$51:$O$66,2,0)," ")</f>
        <v>Sedes mantenidas</v>
      </c>
      <c r="AC171" s="160" t="str">
        <f>CONCATENATE(AA171,"_",AB171)</f>
        <v>016_Sedes mantenidas</v>
      </c>
      <c r="AD171" s="160" t="str">
        <f>CONCATENATE(Z171," ",AC171)</f>
        <v>08-Infraestructura física, mantenimiento y dotación (Sedes construidas, mantenidas reforzadas) 016_Sedes mantenidas</v>
      </c>
      <c r="AE171" s="159" t="str">
        <f>CONCATENATE(U171,V171,W171,X171,AA171)</f>
        <v>O23011745992024020708016</v>
      </c>
      <c r="AF171" s="159" t="str">
        <f>IFERROR(VLOOKUP(AD171,TD!$J$66:$K$89,2,0)," ")</f>
        <v>PM/0131/0108/45990160207</v>
      </c>
      <c r="AG171" s="118" t="s">
        <v>385</v>
      </c>
      <c r="AH171" s="158" t="s">
        <v>193</v>
      </c>
      <c r="AI171" s="161" t="str">
        <f>CONCATENATE(PAA[[#This Row],[Id Interno]],"-",PAA[[#This Row],[tipo de Contrato (TH talento humano - B/S bienes y/o servicios)]],"-",S171,"-",T171,"-",PAA[[#This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72" spans="2:35" ht="98" x14ac:dyDescent="0.35">
      <c r="B172" s="23">
        <v>20260132</v>
      </c>
      <c r="C172" s="99" t="s">
        <v>631</v>
      </c>
      <c r="D172" s="23" t="s">
        <v>105</v>
      </c>
      <c r="E172" s="23" t="s">
        <v>363</v>
      </c>
      <c r="F172" s="155" t="s">
        <v>145</v>
      </c>
      <c r="G172" s="156" t="s">
        <v>373</v>
      </c>
      <c r="H172" s="157">
        <v>11</v>
      </c>
      <c r="I172" s="157">
        <v>0</v>
      </c>
      <c r="J172" s="127">
        <v>41800000</v>
      </c>
      <c r="K172" s="88" t="s">
        <v>398</v>
      </c>
      <c r="L172" s="155" t="s">
        <v>154</v>
      </c>
      <c r="M172" s="158" t="s">
        <v>460</v>
      </c>
      <c r="N172" s="23" t="s">
        <v>197</v>
      </c>
      <c r="O172" s="151" t="s">
        <v>957</v>
      </c>
      <c r="P172" s="155" t="s">
        <v>348</v>
      </c>
      <c r="Q172" s="53">
        <v>80111600</v>
      </c>
      <c r="R172" s="158" t="s">
        <v>208</v>
      </c>
      <c r="S172" s="158" t="str">
        <f>MID(PAA[[#This Row],[Meta Proyecto de Inversión]],1,4)</f>
        <v>8126</v>
      </c>
      <c r="T172" s="158" t="str">
        <f>MID(PAA[[#This Row],[Meta Proyecto de Inversión]],6,1)</f>
        <v>9</v>
      </c>
      <c r="U172" s="159" t="str">
        <f>IFERROR(VLOOKUP(N172,TD!$B$50:$F$54,2,0)," ")</f>
        <v>O230117</v>
      </c>
      <c r="V172" s="159" t="str">
        <f>IFERROR(VLOOKUP(N172,TD!$B$50:$F$54,3,0)," ")</f>
        <v>4599</v>
      </c>
      <c r="W172" s="159">
        <f>IFERROR(VLOOKUP(N172,TD!$B$50:$F$54,4,0)," ")</f>
        <v>20240207</v>
      </c>
      <c r="X172" s="158" t="s">
        <v>174</v>
      </c>
      <c r="Y172" s="159" t="str">
        <f>IFERROR(VLOOKUP(X172,TD!$J$51:$K$64,2,0)," ")</f>
        <v>Infraestructura física, mantenimiento y dotación (Sedes construidas, mantenidas reforzadas)</v>
      </c>
      <c r="Z172" s="160" t="str">
        <f>CONCATENATE(X172,"-",Y172)</f>
        <v>08-Infraestructura física, mantenimiento y dotación (Sedes construidas, mantenidas reforzadas)</v>
      </c>
      <c r="AA172" s="158" t="s">
        <v>227</v>
      </c>
      <c r="AB172" s="159" t="str">
        <f>IFERROR(VLOOKUP(AA172,TD!$N$51:$O$66,2,0)," ")</f>
        <v>Sedes mantenidas</v>
      </c>
      <c r="AC172" s="160" t="str">
        <f>CONCATENATE(AA172,"_",AB172)</f>
        <v>016_Sedes mantenidas</v>
      </c>
      <c r="AD172" s="160" t="str">
        <f>CONCATENATE(Z172," ",AC172)</f>
        <v>08-Infraestructura física, mantenimiento y dotación (Sedes construidas, mantenidas reforzadas) 016_Sedes mantenidas</v>
      </c>
      <c r="AE172" s="159" t="str">
        <f>CONCATENATE(U172,V172,W172,X172,AA172)</f>
        <v>O23011745992024020708016</v>
      </c>
      <c r="AF172" s="159" t="str">
        <f>IFERROR(VLOOKUP(AD172,TD!$J$66:$K$89,2,0)," ")</f>
        <v>PM/0131/0108/45990160207</v>
      </c>
      <c r="AG172" s="118" t="s">
        <v>385</v>
      </c>
      <c r="AH172" s="158" t="s">
        <v>193</v>
      </c>
      <c r="AI172" s="161" t="str">
        <f>CONCATENATE(PAA[[#This Row],[Id Interno]],"-",PAA[[#This Row],[tipo de Contrato (TH talento humano - B/S bienes y/o servicios)]],"-",S172,"-",T172,"-",PAA[[#This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73" spans="2:35" ht="84" x14ac:dyDescent="0.35">
      <c r="B173" s="23">
        <v>20260133</v>
      </c>
      <c r="C173" s="99" t="s">
        <v>633</v>
      </c>
      <c r="D173" s="23" t="s">
        <v>105</v>
      </c>
      <c r="E173" s="23" t="s">
        <v>363</v>
      </c>
      <c r="F173" s="155" t="s">
        <v>145</v>
      </c>
      <c r="G173" s="156" t="s">
        <v>373</v>
      </c>
      <c r="H173" s="157">
        <v>7</v>
      </c>
      <c r="I173" s="157">
        <v>0</v>
      </c>
      <c r="J173" s="127">
        <v>28700000</v>
      </c>
      <c r="K173" s="88" t="s">
        <v>398</v>
      </c>
      <c r="L173" s="155" t="s">
        <v>154</v>
      </c>
      <c r="M173" s="158" t="s">
        <v>460</v>
      </c>
      <c r="N173" s="23" t="s">
        <v>197</v>
      </c>
      <c r="O173" s="151" t="s">
        <v>957</v>
      </c>
      <c r="P173" s="155" t="s">
        <v>348</v>
      </c>
      <c r="Q173" s="53">
        <v>80111600</v>
      </c>
      <c r="R173" s="158" t="s">
        <v>208</v>
      </c>
      <c r="S173" s="158" t="str">
        <f>MID(PAA[[#This Row],[Meta Proyecto de Inversión]],1,4)</f>
        <v>8126</v>
      </c>
      <c r="T173" s="158" t="str">
        <f>MID(PAA[[#This Row],[Meta Proyecto de Inversión]],6,1)</f>
        <v>9</v>
      </c>
      <c r="U173" s="159" t="str">
        <f>IFERROR(VLOOKUP(N173,TD!$B$50:$F$54,2,0)," ")</f>
        <v>O230117</v>
      </c>
      <c r="V173" s="159" t="str">
        <f>IFERROR(VLOOKUP(N173,TD!$B$50:$F$54,3,0)," ")</f>
        <v>4599</v>
      </c>
      <c r="W173" s="159">
        <f>IFERROR(VLOOKUP(N173,TD!$B$50:$F$54,4,0)," ")</f>
        <v>20240207</v>
      </c>
      <c r="X173" s="158" t="s">
        <v>174</v>
      </c>
      <c r="Y173" s="159" t="str">
        <f>IFERROR(VLOOKUP(X173,TD!$J$51:$K$64,2,0)," ")</f>
        <v>Infraestructura física, mantenimiento y dotación (Sedes construidas, mantenidas reforzadas)</v>
      </c>
      <c r="Z173" s="160" t="str">
        <f>CONCATENATE(X173,"-",Y173)</f>
        <v>08-Infraestructura física, mantenimiento y dotación (Sedes construidas, mantenidas reforzadas)</v>
      </c>
      <c r="AA173" s="158" t="s">
        <v>227</v>
      </c>
      <c r="AB173" s="159" t="str">
        <f>IFERROR(VLOOKUP(AA173,TD!$N$51:$O$66,2,0)," ")</f>
        <v>Sedes mantenidas</v>
      </c>
      <c r="AC173" s="160" t="str">
        <f>CONCATENATE(AA173,"_",AB173)</f>
        <v>016_Sedes mantenidas</v>
      </c>
      <c r="AD173" s="160" t="str">
        <f>CONCATENATE(Z173," ",AC173)</f>
        <v>08-Infraestructura física, mantenimiento y dotación (Sedes construidas, mantenidas reforzadas) 016_Sedes mantenidas</v>
      </c>
      <c r="AE173" s="159" t="str">
        <f>CONCATENATE(U173,V173,W173,X173,AA173)</f>
        <v>O23011745992024020708016</v>
      </c>
      <c r="AF173" s="159" t="str">
        <f>IFERROR(VLOOKUP(AD173,TD!$J$66:$K$89,2,0)," ")</f>
        <v>PM/0131/0108/45990160207</v>
      </c>
      <c r="AG173" s="118" t="s">
        <v>385</v>
      </c>
      <c r="AH173" s="158" t="s">
        <v>193</v>
      </c>
      <c r="AI173" s="161" t="str">
        <f>CONCATENATE(PAA[[#This Row],[Id Interno]],"-",PAA[[#This Row],[tipo de Contrato (TH talento humano - B/S bienes y/o servicios)]],"-",S173,"-",T173,"-",PAA[[#This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174" spans="2:35" ht="112" x14ac:dyDescent="0.35">
      <c r="B174" s="23">
        <v>20260134</v>
      </c>
      <c r="C174" s="99" t="s">
        <v>634</v>
      </c>
      <c r="D174" s="23" t="s">
        <v>105</v>
      </c>
      <c r="E174" s="23" t="s">
        <v>363</v>
      </c>
      <c r="F174" s="155" t="s">
        <v>144</v>
      </c>
      <c r="G174" s="156" t="s">
        <v>373</v>
      </c>
      <c r="H174" s="157">
        <v>3</v>
      </c>
      <c r="I174" s="157">
        <v>15</v>
      </c>
      <c r="J174" s="127">
        <v>29400000</v>
      </c>
      <c r="K174" s="88" t="s">
        <v>398</v>
      </c>
      <c r="L174" s="155" t="s">
        <v>154</v>
      </c>
      <c r="M174" s="158" t="s">
        <v>460</v>
      </c>
      <c r="N174" s="23" t="s">
        <v>197</v>
      </c>
      <c r="O174" s="152" t="s">
        <v>957</v>
      </c>
      <c r="P174" s="155" t="s">
        <v>348</v>
      </c>
      <c r="Q174" s="53">
        <v>80111600</v>
      </c>
      <c r="R174" s="158" t="s">
        <v>208</v>
      </c>
      <c r="S174" s="158" t="str">
        <f>MID(PAA[[#This Row],[Meta Proyecto de Inversión]],1,4)</f>
        <v>8126</v>
      </c>
      <c r="T174" s="158" t="str">
        <f>MID(PAA[[#This Row],[Meta Proyecto de Inversión]],6,1)</f>
        <v>9</v>
      </c>
      <c r="U174" s="159" t="str">
        <f>IFERROR(VLOOKUP(N174,TD!$B$50:$F$54,2,0)," ")</f>
        <v>O230117</v>
      </c>
      <c r="V174" s="159" t="str">
        <f>IFERROR(VLOOKUP(N174,TD!$B$50:$F$54,3,0)," ")</f>
        <v>4599</v>
      </c>
      <c r="W174" s="159">
        <f>IFERROR(VLOOKUP(N174,TD!$B$50:$F$54,4,0)," ")</f>
        <v>20240207</v>
      </c>
      <c r="X174" s="158" t="s">
        <v>174</v>
      </c>
      <c r="Y174" s="159" t="str">
        <f>IFERROR(VLOOKUP(X174,TD!$J$51:$K$64,2,0)," ")</f>
        <v>Infraestructura física, mantenimiento y dotación (Sedes construidas, mantenidas reforzadas)</v>
      </c>
      <c r="Z174" s="160" t="str">
        <f>CONCATENATE(X174,"-",Y174)</f>
        <v>08-Infraestructura física, mantenimiento y dotación (Sedes construidas, mantenidas reforzadas)</v>
      </c>
      <c r="AA174" s="158" t="s">
        <v>227</v>
      </c>
      <c r="AB174" s="159" t="str">
        <f>IFERROR(VLOOKUP(AA174,TD!$N$51:$O$66,2,0)," ")</f>
        <v>Sedes mantenidas</v>
      </c>
      <c r="AC174" s="160" t="str">
        <f>CONCATENATE(AA174,"_",AB174)</f>
        <v>016_Sedes mantenidas</v>
      </c>
      <c r="AD174" s="160" t="str">
        <f>CONCATENATE(Z174," ",AC174)</f>
        <v>08-Infraestructura física, mantenimiento y dotación (Sedes construidas, mantenidas reforzadas) 016_Sedes mantenidas</v>
      </c>
      <c r="AE174" s="159" t="str">
        <f>CONCATENATE(U174,V174,W174,X174,AA174)</f>
        <v>O23011745992024020708016</v>
      </c>
      <c r="AF174" s="159" t="str">
        <f>IFERROR(VLOOKUP(AD174,TD!$J$66:$K$89,2,0)," ")</f>
        <v>PM/0131/0108/45990160207</v>
      </c>
      <c r="AG174" s="118" t="s">
        <v>385</v>
      </c>
      <c r="AH174" s="158" t="s">
        <v>193</v>
      </c>
      <c r="AI174" s="161" t="str">
        <f>CONCATENATE(PAA[[#This Row],[Id Interno]],"-",PAA[[#This Row],[tipo de Contrato (TH talento humano - B/S bienes y/o servicios)]],"-",S174,"-",T174,"-",PAA[[#This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75" spans="2:35" ht="126" x14ac:dyDescent="0.35">
      <c r="B175" s="23">
        <v>20260135</v>
      </c>
      <c r="C175" s="99" t="s">
        <v>635</v>
      </c>
      <c r="D175" s="23" t="s">
        <v>105</v>
      </c>
      <c r="E175" s="23" t="s">
        <v>363</v>
      </c>
      <c r="F175" s="155" t="s">
        <v>144</v>
      </c>
      <c r="G175" s="156" t="s">
        <v>373</v>
      </c>
      <c r="H175" s="157">
        <v>5</v>
      </c>
      <c r="I175" s="157">
        <v>0</v>
      </c>
      <c r="J175" s="127">
        <v>29500000</v>
      </c>
      <c r="K175" s="88" t="s">
        <v>398</v>
      </c>
      <c r="L175" s="155" t="s">
        <v>154</v>
      </c>
      <c r="M175" s="158" t="s">
        <v>460</v>
      </c>
      <c r="N175" s="23" t="s">
        <v>197</v>
      </c>
      <c r="O175" s="151" t="s">
        <v>957</v>
      </c>
      <c r="P175" s="155" t="s">
        <v>348</v>
      </c>
      <c r="Q175" s="53">
        <v>80111600</v>
      </c>
      <c r="R175" s="158" t="s">
        <v>208</v>
      </c>
      <c r="S175" s="158" t="str">
        <f>MID(PAA[[#This Row],[Meta Proyecto de Inversión]],1,4)</f>
        <v>8126</v>
      </c>
      <c r="T175" s="158" t="str">
        <f>MID(PAA[[#This Row],[Meta Proyecto de Inversión]],6,1)</f>
        <v>9</v>
      </c>
      <c r="U175" s="159" t="str">
        <f>IFERROR(VLOOKUP(N175,TD!$B$50:$F$54,2,0)," ")</f>
        <v>O230117</v>
      </c>
      <c r="V175" s="159" t="str">
        <f>IFERROR(VLOOKUP(N175,TD!$B$50:$F$54,3,0)," ")</f>
        <v>4599</v>
      </c>
      <c r="W175" s="159">
        <f>IFERROR(VLOOKUP(N175,TD!$B$50:$F$54,4,0)," ")</f>
        <v>20240207</v>
      </c>
      <c r="X175" s="158" t="s">
        <v>174</v>
      </c>
      <c r="Y175" s="159" t="str">
        <f>IFERROR(VLOOKUP(X175,TD!$J$51:$K$64,2,0)," ")</f>
        <v>Infraestructura física, mantenimiento y dotación (Sedes construidas, mantenidas reforzadas)</v>
      </c>
      <c r="Z175" s="160" t="str">
        <f>CONCATENATE(X175,"-",Y175)</f>
        <v>08-Infraestructura física, mantenimiento y dotación (Sedes construidas, mantenidas reforzadas)</v>
      </c>
      <c r="AA175" s="158" t="s">
        <v>227</v>
      </c>
      <c r="AB175" s="159" t="str">
        <f>IFERROR(VLOOKUP(AA175,TD!$N$51:$O$66,2,0)," ")</f>
        <v>Sedes mantenidas</v>
      </c>
      <c r="AC175" s="160" t="str">
        <f>CONCATENATE(AA175,"_",AB175)</f>
        <v>016_Sedes mantenidas</v>
      </c>
      <c r="AD175" s="160" t="str">
        <f>CONCATENATE(Z175," ",AC175)</f>
        <v>08-Infraestructura física, mantenimiento y dotación (Sedes construidas, mantenidas reforzadas) 016_Sedes mantenidas</v>
      </c>
      <c r="AE175" s="159" t="str">
        <f>CONCATENATE(U175,V175,W175,X175,AA175)</f>
        <v>O23011745992024020708016</v>
      </c>
      <c r="AF175" s="159" t="str">
        <f>IFERROR(VLOOKUP(AD175,TD!$J$66:$K$89,2,0)," ")</f>
        <v>PM/0131/0108/45990160207</v>
      </c>
      <c r="AG175" s="118" t="s">
        <v>385</v>
      </c>
      <c r="AH175" s="158" t="s">
        <v>193</v>
      </c>
      <c r="AI175" s="161" t="str">
        <f>CONCATENATE(PAA[[#This Row],[Id Interno]],"-",PAA[[#This Row],[tipo de Contrato (TH talento humano - B/S bienes y/o servicios)]],"-",S175,"-",T175,"-",PAA[[#This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176" spans="2:35" ht="98" x14ac:dyDescent="0.35">
      <c r="B176" s="23">
        <v>20260136</v>
      </c>
      <c r="C176" s="99" t="s">
        <v>461</v>
      </c>
      <c r="D176" s="23" t="s">
        <v>105</v>
      </c>
      <c r="E176" s="23" t="s">
        <v>363</v>
      </c>
      <c r="F176" s="155" t="s">
        <v>144</v>
      </c>
      <c r="G176" s="156" t="s">
        <v>373</v>
      </c>
      <c r="H176" s="157">
        <v>10</v>
      </c>
      <c r="I176" s="157">
        <v>0</v>
      </c>
      <c r="J176" s="127">
        <v>67000000</v>
      </c>
      <c r="K176" s="88" t="s">
        <v>398</v>
      </c>
      <c r="L176" s="155" t="s">
        <v>154</v>
      </c>
      <c r="M176" s="158" t="s">
        <v>460</v>
      </c>
      <c r="N176" s="23" t="s">
        <v>197</v>
      </c>
      <c r="O176" s="151" t="s">
        <v>957</v>
      </c>
      <c r="P176" s="155" t="s">
        <v>348</v>
      </c>
      <c r="Q176" s="53">
        <v>80111600</v>
      </c>
      <c r="R176" s="158" t="s">
        <v>208</v>
      </c>
      <c r="S176" s="158" t="str">
        <f>MID(PAA[[#This Row],[Meta Proyecto de Inversión]],1,4)</f>
        <v>8126</v>
      </c>
      <c r="T176" s="158" t="str">
        <f>MID(PAA[[#This Row],[Meta Proyecto de Inversión]],6,1)</f>
        <v>9</v>
      </c>
      <c r="U176" s="159" t="str">
        <f>IFERROR(VLOOKUP(N176,TD!$B$50:$F$54,2,0)," ")</f>
        <v>O230117</v>
      </c>
      <c r="V176" s="159" t="str">
        <f>IFERROR(VLOOKUP(N176,TD!$B$50:$F$54,3,0)," ")</f>
        <v>4599</v>
      </c>
      <c r="W176" s="159">
        <f>IFERROR(VLOOKUP(N176,TD!$B$50:$F$54,4,0)," ")</f>
        <v>20240207</v>
      </c>
      <c r="X176" s="158" t="s">
        <v>174</v>
      </c>
      <c r="Y176" s="159" t="str">
        <f>IFERROR(VLOOKUP(X176,TD!$J$51:$K$64,2,0)," ")</f>
        <v>Infraestructura física, mantenimiento y dotación (Sedes construidas, mantenidas reforzadas)</v>
      </c>
      <c r="Z176" s="160" t="str">
        <f>CONCATENATE(X176,"-",Y176)</f>
        <v>08-Infraestructura física, mantenimiento y dotación (Sedes construidas, mantenidas reforzadas)</v>
      </c>
      <c r="AA176" s="158" t="s">
        <v>227</v>
      </c>
      <c r="AB176" s="159" t="str">
        <f>IFERROR(VLOOKUP(AA176,TD!$N$51:$O$66,2,0)," ")</f>
        <v>Sedes mantenidas</v>
      </c>
      <c r="AC176" s="160" t="str">
        <f>CONCATENATE(AA176,"_",AB176)</f>
        <v>016_Sedes mantenidas</v>
      </c>
      <c r="AD176" s="160" t="str">
        <f>CONCATENATE(Z176," ",AC176)</f>
        <v>08-Infraestructura física, mantenimiento y dotación (Sedes construidas, mantenidas reforzadas) 016_Sedes mantenidas</v>
      </c>
      <c r="AE176" s="159" t="str">
        <f>CONCATENATE(U176,V176,W176,X176,AA176)</f>
        <v>O23011745992024020708016</v>
      </c>
      <c r="AF176" s="159" t="str">
        <f>IFERROR(VLOOKUP(AD176,TD!$J$66:$K$89,2,0)," ")</f>
        <v>PM/0131/0108/45990160207</v>
      </c>
      <c r="AG176" s="118" t="s">
        <v>385</v>
      </c>
      <c r="AH176" s="158" t="s">
        <v>193</v>
      </c>
      <c r="AI176" s="161" t="str">
        <f>CONCATENATE(PAA[[#This Row],[Id Interno]],"-",PAA[[#This Row],[tipo de Contrato (TH talento humano - B/S bienes y/o servicios)]],"-",S176,"-",T176,"-",PAA[[#This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177" spans="2:35" ht="98" x14ac:dyDescent="0.35">
      <c r="B177" s="23">
        <v>20260137</v>
      </c>
      <c r="C177" s="99" t="s">
        <v>462</v>
      </c>
      <c r="D177" s="23" t="s">
        <v>105</v>
      </c>
      <c r="E177" s="23" t="s">
        <v>363</v>
      </c>
      <c r="F177" s="155" t="s">
        <v>145</v>
      </c>
      <c r="G177" s="156" t="s">
        <v>373</v>
      </c>
      <c r="H177" s="157">
        <v>10</v>
      </c>
      <c r="I177" s="157">
        <v>0</v>
      </c>
      <c r="J177" s="127">
        <v>36000000</v>
      </c>
      <c r="K177" s="88" t="s">
        <v>398</v>
      </c>
      <c r="L177" s="155" t="s">
        <v>154</v>
      </c>
      <c r="M177" s="158" t="s">
        <v>460</v>
      </c>
      <c r="N177" s="23" t="s">
        <v>197</v>
      </c>
      <c r="O177" s="151" t="s">
        <v>957</v>
      </c>
      <c r="P177" s="155" t="s">
        <v>348</v>
      </c>
      <c r="Q177" s="53">
        <v>80111600</v>
      </c>
      <c r="R177" s="158" t="s">
        <v>208</v>
      </c>
      <c r="S177" s="158" t="str">
        <f>MID(PAA[[#This Row],[Meta Proyecto de Inversión]],1,4)</f>
        <v>8126</v>
      </c>
      <c r="T177" s="158" t="str">
        <f>MID(PAA[[#This Row],[Meta Proyecto de Inversión]],6,1)</f>
        <v>9</v>
      </c>
      <c r="U177" s="159" t="str">
        <f>IFERROR(VLOOKUP(N177,TD!$B$50:$F$54,2,0)," ")</f>
        <v>O230117</v>
      </c>
      <c r="V177" s="159" t="str">
        <f>IFERROR(VLOOKUP(N177,TD!$B$50:$F$54,3,0)," ")</f>
        <v>4599</v>
      </c>
      <c r="W177" s="159">
        <f>IFERROR(VLOOKUP(N177,TD!$B$50:$F$54,4,0)," ")</f>
        <v>20240207</v>
      </c>
      <c r="X177" s="158" t="s">
        <v>174</v>
      </c>
      <c r="Y177" s="159" t="str">
        <f>IFERROR(VLOOKUP(X177,TD!$J$51:$K$64,2,0)," ")</f>
        <v>Infraestructura física, mantenimiento y dotación (Sedes construidas, mantenidas reforzadas)</v>
      </c>
      <c r="Z177" s="160" t="str">
        <f>CONCATENATE(X177,"-",Y177)</f>
        <v>08-Infraestructura física, mantenimiento y dotación (Sedes construidas, mantenidas reforzadas)</v>
      </c>
      <c r="AA177" s="158" t="s">
        <v>227</v>
      </c>
      <c r="AB177" s="159" t="str">
        <f>IFERROR(VLOOKUP(AA177,TD!$N$51:$O$66,2,0)," ")</f>
        <v>Sedes mantenidas</v>
      </c>
      <c r="AC177" s="160" t="str">
        <f>CONCATENATE(AA177,"_",AB177)</f>
        <v>016_Sedes mantenidas</v>
      </c>
      <c r="AD177" s="160" t="str">
        <f>CONCATENATE(Z177," ",AC177)</f>
        <v>08-Infraestructura física, mantenimiento y dotación (Sedes construidas, mantenidas reforzadas) 016_Sedes mantenidas</v>
      </c>
      <c r="AE177" s="159" t="str">
        <f>CONCATENATE(U177,V177,W177,X177,AA177)</f>
        <v>O23011745992024020708016</v>
      </c>
      <c r="AF177" s="159" t="str">
        <f>IFERROR(VLOOKUP(AD177,TD!$J$66:$K$89,2,0)," ")</f>
        <v>PM/0131/0108/45990160207</v>
      </c>
      <c r="AG177" s="118" t="s">
        <v>385</v>
      </c>
      <c r="AH177" s="158" t="s">
        <v>193</v>
      </c>
      <c r="AI177" s="161" t="str">
        <f>CONCATENATE(PAA[[#This Row],[Id Interno]],"-",PAA[[#This Row],[tipo de Contrato (TH talento humano - B/S bienes y/o servicios)]],"-",S177,"-",T177,"-",PAA[[#This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178" spans="2:35" ht="84" x14ac:dyDescent="0.35">
      <c r="B178" s="23">
        <v>20260138</v>
      </c>
      <c r="C178" s="99" t="s">
        <v>463</v>
      </c>
      <c r="D178" s="23" t="s">
        <v>105</v>
      </c>
      <c r="E178" s="23" t="s">
        <v>363</v>
      </c>
      <c r="F178" s="155" t="s">
        <v>144</v>
      </c>
      <c r="G178" s="156" t="s">
        <v>373</v>
      </c>
      <c r="H178" s="157">
        <v>7</v>
      </c>
      <c r="I178" s="157">
        <v>0</v>
      </c>
      <c r="J178" s="127">
        <v>50400000</v>
      </c>
      <c r="K178" s="88" t="s">
        <v>398</v>
      </c>
      <c r="L178" s="155" t="s">
        <v>154</v>
      </c>
      <c r="M178" s="158" t="s">
        <v>460</v>
      </c>
      <c r="N178" s="23" t="s">
        <v>197</v>
      </c>
      <c r="O178" s="151" t="s">
        <v>957</v>
      </c>
      <c r="P178" s="155" t="s">
        <v>348</v>
      </c>
      <c r="Q178" s="53">
        <v>80111600</v>
      </c>
      <c r="R178" s="158" t="s">
        <v>208</v>
      </c>
      <c r="S178" s="158" t="str">
        <f>MID(PAA[[#This Row],[Meta Proyecto de Inversión]],1,4)</f>
        <v>8126</v>
      </c>
      <c r="T178" s="158" t="str">
        <f>MID(PAA[[#This Row],[Meta Proyecto de Inversión]],6,1)</f>
        <v>9</v>
      </c>
      <c r="U178" s="159" t="str">
        <f>IFERROR(VLOOKUP(N178,TD!$B$50:$F$54,2,0)," ")</f>
        <v>O230117</v>
      </c>
      <c r="V178" s="159" t="str">
        <f>IFERROR(VLOOKUP(N178,TD!$B$50:$F$54,3,0)," ")</f>
        <v>4599</v>
      </c>
      <c r="W178" s="159">
        <f>IFERROR(VLOOKUP(N178,TD!$B$50:$F$54,4,0)," ")</f>
        <v>20240207</v>
      </c>
      <c r="X178" s="158" t="s">
        <v>174</v>
      </c>
      <c r="Y178" s="159" t="str">
        <f>IFERROR(VLOOKUP(X178,TD!$J$51:$K$64,2,0)," ")</f>
        <v>Infraestructura física, mantenimiento y dotación (Sedes construidas, mantenidas reforzadas)</v>
      </c>
      <c r="Z178" s="160" t="str">
        <f>CONCATENATE(X178,"-",Y178)</f>
        <v>08-Infraestructura física, mantenimiento y dotación (Sedes construidas, mantenidas reforzadas)</v>
      </c>
      <c r="AA178" s="158" t="s">
        <v>227</v>
      </c>
      <c r="AB178" s="159" t="str">
        <f>IFERROR(VLOOKUP(AA178,TD!$N$51:$O$66,2,0)," ")</f>
        <v>Sedes mantenidas</v>
      </c>
      <c r="AC178" s="160" t="str">
        <f>CONCATENATE(AA178,"_",AB178)</f>
        <v>016_Sedes mantenidas</v>
      </c>
      <c r="AD178" s="160" t="str">
        <f>CONCATENATE(Z178," ",AC178)</f>
        <v>08-Infraestructura física, mantenimiento y dotación (Sedes construidas, mantenidas reforzadas) 016_Sedes mantenidas</v>
      </c>
      <c r="AE178" s="159" t="str">
        <f>CONCATENATE(U178,V178,W178,X178,AA178)</f>
        <v>O23011745992024020708016</v>
      </c>
      <c r="AF178" s="159" t="str">
        <f>IFERROR(VLOOKUP(AD178,TD!$J$66:$K$89,2,0)," ")</f>
        <v>PM/0131/0108/45990160207</v>
      </c>
      <c r="AG178" s="118" t="s">
        <v>385</v>
      </c>
      <c r="AH178" s="158" t="s">
        <v>193</v>
      </c>
      <c r="AI178" s="161" t="str">
        <f>CONCATENATE(PAA[[#This Row],[Id Interno]],"-",PAA[[#This Row],[tipo de Contrato (TH talento humano - B/S bienes y/o servicios)]],"-",S178,"-",T178,"-",PAA[[#This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179" spans="2:35" ht="168" x14ac:dyDescent="0.35">
      <c r="B179" s="23">
        <v>20260139</v>
      </c>
      <c r="C179" s="99" t="s">
        <v>1009</v>
      </c>
      <c r="D179" s="23" t="s">
        <v>105</v>
      </c>
      <c r="E179" s="23" t="s">
        <v>363</v>
      </c>
      <c r="F179" s="155" t="s">
        <v>144</v>
      </c>
      <c r="G179" s="156" t="s">
        <v>373</v>
      </c>
      <c r="H179" s="157">
        <v>7</v>
      </c>
      <c r="I179" s="157">
        <v>0</v>
      </c>
      <c r="J179" s="127">
        <v>50400000</v>
      </c>
      <c r="K179" s="88" t="s">
        <v>398</v>
      </c>
      <c r="L179" s="155" t="s">
        <v>154</v>
      </c>
      <c r="M179" s="158" t="s">
        <v>460</v>
      </c>
      <c r="N179" s="23" t="s">
        <v>197</v>
      </c>
      <c r="O179" s="151" t="s">
        <v>957</v>
      </c>
      <c r="P179" s="155" t="s">
        <v>348</v>
      </c>
      <c r="Q179" s="53">
        <v>80111600</v>
      </c>
      <c r="R179" s="158" t="s">
        <v>208</v>
      </c>
      <c r="S179" s="158" t="str">
        <f>MID(PAA[[#This Row],[Meta Proyecto de Inversión]],1,4)</f>
        <v>8126</v>
      </c>
      <c r="T179" s="158" t="str">
        <f>MID(PAA[[#This Row],[Meta Proyecto de Inversión]],6,1)</f>
        <v>9</v>
      </c>
      <c r="U179" s="159" t="str">
        <f>IFERROR(VLOOKUP(N179,TD!$B$50:$F$54,2,0)," ")</f>
        <v>O230117</v>
      </c>
      <c r="V179" s="159" t="str">
        <f>IFERROR(VLOOKUP(N179,TD!$B$50:$F$54,3,0)," ")</f>
        <v>4599</v>
      </c>
      <c r="W179" s="159">
        <f>IFERROR(VLOOKUP(N179,TD!$B$50:$F$54,4,0)," ")</f>
        <v>20240207</v>
      </c>
      <c r="X179" s="158" t="s">
        <v>174</v>
      </c>
      <c r="Y179" s="159" t="str">
        <f>IFERROR(VLOOKUP(X179,TD!$J$51:$K$64,2,0)," ")</f>
        <v>Infraestructura física, mantenimiento y dotación (Sedes construidas, mantenidas reforzadas)</v>
      </c>
      <c r="Z179" s="160" t="str">
        <f>CONCATENATE(X179,"-",Y179)</f>
        <v>08-Infraestructura física, mantenimiento y dotación (Sedes construidas, mantenidas reforzadas)</v>
      </c>
      <c r="AA179" s="158" t="s">
        <v>227</v>
      </c>
      <c r="AB179" s="159" t="str">
        <f>IFERROR(VLOOKUP(AA179,TD!$N$51:$O$66,2,0)," ")</f>
        <v>Sedes mantenidas</v>
      </c>
      <c r="AC179" s="160" t="str">
        <f>CONCATENATE(AA179,"_",AB179)</f>
        <v>016_Sedes mantenidas</v>
      </c>
      <c r="AD179" s="160" t="str">
        <f>CONCATENATE(Z179," ",AC179)</f>
        <v>08-Infraestructura física, mantenimiento y dotación (Sedes construidas, mantenidas reforzadas) 016_Sedes mantenidas</v>
      </c>
      <c r="AE179" s="159" t="str">
        <f>CONCATENATE(U179,V179,W179,X179,AA179)</f>
        <v>O23011745992024020708016</v>
      </c>
      <c r="AF179" s="159" t="str">
        <f>IFERROR(VLOOKUP(AD179,TD!$J$66:$K$89,2,0)," ")</f>
        <v>PM/0131/0108/45990160207</v>
      </c>
      <c r="AG179" s="118" t="s">
        <v>385</v>
      </c>
      <c r="AH179" s="158" t="s">
        <v>193</v>
      </c>
      <c r="AI179" s="161" t="str">
        <f>CONCATENATE(PAA[[#This Row],[Id Interno]],"-",PAA[[#This Row],[tipo de Contrato (TH talento humano - B/S bienes y/o servicios)]],"-",S179,"-",T179,"-",PAA[[#This Row],[Objeto de la contratación]])</f>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180" spans="2:35" ht="84" x14ac:dyDescent="0.35">
      <c r="B180" s="23">
        <v>20260140</v>
      </c>
      <c r="C180" s="99" t="s">
        <v>636</v>
      </c>
      <c r="D180" s="23" t="s">
        <v>105</v>
      </c>
      <c r="E180" s="23" t="s">
        <v>363</v>
      </c>
      <c r="F180" s="155" t="s">
        <v>144</v>
      </c>
      <c r="G180" s="156" t="s">
        <v>373</v>
      </c>
      <c r="H180" s="157">
        <v>7</v>
      </c>
      <c r="I180" s="157">
        <v>0</v>
      </c>
      <c r="J180" s="127">
        <v>38500000</v>
      </c>
      <c r="K180" s="88" t="s">
        <v>398</v>
      </c>
      <c r="L180" s="155" t="s">
        <v>154</v>
      </c>
      <c r="M180" s="158" t="s">
        <v>460</v>
      </c>
      <c r="N180" s="23" t="s">
        <v>197</v>
      </c>
      <c r="O180" s="151" t="s">
        <v>957</v>
      </c>
      <c r="P180" s="155" t="s">
        <v>348</v>
      </c>
      <c r="Q180" s="53">
        <v>80111600</v>
      </c>
      <c r="R180" s="158" t="s">
        <v>208</v>
      </c>
      <c r="S180" s="158" t="str">
        <f>MID(PAA[[#This Row],[Meta Proyecto de Inversión]],1,4)</f>
        <v>8126</v>
      </c>
      <c r="T180" s="158" t="str">
        <f>MID(PAA[[#This Row],[Meta Proyecto de Inversión]],6,1)</f>
        <v>9</v>
      </c>
      <c r="U180" s="159" t="str">
        <f>IFERROR(VLOOKUP(N180,TD!$B$50:$F$54,2,0)," ")</f>
        <v>O230117</v>
      </c>
      <c r="V180" s="159" t="str">
        <f>IFERROR(VLOOKUP(N180,TD!$B$50:$F$54,3,0)," ")</f>
        <v>4599</v>
      </c>
      <c r="W180" s="159">
        <f>IFERROR(VLOOKUP(N180,TD!$B$50:$F$54,4,0)," ")</f>
        <v>20240207</v>
      </c>
      <c r="X180" s="158" t="s">
        <v>174</v>
      </c>
      <c r="Y180" s="159" t="str">
        <f>IFERROR(VLOOKUP(X180,TD!$J$51:$K$64,2,0)," ")</f>
        <v>Infraestructura física, mantenimiento y dotación (Sedes construidas, mantenidas reforzadas)</v>
      </c>
      <c r="Z180" s="160" t="str">
        <f>CONCATENATE(X180,"-",Y180)</f>
        <v>08-Infraestructura física, mantenimiento y dotación (Sedes construidas, mantenidas reforzadas)</v>
      </c>
      <c r="AA180" s="158" t="s">
        <v>227</v>
      </c>
      <c r="AB180" s="159" t="str">
        <f>IFERROR(VLOOKUP(AA180,TD!$N$51:$O$66,2,0)," ")</f>
        <v>Sedes mantenidas</v>
      </c>
      <c r="AC180" s="160" t="str">
        <f>CONCATENATE(AA180,"_",AB180)</f>
        <v>016_Sedes mantenidas</v>
      </c>
      <c r="AD180" s="160" t="str">
        <f>CONCATENATE(Z180," ",AC180)</f>
        <v>08-Infraestructura física, mantenimiento y dotación (Sedes construidas, mantenidas reforzadas) 016_Sedes mantenidas</v>
      </c>
      <c r="AE180" s="159" t="str">
        <f>CONCATENATE(U180,V180,W180,X180,AA180)</f>
        <v>O23011745992024020708016</v>
      </c>
      <c r="AF180" s="159" t="str">
        <f>IFERROR(VLOOKUP(AD180,TD!$J$66:$K$89,2,0)," ")</f>
        <v>PM/0131/0108/45990160207</v>
      </c>
      <c r="AG180" s="118" t="s">
        <v>385</v>
      </c>
      <c r="AH180" s="158" t="s">
        <v>193</v>
      </c>
      <c r="AI180" s="161" t="str">
        <f>CONCATENATE(PAA[[#This Row],[Id Interno]],"-",PAA[[#This Row],[tipo de Contrato (TH talento humano - B/S bienes y/o servicios)]],"-",S180,"-",T180,"-",PAA[[#This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181" spans="2:35" ht="70" x14ac:dyDescent="0.35">
      <c r="B181" s="23">
        <v>20260141</v>
      </c>
      <c r="C181" s="99" t="s">
        <v>464</v>
      </c>
      <c r="D181" s="23" t="s">
        <v>105</v>
      </c>
      <c r="E181" s="23" t="s">
        <v>363</v>
      </c>
      <c r="F181" s="155" t="s">
        <v>144</v>
      </c>
      <c r="G181" s="156" t="s">
        <v>373</v>
      </c>
      <c r="H181" s="157">
        <v>10</v>
      </c>
      <c r="I181" s="157">
        <v>0</v>
      </c>
      <c r="J181" s="127">
        <v>69000000</v>
      </c>
      <c r="K181" s="88" t="s">
        <v>398</v>
      </c>
      <c r="L181" s="155" t="s">
        <v>154</v>
      </c>
      <c r="M181" s="158" t="s">
        <v>460</v>
      </c>
      <c r="N181" s="23" t="s">
        <v>197</v>
      </c>
      <c r="O181" s="151" t="s">
        <v>957</v>
      </c>
      <c r="P181" s="155" t="s">
        <v>348</v>
      </c>
      <c r="Q181" s="53">
        <v>80111600</v>
      </c>
      <c r="R181" s="158" t="s">
        <v>208</v>
      </c>
      <c r="S181" s="158" t="str">
        <f>MID(PAA[[#This Row],[Meta Proyecto de Inversión]],1,4)</f>
        <v>8126</v>
      </c>
      <c r="T181" s="158" t="str">
        <f>MID(PAA[[#This Row],[Meta Proyecto de Inversión]],6,1)</f>
        <v>9</v>
      </c>
      <c r="U181" s="159" t="str">
        <f>IFERROR(VLOOKUP(N181,TD!$B$50:$F$54,2,0)," ")</f>
        <v>O230117</v>
      </c>
      <c r="V181" s="159" t="str">
        <f>IFERROR(VLOOKUP(N181,TD!$B$50:$F$54,3,0)," ")</f>
        <v>4599</v>
      </c>
      <c r="W181" s="159">
        <f>IFERROR(VLOOKUP(N181,TD!$B$50:$F$54,4,0)," ")</f>
        <v>20240207</v>
      </c>
      <c r="X181" s="158" t="s">
        <v>174</v>
      </c>
      <c r="Y181" s="159" t="str">
        <f>IFERROR(VLOOKUP(X181,TD!$J$51:$K$64,2,0)," ")</f>
        <v>Infraestructura física, mantenimiento y dotación (Sedes construidas, mantenidas reforzadas)</v>
      </c>
      <c r="Z181" s="160" t="str">
        <f>CONCATENATE(X181,"-",Y181)</f>
        <v>08-Infraestructura física, mantenimiento y dotación (Sedes construidas, mantenidas reforzadas)</v>
      </c>
      <c r="AA181" s="158" t="s">
        <v>227</v>
      </c>
      <c r="AB181" s="159" t="str">
        <f>IFERROR(VLOOKUP(AA181,TD!$N$51:$O$66,2,0)," ")</f>
        <v>Sedes mantenidas</v>
      </c>
      <c r="AC181" s="160" t="str">
        <f>CONCATENATE(AA181,"_",AB181)</f>
        <v>016_Sedes mantenidas</v>
      </c>
      <c r="AD181" s="160" t="str">
        <f>CONCATENATE(Z181," ",AC181)</f>
        <v>08-Infraestructura física, mantenimiento y dotación (Sedes construidas, mantenidas reforzadas) 016_Sedes mantenidas</v>
      </c>
      <c r="AE181" s="159" t="str">
        <f>CONCATENATE(U181,V181,W181,X181,AA181)</f>
        <v>O23011745992024020708016</v>
      </c>
      <c r="AF181" s="159" t="str">
        <f>IFERROR(VLOOKUP(AD181,TD!$J$66:$K$89,2,0)," ")</f>
        <v>PM/0131/0108/45990160207</v>
      </c>
      <c r="AG181" s="118" t="s">
        <v>385</v>
      </c>
      <c r="AH181" s="158" t="s">
        <v>193</v>
      </c>
      <c r="AI181" s="161" t="str">
        <f>CONCATENATE(PAA[[#This Row],[Id Interno]],"-",PAA[[#This Row],[tipo de Contrato (TH talento humano - B/S bienes y/o servicios)]],"-",S181,"-",T181,"-",PAA[[#This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182" spans="2:35" ht="84" x14ac:dyDescent="0.35">
      <c r="B182" s="23">
        <v>20260142</v>
      </c>
      <c r="C182" s="99" t="s">
        <v>465</v>
      </c>
      <c r="D182" s="23" t="s">
        <v>105</v>
      </c>
      <c r="E182" s="23" t="s">
        <v>363</v>
      </c>
      <c r="F182" s="155" t="s">
        <v>145</v>
      </c>
      <c r="G182" s="156" t="s">
        <v>373</v>
      </c>
      <c r="H182" s="157">
        <v>7</v>
      </c>
      <c r="I182" s="157">
        <v>0</v>
      </c>
      <c r="J182" s="127">
        <v>28700000</v>
      </c>
      <c r="K182" s="88" t="s">
        <v>398</v>
      </c>
      <c r="L182" s="155" t="s">
        <v>154</v>
      </c>
      <c r="M182" s="158" t="s">
        <v>460</v>
      </c>
      <c r="N182" s="23" t="s">
        <v>197</v>
      </c>
      <c r="O182" s="151" t="s">
        <v>957</v>
      </c>
      <c r="P182" s="155" t="s">
        <v>348</v>
      </c>
      <c r="Q182" s="53">
        <v>80111600</v>
      </c>
      <c r="R182" s="158" t="s">
        <v>208</v>
      </c>
      <c r="S182" s="158" t="str">
        <f>MID(PAA[[#This Row],[Meta Proyecto de Inversión]],1,4)</f>
        <v>8126</v>
      </c>
      <c r="T182" s="158" t="str">
        <f>MID(PAA[[#This Row],[Meta Proyecto de Inversión]],6,1)</f>
        <v>9</v>
      </c>
      <c r="U182" s="159" t="str">
        <f>IFERROR(VLOOKUP(N182,TD!$B$50:$F$54,2,0)," ")</f>
        <v>O230117</v>
      </c>
      <c r="V182" s="159" t="str">
        <f>IFERROR(VLOOKUP(N182,TD!$B$50:$F$54,3,0)," ")</f>
        <v>4599</v>
      </c>
      <c r="W182" s="159">
        <f>IFERROR(VLOOKUP(N182,TD!$B$50:$F$54,4,0)," ")</f>
        <v>20240207</v>
      </c>
      <c r="X182" s="158" t="s">
        <v>174</v>
      </c>
      <c r="Y182" s="159" t="str">
        <f>IFERROR(VLOOKUP(X182,TD!$J$51:$K$64,2,0)," ")</f>
        <v>Infraestructura física, mantenimiento y dotación (Sedes construidas, mantenidas reforzadas)</v>
      </c>
      <c r="Z182" s="160" t="str">
        <f>CONCATENATE(X182,"-",Y182)</f>
        <v>08-Infraestructura física, mantenimiento y dotación (Sedes construidas, mantenidas reforzadas)</v>
      </c>
      <c r="AA182" s="158" t="s">
        <v>227</v>
      </c>
      <c r="AB182" s="159" t="str">
        <f>IFERROR(VLOOKUP(AA182,TD!$N$51:$O$66,2,0)," ")</f>
        <v>Sedes mantenidas</v>
      </c>
      <c r="AC182" s="160" t="str">
        <f>CONCATENATE(AA182,"_",AB182)</f>
        <v>016_Sedes mantenidas</v>
      </c>
      <c r="AD182" s="160" t="str">
        <f>CONCATENATE(Z182," ",AC182)</f>
        <v>08-Infraestructura física, mantenimiento y dotación (Sedes construidas, mantenidas reforzadas) 016_Sedes mantenidas</v>
      </c>
      <c r="AE182" s="159" t="str">
        <f>CONCATENATE(U182,V182,W182,X182,AA182)</f>
        <v>O23011745992024020708016</v>
      </c>
      <c r="AF182" s="159" t="str">
        <f>IFERROR(VLOOKUP(AD182,TD!$J$66:$K$89,2,0)," ")</f>
        <v>PM/0131/0108/45990160207</v>
      </c>
      <c r="AG182" s="118" t="s">
        <v>385</v>
      </c>
      <c r="AH182" s="158" t="s">
        <v>193</v>
      </c>
      <c r="AI182" s="161" t="str">
        <f>CONCATENATE(PAA[[#This Row],[Id Interno]],"-",PAA[[#This Row],[tipo de Contrato (TH talento humano - B/S bienes y/o servicios)]],"-",S182,"-",T182,"-",PAA[[#This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183" spans="2:35" ht="98" x14ac:dyDescent="0.35">
      <c r="B183" s="23">
        <v>20260143</v>
      </c>
      <c r="C183" s="99" t="s">
        <v>466</v>
      </c>
      <c r="D183" s="23" t="s">
        <v>105</v>
      </c>
      <c r="E183" s="23" t="s">
        <v>363</v>
      </c>
      <c r="F183" s="155" t="s">
        <v>144</v>
      </c>
      <c r="G183" s="156" t="s">
        <v>373</v>
      </c>
      <c r="H183" s="157">
        <v>7</v>
      </c>
      <c r="I183" s="157">
        <v>0</v>
      </c>
      <c r="J183" s="127">
        <v>45080000</v>
      </c>
      <c r="K183" s="88" t="s">
        <v>398</v>
      </c>
      <c r="L183" s="155" t="s">
        <v>154</v>
      </c>
      <c r="M183" s="158" t="s">
        <v>460</v>
      </c>
      <c r="N183" s="23" t="s">
        <v>197</v>
      </c>
      <c r="O183" s="151" t="s">
        <v>957</v>
      </c>
      <c r="P183" s="155" t="s">
        <v>348</v>
      </c>
      <c r="Q183" s="53">
        <v>80111600</v>
      </c>
      <c r="R183" s="158" t="s">
        <v>208</v>
      </c>
      <c r="S183" s="158" t="str">
        <f>MID(PAA[[#This Row],[Meta Proyecto de Inversión]],1,4)</f>
        <v>8126</v>
      </c>
      <c r="T183" s="158" t="str">
        <f>MID(PAA[[#This Row],[Meta Proyecto de Inversión]],6,1)</f>
        <v>9</v>
      </c>
      <c r="U183" s="159" t="str">
        <f>IFERROR(VLOOKUP(N183,TD!$B$50:$F$54,2,0)," ")</f>
        <v>O230117</v>
      </c>
      <c r="V183" s="159" t="str">
        <f>IFERROR(VLOOKUP(N183,TD!$B$50:$F$54,3,0)," ")</f>
        <v>4599</v>
      </c>
      <c r="W183" s="159">
        <f>IFERROR(VLOOKUP(N183,TD!$B$50:$F$54,4,0)," ")</f>
        <v>20240207</v>
      </c>
      <c r="X183" s="158" t="s">
        <v>174</v>
      </c>
      <c r="Y183" s="159" t="str">
        <f>IFERROR(VLOOKUP(X183,TD!$J$51:$K$64,2,0)," ")</f>
        <v>Infraestructura física, mantenimiento y dotación (Sedes construidas, mantenidas reforzadas)</v>
      </c>
      <c r="Z183" s="160" t="str">
        <f>CONCATENATE(X183,"-",Y183)</f>
        <v>08-Infraestructura física, mantenimiento y dotación (Sedes construidas, mantenidas reforzadas)</v>
      </c>
      <c r="AA183" s="158" t="s">
        <v>227</v>
      </c>
      <c r="AB183" s="159" t="str">
        <f>IFERROR(VLOOKUP(AA183,TD!$N$51:$O$66,2,0)," ")</f>
        <v>Sedes mantenidas</v>
      </c>
      <c r="AC183" s="160" t="str">
        <f>CONCATENATE(AA183,"_",AB183)</f>
        <v>016_Sedes mantenidas</v>
      </c>
      <c r="AD183" s="160" t="str">
        <f>CONCATENATE(Z183," ",AC183)</f>
        <v>08-Infraestructura física, mantenimiento y dotación (Sedes construidas, mantenidas reforzadas) 016_Sedes mantenidas</v>
      </c>
      <c r="AE183" s="159" t="str">
        <f>CONCATENATE(U183,V183,W183,X183,AA183)</f>
        <v>O23011745992024020708016</v>
      </c>
      <c r="AF183" s="159" t="str">
        <f>IFERROR(VLOOKUP(AD183,TD!$J$66:$K$89,2,0)," ")</f>
        <v>PM/0131/0108/45990160207</v>
      </c>
      <c r="AG183" s="118" t="s">
        <v>385</v>
      </c>
      <c r="AH183" s="158" t="s">
        <v>193</v>
      </c>
      <c r="AI183" s="161" t="str">
        <f>CONCATENATE(PAA[[#This Row],[Id Interno]],"-",PAA[[#This Row],[tipo de Contrato (TH talento humano - B/S bienes y/o servicios)]],"-",S183,"-",T183,"-",PAA[[#This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184" spans="2:35" ht="98" x14ac:dyDescent="0.35">
      <c r="B184" s="23">
        <v>20260144</v>
      </c>
      <c r="C184" s="99" t="s">
        <v>467</v>
      </c>
      <c r="D184" s="23" t="s">
        <v>105</v>
      </c>
      <c r="E184" s="23" t="s">
        <v>363</v>
      </c>
      <c r="F184" s="155" t="s">
        <v>144</v>
      </c>
      <c r="G184" s="156" t="s">
        <v>373</v>
      </c>
      <c r="H184" s="157">
        <v>11</v>
      </c>
      <c r="I184" s="157">
        <v>0</v>
      </c>
      <c r="J184" s="127">
        <v>53900000</v>
      </c>
      <c r="K184" s="88" t="s">
        <v>398</v>
      </c>
      <c r="L184" s="155" t="s">
        <v>154</v>
      </c>
      <c r="M184" s="158" t="s">
        <v>460</v>
      </c>
      <c r="N184" s="23" t="s">
        <v>197</v>
      </c>
      <c r="O184" s="151" t="s">
        <v>957</v>
      </c>
      <c r="P184" s="155" t="s">
        <v>348</v>
      </c>
      <c r="Q184" s="53">
        <v>80111600</v>
      </c>
      <c r="R184" s="158" t="s">
        <v>208</v>
      </c>
      <c r="S184" s="158" t="str">
        <f>MID(PAA[[#This Row],[Meta Proyecto de Inversión]],1,4)</f>
        <v>8126</v>
      </c>
      <c r="T184" s="158" t="str">
        <f>MID(PAA[[#This Row],[Meta Proyecto de Inversión]],6,1)</f>
        <v>9</v>
      </c>
      <c r="U184" s="159" t="str">
        <f>IFERROR(VLOOKUP(N184,TD!$B$50:$F$54,2,0)," ")</f>
        <v>O230117</v>
      </c>
      <c r="V184" s="159" t="str">
        <f>IFERROR(VLOOKUP(N184,TD!$B$50:$F$54,3,0)," ")</f>
        <v>4599</v>
      </c>
      <c r="W184" s="159">
        <f>IFERROR(VLOOKUP(N184,TD!$B$50:$F$54,4,0)," ")</f>
        <v>20240207</v>
      </c>
      <c r="X184" s="158" t="s">
        <v>174</v>
      </c>
      <c r="Y184" s="159" t="str">
        <f>IFERROR(VLOOKUP(X184,TD!$J$51:$K$64,2,0)," ")</f>
        <v>Infraestructura física, mantenimiento y dotación (Sedes construidas, mantenidas reforzadas)</v>
      </c>
      <c r="Z184" s="160" t="str">
        <f>CONCATENATE(X184,"-",Y184)</f>
        <v>08-Infraestructura física, mantenimiento y dotación (Sedes construidas, mantenidas reforzadas)</v>
      </c>
      <c r="AA184" s="158" t="s">
        <v>227</v>
      </c>
      <c r="AB184" s="159" t="str">
        <f>IFERROR(VLOOKUP(AA184,TD!$N$51:$O$66,2,0)," ")</f>
        <v>Sedes mantenidas</v>
      </c>
      <c r="AC184" s="160" t="str">
        <f>CONCATENATE(AA184,"_",AB184)</f>
        <v>016_Sedes mantenidas</v>
      </c>
      <c r="AD184" s="160" t="str">
        <f>CONCATENATE(Z184," ",AC184)</f>
        <v>08-Infraestructura física, mantenimiento y dotación (Sedes construidas, mantenidas reforzadas) 016_Sedes mantenidas</v>
      </c>
      <c r="AE184" s="159" t="str">
        <f>CONCATENATE(U184,V184,W184,X184,AA184)</f>
        <v>O23011745992024020708016</v>
      </c>
      <c r="AF184" s="159" t="str">
        <f>IFERROR(VLOOKUP(AD184,TD!$J$66:$K$89,2,0)," ")</f>
        <v>PM/0131/0108/45990160207</v>
      </c>
      <c r="AG184" s="118" t="s">
        <v>385</v>
      </c>
      <c r="AH184" s="158" t="s">
        <v>193</v>
      </c>
      <c r="AI184" s="161" t="str">
        <f>CONCATENATE(PAA[[#This Row],[Id Interno]],"-",PAA[[#This Row],[tipo de Contrato (TH talento humano - B/S bienes y/o servicios)]],"-",S184,"-",T184,"-",PAA[[#This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185" spans="2:35" ht="70" x14ac:dyDescent="0.35">
      <c r="B185" s="23">
        <v>20260145</v>
      </c>
      <c r="C185" s="99" t="s">
        <v>911</v>
      </c>
      <c r="D185" s="23" t="s">
        <v>105</v>
      </c>
      <c r="E185" s="23" t="s">
        <v>363</v>
      </c>
      <c r="F185" s="155" t="s">
        <v>145</v>
      </c>
      <c r="G185" s="156" t="s">
        <v>373</v>
      </c>
      <c r="H185" s="157">
        <v>8</v>
      </c>
      <c r="I185" s="157">
        <v>0</v>
      </c>
      <c r="J185" s="127">
        <v>32000000</v>
      </c>
      <c r="K185" s="88" t="s">
        <v>398</v>
      </c>
      <c r="L185" s="155" t="s">
        <v>154</v>
      </c>
      <c r="M185" s="158" t="s">
        <v>460</v>
      </c>
      <c r="N185" s="23" t="s">
        <v>197</v>
      </c>
      <c r="O185" s="151" t="s">
        <v>957</v>
      </c>
      <c r="P185" s="155" t="s">
        <v>348</v>
      </c>
      <c r="Q185" s="53">
        <v>80111600</v>
      </c>
      <c r="R185" s="158" t="s">
        <v>208</v>
      </c>
      <c r="S185" s="158" t="str">
        <f>MID(PAA[[#This Row],[Meta Proyecto de Inversión]],1,4)</f>
        <v>8126</v>
      </c>
      <c r="T185" s="158" t="str">
        <f>MID(PAA[[#This Row],[Meta Proyecto de Inversión]],6,1)</f>
        <v>9</v>
      </c>
      <c r="U185" s="159" t="str">
        <f>IFERROR(VLOOKUP(N185,TD!$B$50:$F$54,2,0)," ")</f>
        <v>O230117</v>
      </c>
      <c r="V185" s="159" t="str">
        <f>IFERROR(VLOOKUP(N185,TD!$B$50:$F$54,3,0)," ")</f>
        <v>4599</v>
      </c>
      <c r="W185" s="159">
        <f>IFERROR(VLOOKUP(N185,TD!$B$50:$F$54,4,0)," ")</f>
        <v>20240207</v>
      </c>
      <c r="X185" s="158" t="s">
        <v>174</v>
      </c>
      <c r="Y185" s="159" t="str">
        <f>IFERROR(VLOOKUP(X185,TD!$J$51:$K$64,2,0)," ")</f>
        <v>Infraestructura física, mantenimiento y dotación (Sedes construidas, mantenidas reforzadas)</v>
      </c>
      <c r="Z185" s="160" t="str">
        <f>CONCATENATE(X185,"-",Y185)</f>
        <v>08-Infraestructura física, mantenimiento y dotación (Sedes construidas, mantenidas reforzadas)</v>
      </c>
      <c r="AA185" s="158" t="s">
        <v>227</v>
      </c>
      <c r="AB185" s="159" t="str">
        <f>IFERROR(VLOOKUP(AA185,TD!$N$51:$O$66,2,0)," ")</f>
        <v>Sedes mantenidas</v>
      </c>
      <c r="AC185" s="160" t="str">
        <f>CONCATENATE(AA185,"_",AB185)</f>
        <v>016_Sedes mantenidas</v>
      </c>
      <c r="AD185" s="160" t="str">
        <f>CONCATENATE(Z185," ",AC185)</f>
        <v>08-Infraestructura física, mantenimiento y dotación (Sedes construidas, mantenidas reforzadas) 016_Sedes mantenidas</v>
      </c>
      <c r="AE185" s="159" t="str">
        <f>CONCATENATE(U185,V185,W185,X185,AA185)</f>
        <v>O23011745992024020708016</v>
      </c>
      <c r="AF185" s="159" t="str">
        <f>IFERROR(VLOOKUP(AD185,TD!$J$66:$K$89,2,0)," ")</f>
        <v>PM/0131/0108/45990160207</v>
      </c>
      <c r="AG185" s="118" t="s">
        <v>385</v>
      </c>
      <c r="AH185" s="158" t="s">
        <v>193</v>
      </c>
      <c r="AI185" s="161" t="str">
        <f>CONCATENATE(PAA[[#This Row],[Id Interno]],"-",PAA[[#This Row],[tipo de Contrato (TH talento humano - B/S bienes y/o servicios)]],"-",S185,"-",T185,"-",PAA[[#This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186" spans="2:35" ht="84" x14ac:dyDescent="0.35">
      <c r="B186" s="23">
        <v>20260146</v>
      </c>
      <c r="C186" s="99" t="s">
        <v>468</v>
      </c>
      <c r="D186" s="23" t="s">
        <v>105</v>
      </c>
      <c r="E186" s="23" t="s">
        <v>363</v>
      </c>
      <c r="F186" s="155" t="s">
        <v>144</v>
      </c>
      <c r="G186" s="156" t="s">
        <v>373</v>
      </c>
      <c r="H186" s="157">
        <v>7</v>
      </c>
      <c r="I186" s="157">
        <v>0</v>
      </c>
      <c r="J186" s="127">
        <v>40600000</v>
      </c>
      <c r="K186" s="88" t="s">
        <v>398</v>
      </c>
      <c r="L186" s="155" t="s">
        <v>154</v>
      </c>
      <c r="M186" s="158" t="s">
        <v>460</v>
      </c>
      <c r="N186" s="23" t="s">
        <v>197</v>
      </c>
      <c r="O186" s="151" t="s">
        <v>957</v>
      </c>
      <c r="P186" s="155" t="s">
        <v>348</v>
      </c>
      <c r="Q186" s="53">
        <v>80111600</v>
      </c>
      <c r="R186" s="158" t="s">
        <v>208</v>
      </c>
      <c r="S186" s="158" t="str">
        <f>MID(PAA[[#This Row],[Meta Proyecto de Inversión]],1,4)</f>
        <v>8126</v>
      </c>
      <c r="T186" s="158" t="str">
        <f>MID(PAA[[#This Row],[Meta Proyecto de Inversión]],6,1)</f>
        <v>9</v>
      </c>
      <c r="U186" s="159" t="str">
        <f>IFERROR(VLOOKUP(N186,TD!$B$50:$F$54,2,0)," ")</f>
        <v>O230117</v>
      </c>
      <c r="V186" s="159" t="str">
        <f>IFERROR(VLOOKUP(N186,TD!$B$50:$F$54,3,0)," ")</f>
        <v>4599</v>
      </c>
      <c r="W186" s="159">
        <f>IFERROR(VLOOKUP(N186,TD!$B$50:$F$54,4,0)," ")</f>
        <v>20240207</v>
      </c>
      <c r="X186" s="158" t="s">
        <v>174</v>
      </c>
      <c r="Y186" s="159" t="str">
        <f>IFERROR(VLOOKUP(X186,TD!$J$51:$K$64,2,0)," ")</f>
        <v>Infraestructura física, mantenimiento y dotación (Sedes construidas, mantenidas reforzadas)</v>
      </c>
      <c r="Z186" s="160" t="str">
        <f>CONCATENATE(X186,"-",Y186)</f>
        <v>08-Infraestructura física, mantenimiento y dotación (Sedes construidas, mantenidas reforzadas)</v>
      </c>
      <c r="AA186" s="158" t="s">
        <v>227</v>
      </c>
      <c r="AB186" s="159" t="str">
        <f>IFERROR(VLOOKUP(AA186,TD!$N$51:$O$66,2,0)," ")</f>
        <v>Sedes mantenidas</v>
      </c>
      <c r="AC186" s="160" t="str">
        <f>CONCATENATE(AA186,"_",AB186)</f>
        <v>016_Sedes mantenidas</v>
      </c>
      <c r="AD186" s="160" t="str">
        <f>CONCATENATE(Z186," ",AC186)</f>
        <v>08-Infraestructura física, mantenimiento y dotación (Sedes construidas, mantenidas reforzadas) 016_Sedes mantenidas</v>
      </c>
      <c r="AE186" s="159" t="str">
        <f>CONCATENATE(U186,V186,W186,X186,AA186)</f>
        <v>O23011745992024020708016</v>
      </c>
      <c r="AF186" s="159" t="str">
        <f>IFERROR(VLOOKUP(AD186,TD!$J$66:$K$89,2,0)," ")</f>
        <v>PM/0131/0108/45990160207</v>
      </c>
      <c r="AG186" s="118" t="s">
        <v>385</v>
      </c>
      <c r="AH186" s="158" t="s">
        <v>193</v>
      </c>
      <c r="AI186" s="161" t="str">
        <f>CONCATENATE(PAA[[#This Row],[Id Interno]],"-",PAA[[#This Row],[tipo de Contrato (TH talento humano - B/S bienes y/o servicios)]],"-",S186,"-",T186,"-",PAA[[#This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187" spans="2:35" ht="98" x14ac:dyDescent="0.35">
      <c r="B187" s="23">
        <v>20260147</v>
      </c>
      <c r="C187" s="99" t="s">
        <v>469</v>
      </c>
      <c r="D187" s="23" t="s">
        <v>105</v>
      </c>
      <c r="E187" s="23" t="s">
        <v>363</v>
      </c>
      <c r="F187" s="155" t="s">
        <v>144</v>
      </c>
      <c r="G187" s="156" t="s">
        <v>373</v>
      </c>
      <c r="H187" s="157">
        <v>11</v>
      </c>
      <c r="I187" s="157">
        <v>0</v>
      </c>
      <c r="J187" s="127">
        <v>67100000</v>
      </c>
      <c r="K187" s="88" t="s">
        <v>398</v>
      </c>
      <c r="L187" s="155" t="s">
        <v>154</v>
      </c>
      <c r="M187" s="158" t="s">
        <v>460</v>
      </c>
      <c r="N187" s="23" t="s">
        <v>197</v>
      </c>
      <c r="O187" s="151" t="s">
        <v>957</v>
      </c>
      <c r="P187" s="155" t="s">
        <v>348</v>
      </c>
      <c r="Q187" s="53">
        <v>80111600</v>
      </c>
      <c r="R187" s="158" t="s">
        <v>208</v>
      </c>
      <c r="S187" s="158" t="str">
        <f>MID(PAA[[#This Row],[Meta Proyecto de Inversión]],1,4)</f>
        <v>8126</v>
      </c>
      <c r="T187" s="158" t="str">
        <f>MID(PAA[[#This Row],[Meta Proyecto de Inversión]],6,1)</f>
        <v>9</v>
      </c>
      <c r="U187" s="159" t="str">
        <f>IFERROR(VLOOKUP(N187,TD!$B$50:$F$54,2,0)," ")</f>
        <v>O230117</v>
      </c>
      <c r="V187" s="159" t="str">
        <f>IFERROR(VLOOKUP(N187,TD!$B$50:$F$54,3,0)," ")</f>
        <v>4599</v>
      </c>
      <c r="W187" s="159">
        <f>IFERROR(VLOOKUP(N187,TD!$B$50:$F$54,4,0)," ")</f>
        <v>20240207</v>
      </c>
      <c r="X187" s="158" t="s">
        <v>174</v>
      </c>
      <c r="Y187" s="159" t="str">
        <f>IFERROR(VLOOKUP(X187,TD!$J$51:$K$64,2,0)," ")</f>
        <v>Infraestructura física, mantenimiento y dotación (Sedes construidas, mantenidas reforzadas)</v>
      </c>
      <c r="Z187" s="160" t="str">
        <f>CONCATENATE(X187,"-",Y187)</f>
        <v>08-Infraestructura física, mantenimiento y dotación (Sedes construidas, mantenidas reforzadas)</v>
      </c>
      <c r="AA187" s="158" t="s">
        <v>227</v>
      </c>
      <c r="AB187" s="159" t="str">
        <f>IFERROR(VLOOKUP(AA187,TD!$N$51:$O$66,2,0)," ")</f>
        <v>Sedes mantenidas</v>
      </c>
      <c r="AC187" s="160" t="str">
        <f>CONCATENATE(AA187,"_",AB187)</f>
        <v>016_Sedes mantenidas</v>
      </c>
      <c r="AD187" s="160" t="str">
        <f>CONCATENATE(Z187," ",AC187)</f>
        <v>08-Infraestructura física, mantenimiento y dotación (Sedes construidas, mantenidas reforzadas) 016_Sedes mantenidas</v>
      </c>
      <c r="AE187" s="159" t="str">
        <f>CONCATENATE(U187,V187,W187,X187,AA187)</f>
        <v>O23011745992024020708016</v>
      </c>
      <c r="AF187" s="159" t="str">
        <f>IFERROR(VLOOKUP(AD187,TD!$J$66:$K$89,2,0)," ")</f>
        <v>PM/0131/0108/45990160207</v>
      </c>
      <c r="AG187" s="118" t="s">
        <v>385</v>
      </c>
      <c r="AH187" s="158" t="s">
        <v>193</v>
      </c>
      <c r="AI187" s="161" t="str">
        <f>CONCATENATE(PAA[[#This Row],[Id Interno]],"-",PAA[[#This Row],[tipo de Contrato (TH talento humano - B/S bienes y/o servicios)]],"-",S187,"-",T187,"-",PAA[[#This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188" spans="2:35" ht="70" x14ac:dyDescent="0.35">
      <c r="B188" s="23">
        <v>20260148</v>
      </c>
      <c r="C188" s="99" t="s">
        <v>637</v>
      </c>
      <c r="D188" s="23" t="s">
        <v>105</v>
      </c>
      <c r="E188" s="23" t="s">
        <v>363</v>
      </c>
      <c r="F188" s="155" t="s">
        <v>145</v>
      </c>
      <c r="G188" s="156" t="s">
        <v>373</v>
      </c>
      <c r="H188" s="157">
        <v>7</v>
      </c>
      <c r="I188" s="157">
        <v>0</v>
      </c>
      <c r="J188" s="127">
        <v>28000000</v>
      </c>
      <c r="K188" s="88" t="s">
        <v>398</v>
      </c>
      <c r="L188" s="155" t="s">
        <v>154</v>
      </c>
      <c r="M188" s="158" t="s">
        <v>460</v>
      </c>
      <c r="N188" s="23" t="s">
        <v>197</v>
      </c>
      <c r="O188" s="151" t="s">
        <v>957</v>
      </c>
      <c r="P188" s="155" t="s">
        <v>348</v>
      </c>
      <c r="Q188" s="53">
        <v>80111600</v>
      </c>
      <c r="R188" s="158" t="s">
        <v>208</v>
      </c>
      <c r="S188" s="158" t="str">
        <f>MID(PAA[[#This Row],[Meta Proyecto de Inversión]],1,4)</f>
        <v>8126</v>
      </c>
      <c r="T188" s="158" t="str">
        <f>MID(PAA[[#This Row],[Meta Proyecto de Inversión]],6,1)</f>
        <v>9</v>
      </c>
      <c r="U188" s="159" t="str">
        <f>IFERROR(VLOOKUP(N188,TD!$B$50:$F$54,2,0)," ")</f>
        <v>O230117</v>
      </c>
      <c r="V188" s="159" t="str">
        <f>IFERROR(VLOOKUP(N188,TD!$B$50:$F$54,3,0)," ")</f>
        <v>4599</v>
      </c>
      <c r="W188" s="159">
        <f>IFERROR(VLOOKUP(N188,TD!$B$50:$F$54,4,0)," ")</f>
        <v>20240207</v>
      </c>
      <c r="X188" s="158" t="s">
        <v>174</v>
      </c>
      <c r="Y188" s="159" t="str">
        <f>IFERROR(VLOOKUP(X188,TD!$J$51:$K$64,2,0)," ")</f>
        <v>Infraestructura física, mantenimiento y dotación (Sedes construidas, mantenidas reforzadas)</v>
      </c>
      <c r="Z188" s="160" t="str">
        <f>CONCATENATE(X188,"-",Y188)</f>
        <v>08-Infraestructura física, mantenimiento y dotación (Sedes construidas, mantenidas reforzadas)</v>
      </c>
      <c r="AA188" s="158" t="s">
        <v>227</v>
      </c>
      <c r="AB188" s="159" t="str">
        <f>IFERROR(VLOOKUP(AA188,TD!$N$51:$O$66,2,0)," ")</f>
        <v>Sedes mantenidas</v>
      </c>
      <c r="AC188" s="160" t="str">
        <f>CONCATENATE(AA188,"_",AB188)</f>
        <v>016_Sedes mantenidas</v>
      </c>
      <c r="AD188" s="160" t="str">
        <f>CONCATENATE(Z188," ",AC188)</f>
        <v>08-Infraestructura física, mantenimiento y dotación (Sedes construidas, mantenidas reforzadas) 016_Sedes mantenidas</v>
      </c>
      <c r="AE188" s="159" t="str">
        <f>CONCATENATE(U188,V188,W188,X188,AA188)</f>
        <v>O23011745992024020708016</v>
      </c>
      <c r="AF188" s="159" t="str">
        <f>IFERROR(VLOOKUP(AD188,TD!$J$66:$K$89,2,0)," ")</f>
        <v>PM/0131/0108/45990160207</v>
      </c>
      <c r="AG188" s="118" t="s">
        <v>385</v>
      </c>
      <c r="AH188" s="158" t="s">
        <v>193</v>
      </c>
      <c r="AI188" s="161" t="str">
        <f>CONCATENATE(PAA[[#This Row],[Id Interno]],"-",PAA[[#This Row],[tipo de Contrato (TH talento humano - B/S bienes y/o servicios)]],"-",S188,"-",T188,"-",PAA[[#This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189" spans="2:35" ht="98" x14ac:dyDescent="0.35">
      <c r="B189" s="23">
        <v>20260149</v>
      </c>
      <c r="C189" s="99" t="s">
        <v>470</v>
      </c>
      <c r="D189" s="23" t="s">
        <v>105</v>
      </c>
      <c r="E189" s="23" t="s">
        <v>363</v>
      </c>
      <c r="F189" s="155" t="s">
        <v>144</v>
      </c>
      <c r="G189" s="156" t="s">
        <v>373</v>
      </c>
      <c r="H189" s="157">
        <v>7</v>
      </c>
      <c r="I189" s="157">
        <v>0</v>
      </c>
      <c r="J189" s="127">
        <v>42700000</v>
      </c>
      <c r="K189" s="88" t="s">
        <v>398</v>
      </c>
      <c r="L189" s="155" t="s">
        <v>154</v>
      </c>
      <c r="M189" s="158" t="s">
        <v>460</v>
      </c>
      <c r="N189" s="23" t="s">
        <v>197</v>
      </c>
      <c r="O189" s="151" t="s">
        <v>957</v>
      </c>
      <c r="P189" s="155" t="s">
        <v>348</v>
      </c>
      <c r="Q189" s="53">
        <v>80111600</v>
      </c>
      <c r="R189" s="158" t="s">
        <v>208</v>
      </c>
      <c r="S189" s="158" t="str">
        <f>MID(PAA[[#This Row],[Meta Proyecto de Inversión]],1,4)</f>
        <v>8126</v>
      </c>
      <c r="T189" s="158" t="str">
        <f>MID(PAA[[#This Row],[Meta Proyecto de Inversión]],6,1)</f>
        <v>9</v>
      </c>
      <c r="U189" s="159" t="str">
        <f>IFERROR(VLOOKUP(N189,TD!$B$50:$F$54,2,0)," ")</f>
        <v>O230117</v>
      </c>
      <c r="V189" s="159" t="str">
        <f>IFERROR(VLOOKUP(N189,TD!$B$50:$F$54,3,0)," ")</f>
        <v>4599</v>
      </c>
      <c r="W189" s="159">
        <f>IFERROR(VLOOKUP(N189,TD!$B$50:$F$54,4,0)," ")</f>
        <v>20240207</v>
      </c>
      <c r="X189" s="158" t="s">
        <v>174</v>
      </c>
      <c r="Y189" s="159" t="str">
        <f>IFERROR(VLOOKUP(X189,TD!$J$51:$K$64,2,0)," ")</f>
        <v>Infraestructura física, mantenimiento y dotación (Sedes construidas, mantenidas reforzadas)</v>
      </c>
      <c r="Z189" s="160" t="str">
        <f>CONCATENATE(X189,"-",Y189)</f>
        <v>08-Infraestructura física, mantenimiento y dotación (Sedes construidas, mantenidas reforzadas)</v>
      </c>
      <c r="AA189" s="158" t="s">
        <v>227</v>
      </c>
      <c r="AB189" s="159" t="str">
        <f>IFERROR(VLOOKUP(AA189,TD!$N$51:$O$66,2,0)," ")</f>
        <v>Sedes mantenidas</v>
      </c>
      <c r="AC189" s="160" t="str">
        <f>CONCATENATE(AA189,"_",AB189)</f>
        <v>016_Sedes mantenidas</v>
      </c>
      <c r="AD189" s="160" t="str">
        <f>CONCATENATE(Z189," ",AC189)</f>
        <v>08-Infraestructura física, mantenimiento y dotación (Sedes construidas, mantenidas reforzadas) 016_Sedes mantenidas</v>
      </c>
      <c r="AE189" s="159" t="str">
        <f>CONCATENATE(U189,V189,W189,X189,AA189)</f>
        <v>O23011745992024020708016</v>
      </c>
      <c r="AF189" s="159" t="str">
        <f>IFERROR(VLOOKUP(AD189,TD!$J$66:$K$89,2,0)," ")</f>
        <v>PM/0131/0108/45990160207</v>
      </c>
      <c r="AG189" s="118" t="s">
        <v>385</v>
      </c>
      <c r="AH189" s="158" t="s">
        <v>193</v>
      </c>
      <c r="AI189" s="161" t="str">
        <f>CONCATENATE(PAA[[#This Row],[Id Interno]],"-",PAA[[#This Row],[tipo de Contrato (TH talento humano - B/S bienes y/o servicios)]],"-",S189,"-",T189,"-",PAA[[#This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90" spans="2:35" ht="126" x14ac:dyDescent="0.35">
      <c r="B190" s="23">
        <v>20260150</v>
      </c>
      <c r="C190" s="99" t="s">
        <v>470</v>
      </c>
      <c r="D190" s="23" t="s">
        <v>105</v>
      </c>
      <c r="E190" s="23" t="s">
        <v>363</v>
      </c>
      <c r="F190" s="155" t="s">
        <v>144</v>
      </c>
      <c r="G190" s="156" t="s">
        <v>373</v>
      </c>
      <c r="H190" s="157">
        <v>7</v>
      </c>
      <c r="I190" s="157">
        <v>0</v>
      </c>
      <c r="J190" s="127">
        <v>42700000</v>
      </c>
      <c r="K190" s="88" t="s">
        <v>398</v>
      </c>
      <c r="L190" s="155" t="s">
        <v>154</v>
      </c>
      <c r="M190" s="158" t="s">
        <v>460</v>
      </c>
      <c r="N190" s="23" t="s">
        <v>197</v>
      </c>
      <c r="O190" s="151" t="s">
        <v>957</v>
      </c>
      <c r="P190" s="155" t="s">
        <v>348</v>
      </c>
      <c r="Q190" s="53">
        <v>80111600</v>
      </c>
      <c r="R190" s="158" t="s">
        <v>208</v>
      </c>
      <c r="S190" s="158" t="str">
        <f>MID(PAA[[#This Row],[Meta Proyecto de Inversión]],1,4)</f>
        <v>8126</v>
      </c>
      <c r="T190" s="158" t="str">
        <f>MID(PAA[[#This Row],[Meta Proyecto de Inversión]],6,1)</f>
        <v>9</v>
      </c>
      <c r="U190" s="159" t="str">
        <f>IFERROR(VLOOKUP(N190,TD!$B$50:$F$54,2,0)," ")</f>
        <v>O230117</v>
      </c>
      <c r="V190" s="159" t="str">
        <f>IFERROR(VLOOKUP(N190,TD!$B$50:$F$54,3,0)," ")</f>
        <v>4599</v>
      </c>
      <c r="W190" s="159">
        <f>IFERROR(VLOOKUP(N190,TD!$B$50:$F$54,4,0)," ")</f>
        <v>20240207</v>
      </c>
      <c r="X190" s="158" t="s">
        <v>174</v>
      </c>
      <c r="Y190" s="159" t="str">
        <f>IFERROR(VLOOKUP(X190,TD!$J$51:$K$64,2,0)," ")</f>
        <v>Infraestructura física, mantenimiento y dotación (Sedes construidas, mantenidas reforzadas)</v>
      </c>
      <c r="Z190" s="160" t="str">
        <f>CONCATENATE(X190,"-",Y190)</f>
        <v>08-Infraestructura física, mantenimiento y dotación (Sedes construidas, mantenidas reforzadas)</v>
      </c>
      <c r="AA190" s="158" t="s">
        <v>227</v>
      </c>
      <c r="AB190" s="159" t="str">
        <f>IFERROR(VLOOKUP(AA190,TD!$N$51:$O$66,2,0)," ")</f>
        <v>Sedes mantenidas</v>
      </c>
      <c r="AC190" s="160" t="str">
        <f>CONCATENATE(AA190,"_",AB190)</f>
        <v>016_Sedes mantenidas</v>
      </c>
      <c r="AD190" s="160" t="str">
        <f>CONCATENATE(Z190," ",AC190)</f>
        <v>08-Infraestructura física, mantenimiento y dotación (Sedes construidas, mantenidas reforzadas) 016_Sedes mantenidas</v>
      </c>
      <c r="AE190" s="159" t="str">
        <f>CONCATENATE(U190,V190,W190,X190,AA190)</f>
        <v>O23011745992024020708016</v>
      </c>
      <c r="AF190" s="159" t="str">
        <f>IFERROR(VLOOKUP(AD190,TD!$J$66:$K$89,2,0)," ")</f>
        <v>PM/0131/0108/45990160207</v>
      </c>
      <c r="AG190" s="118" t="s">
        <v>385</v>
      </c>
      <c r="AH190" s="158" t="s">
        <v>193</v>
      </c>
      <c r="AI190" s="161" t="str">
        <f>CONCATENATE(PAA[[#This Row],[Id Interno]],"-",PAA[[#This Row],[tipo de Contrato (TH talento humano - B/S bienes y/o servicios)]],"-",S190,"-",T190,"-",PAA[[#This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91" spans="2:35" ht="84" x14ac:dyDescent="0.35">
      <c r="B191" s="23">
        <v>20260151</v>
      </c>
      <c r="C191" s="99" t="s">
        <v>470</v>
      </c>
      <c r="D191" s="23" t="s">
        <v>105</v>
      </c>
      <c r="E191" s="23" t="s">
        <v>363</v>
      </c>
      <c r="F191" s="155" t="s">
        <v>144</v>
      </c>
      <c r="G191" s="156" t="s">
        <v>373</v>
      </c>
      <c r="H191" s="157">
        <v>7</v>
      </c>
      <c r="I191" s="157">
        <v>0</v>
      </c>
      <c r="J191" s="127">
        <v>42700000</v>
      </c>
      <c r="K191" s="88" t="s">
        <v>398</v>
      </c>
      <c r="L191" s="155" t="s">
        <v>154</v>
      </c>
      <c r="M191" s="158" t="s">
        <v>460</v>
      </c>
      <c r="N191" s="23" t="s">
        <v>197</v>
      </c>
      <c r="O191" s="151" t="s">
        <v>957</v>
      </c>
      <c r="P191" s="155" t="s">
        <v>348</v>
      </c>
      <c r="Q191" s="53">
        <v>80111600</v>
      </c>
      <c r="R191" s="158" t="s">
        <v>208</v>
      </c>
      <c r="S191" s="158" t="str">
        <f>MID(PAA[[#This Row],[Meta Proyecto de Inversión]],1,4)</f>
        <v>8126</v>
      </c>
      <c r="T191" s="158" t="str">
        <f>MID(PAA[[#This Row],[Meta Proyecto de Inversión]],6,1)</f>
        <v>9</v>
      </c>
      <c r="U191" s="159" t="str">
        <f>IFERROR(VLOOKUP(N191,TD!$B$50:$F$54,2,0)," ")</f>
        <v>O230117</v>
      </c>
      <c r="V191" s="159" t="str">
        <f>IFERROR(VLOOKUP(N191,TD!$B$50:$F$54,3,0)," ")</f>
        <v>4599</v>
      </c>
      <c r="W191" s="159">
        <f>IFERROR(VLOOKUP(N191,TD!$B$50:$F$54,4,0)," ")</f>
        <v>20240207</v>
      </c>
      <c r="X191" s="158" t="s">
        <v>174</v>
      </c>
      <c r="Y191" s="159" t="str">
        <f>IFERROR(VLOOKUP(X191,TD!$J$51:$K$64,2,0)," ")</f>
        <v>Infraestructura física, mantenimiento y dotación (Sedes construidas, mantenidas reforzadas)</v>
      </c>
      <c r="Z191" s="160" t="str">
        <f>CONCATENATE(X191,"-",Y191)</f>
        <v>08-Infraestructura física, mantenimiento y dotación (Sedes construidas, mantenidas reforzadas)</v>
      </c>
      <c r="AA191" s="158" t="s">
        <v>227</v>
      </c>
      <c r="AB191" s="159" t="str">
        <f>IFERROR(VLOOKUP(AA191,TD!$N$51:$O$66,2,0)," ")</f>
        <v>Sedes mantenidas</v>
      </c>
      <c r="AC191" s="160" t="str">
        <f>CONCATENATE(AA191,"_",AB191)</f>
        <v>016_Sedes mantenidas</v>
      </c>
      <c r="AD191" s="160" t="str">
        <f>CONCATENATE(Z191," ",AC191)</f>
        <v>08-Infraestructura física, mantenimiento y dotación (Sedes construidas, mantenidas reforzadas) 016_Sedes mantenidas</v>
      </c>
      <c r="AE191" s="159" t="str">
        <f>CONCATENATE(U191,V191,W191,X191,AA191)</f>
        <v>O23011745992024020708016</v>
      </c>
      <c r="AF191" s="159" t="str">
        <f>IFERROR(VLOOKUP(AD191,TD!$J$66:$K$89,2,0)," ")</f>
        <v>PM/0131/0108/45990160207</v>
      </c>
      <c r="AG191" s="118" t="s">
        <v>385</v>
      </c>
      <c r="AH191" s="158" t="s">
        <v>193</v>
      </c>
      <c r="AI191" s="161" t="str">
        <f>CONCATENATE(PAA[[#This Row],[Id Interno]],"-",PAA[[#This Row],[tipo de Contrato (TH talento humano - B/S bienes y/o servicios)]],"-",S191,"-",T191,"-",PAA[[#This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92" spans="2:35" ht="98" x14ac:dyDescent="0.35">
      <c r="B192" s="23">
        <v>20260152</v>
      </c>
      <c r="C192" s="99" t="s">
        <v>471</v>
      </c>
      <c r="D192" s="23" t="s">
        <v>105</v>
      </c>
      <c r="E192" s="23" t="s">
        <v>363</v>
      </c>
      <c r="F192" s="155" t="s">
        <v>144</v>
      </c>
      <c r="G192" s="156" t="s">
        <v>373</v>
      </c>
      <c r="H192" s="157">
        <v>7</v>
      </c>
      <c r="I192" s="157">
        <v>0</v>
      </c>
      <c r="J192" s="127">
        <v>34300000</v>
      </c>
      <c r="K192" s="88" t="s">
        <v>398</v>
      </c>
      <c r="L192" s="155" t="s">
        <v>154</v>
      </c>
      <c r="M192" s="158" t="s">
        <v>460</v>
      </c>
      <c r="N192" s="23" t="s">
        <v>197</v>
      </c>
      <c r="O192" s="151" t="s">
        <v>957</v>
      </c>
      <c r="P192" s="155" t="s">
        <v>348</v>
      </c>
      <c r="Q192" s="53">
        <v>80111600</v>
      </c>
      <c r="R192" s="158" t="s">
        <v>208</v>
      </c>
      <c r="S192" s="158" t="str">
        <f>MID(PAA[[#This Row],[Meta Proyecto de Inversión]],1,4)</f>
        <v>8126</v>
      </c>
      <c r="T192" s="158" t="str">
        <f>MID(PAA[[#This Row],[Meta Proyecto de Inversión]],6,1)</f>
        <v>9</v>
      </c>
      <c r="U192" s="159" t="str">
        <f>IFERROR(VLOOKUP(N192,TD!$B$50:$F$54,2,0)," ")</f>
        <v>O230117</v>
      </c>
      <c r="V192" s="159" t="str">
        <f>IFERROR(VLOOKUP(N192,TD!$B$50:$F$54,3,0)," ")</f>
        <v>4599</v>
      </c>
      <c r="W192" s="159">
        <f>IFERROR(VLOOKUP(N192,TD!$B$50:$F$54,4,0)," ")</f>
        <v>20240207</v>
      </c>
      <c r="X192" s="158" t="s">
        <v>174</v>
      </c>
      <c r="Y192" s="159" t="str">
        <f>IFERROR(VLOOKUP(X192,TD!$J$51:$K$64,2,0)," ")</f>
        <v>Infraestructura física, mantenimiento y dotación (Sedes construidas, mantenidas reforzadas)</v>
      </c>
      <c r="Z192" s="160" t="str">
        <f>CONCATENATE(X192,"-",Y192)</f>
        <v>08-Infraestructura física, mantenimiento y dotación (Sedes construidas, mantenidas reforzadas)</v>
      </c>
      <c r="AA192" s="158" t="s">
        <v>227</v>
      </c>
      <c r="AB192" s="159" t="str">
        <f>IFERROR(VLOOKUP(AA192,TD!$N$51:$O$66,2,0)," ")</f>
        <v>Sedes mantenidas</v>
      </c>
      <c r="AC192" s="160" t="str">
        <f>CONCATENATE(AA192,"_",AB192)</f>
        <v>016_Sedes mantenidas</v>
      </c>
      <c r="AD192" s="160" t="str">
        <f>CONCATENATE(Z192," ",AC192)</f>
        <v>08-Infraestructura física, mantenimiento y dotación (Sedes construidas, mantenidas reforzadas) 016_Sedes mantenidas</v>
      </c>
      <c r="AE192" s="159" t="str">
        <f>CONCATENATE(U192,V192,W192,X192,AA192)</f>
        <v>O23011745992024020708016</v>
      </c>
      <c r="AF192" s="159" t="str">
        <f>IFERROR(VLOOKUP(AD192,TD!$J$66:$K$89,2,0)," ")</f>
        <v>PM/0131/0108/45990160207</v>
      </c>
      <c r="AG192" s="118" t="s">
        <v>385</v>
      </c>
      <c r="AH192" s="158" t="s">
        <v>193</v>
      </c>
      <c r="AI192" s="161" t="str">
        <f>CONCATENATE(PAA[[#This Row],[Id Interno]],"-",PAA[[#This Row],[tipo de Contrato (TH talento humano - B/S bienes y/o servicios)]],"-",S192,"-",T192,"-",PAA[[#This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193" spans="2:35" ht="126" x14ac:dyDescent="0.35">
      <c r="B193" s="23">
        <v>20260153</v>
      </c>
      <c r="C193" s="99" t="s">
        <v>472</v>
      </c>
      <c r="D193" s="23" t="s">
        <v>105</v>
      </c>
      <c r="E193" s="23" t="s">
        <v>363</v>
      </c>
      <c r="F193" s="155" t="s">
        <v>144</v>
      </c>
      <c r="G193" s="156" t="s">
        <v>373</v>
      </c>
      <c r="H193" s="157">
        <v>7</v>
      </c>
      <c r="I193" s="157">
        <v>0</v>
      </c>
      <c r="J193" s="127">
        <v>36400000</v>
      </c>
      <c r="K193" s="88" t="s">
        <v>398</v>
      </c>
      <c r="L193" s="155" t="s">
        <v>154</v>
      </c>
      <c r="M193" s="158" t="s">
        <v>460</v>
      </c>
      <c r="N193" s="23" t="s">
        <v>197</v>
      </c>
      <c r="O193" s="151" t="s">
        <v>957</v>
      </c>
      <c r="P193" s="155" t="s">
        <v>348</v>
      </c>
      <c r="Q193" s="53">
        <v>80111600</v>
      </c>
      <c r="R193" s="158" t="s">
        <v>208</v>
      </c>
      <c r="S193" s="158" t="str">
        <f>MID(PAA[[#This Row],[Meta Proyecto de Inversión]],1,4)</f>
        <v>8126</v>
      </c>
      <c r="T193" s="158" t="str">
        <f>MID(PAA[[#This Row],[Meta Proyecto de Inversión]],6,1)</f>
        <v>9</v>
      </c>
      <c r="U193" s="159" t="str">
        <f>IFERROR(VLOOKUP(N193,TD!$B$50:$F$54,2,0)," ")</f>
        <v>O230117</v>
      </c>
      <c r="V193" s="159" t="str">
        <f>IFERROR(VLOOKUP(N193,TD!$B$50:$F$54,3,0)," ")</f>
        <v>4599</v>
      </c>
      <c r="W193" s="159">
        <f>IFERROR(VLOOKUP(N193,TD!$B$50:$F$54,4,0)," ")</f>
        <v>20240207</v>
      </c>
      <c r="X193" s="158" t="s">
        <v>174</v>
      </c>
      <c r="Y193" s="159" t="str">
        <f>IFERROR(VLOOKUP(X193,TD!$J$51:$K$64,2,0)," ")</f>
        <v>Infraestructura física, mantenimiento y dotación (Sedes construidas, mantenidas reforzadas)</v>
      </c>
      <c r="Z193" s="160" t="str">
        <f>CONCATENATE(X193,"-",Y193)</f>
        <v>08-Infraestructura física, mantenimiento y dotación (Sedes construidas, mantenidas reforzadas)</v>
      </c>
      <c r="AA193" s="162" t="s">
        <v>227</v>
      </c>
      <c r="AB193" s="159" t="str">
        <f>IFERROR(VLOOKUP(AA193,TD!$N$51:$O$66,2,0)," ")</f>
        <v>Sedes mantenidas</v>
      </c>
      <c r="AC193" s="160" t="str">
        <f>CONCATENATE(AA193,"_",AB193)</f>
        <v>016_Sedes mantenidas</v>
      </c>
      <c r="AD193" s="160" t="str">
        <f>CONCATENATE(Z193," ",AC193)</f>
        <v>08-Infraestructura física, mantenimiento y dotación (Sedes construidas, mantenidas reforzadas) 016_Sedes mantenidas</v>
      </c>
      <c r="AE193" s="159" t="str">
        <f>CONCATENATE(U193,V193,W193,X193,AA193)</f>
        <v>O23011745992024020708016</v>
      </c>
      <c r="AF193" s="159" t="str">
        <f>IFERROR(VLOOKUP(AD193,TD!$J$66:$K$89,2,0)," ")</f>
        <v>PM/0131/0108/45990160207</v>
      </c>
      <c r="AG193" s="118" t="s">
        <v>385</v>
      </c>
      <c r="AH193" s="158" t="s">
        <v>193</v>
      </c>
      <c r="AI193" s="161" t="str">
        <f>CONCATENATE(PAA[[#This Row],[Id Interno]],"-",PAA[[#This Row],[tipo de Contrato (TH talento humano - B/S bienes y/o servicios)]],"-",S193,"-",T193,"-",PAA[[#This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194" spans="2:35" ht="112" x14ac:dyDescent="0.35">
      <c r="B194" s="23">
        <v>20260154</v>
      </c>
      <c r="C194" s="99" t="s">
        <v>473</v>
      </c>
      <c r="D194" s="23" t="s">
        <v>105</v>
      </c>
      <c r="E194" s="23" t="s">
        <v>363</v>
      </c>
      <c r="F194" s="155" t="s">
        <v>144</v>
      </c>
      <c r="G194" s="156" t="s">
        <v>373</v>
      </c>
      <c r="H194" s="157">
        <v>11</v>
      </c>
      <c r="I194" s="157">
        <v>0</v>
      </c>
      <c r="J194" s="127">
        <v>77000000</v>
      </c>
      <c r="K194" s="88" t="s">
        <v>398</v>
      </c>
      <c r="L194" s="155" t="s">
        <v>154</v>
      </c>
      <c r="M194" s="158" t="s">
        <v>460</v>
      </c>
      <c r="N194" s="23" t="s">
        <v>197</v>
      </c>
      <c r="O194" s="151" t="s">
        <v>957</v>
      </c>
      <c r="P194" s="155" t="s">
        <v>348</v>
      </c>
      <c r="Q194" s="53">
        <v>80111600</v>
      </c>
      <c r="R194" s="158" t="s">
        <v>208</v>
      </c>
      <c r="S194" s="158" t="str">
        <f>MID(PAA[[#This Row],[Meta Proyecto de Inversión]],1,4)</f>
        <v>8126</v>
      </c>
      <c r="T194" s="158" t="str">
        <f>MID(PAA[[#This Row],[Meta Proyecto de Inversión]],6,1)</f>
        <v>9</v>
      </c>
      <c r="U194" s="159" t="str">
        <f>IFERROR(VLOOKUP(N194,TD!$B$50:$F$54,2,0)," ")</f>
        <v>O230117</v>
      </c>
      <c r="V194" s="159" t="str">
        <f>IFERROR(VLOOKUP(N194,TD!$B$50:$F$54,3,0)," ")</f>
        <v>4599</v>
      </c>
      <c r="W194" s="159">
        <f>IFERROR(VLOOKUP(N194,TD!$B$50:$F$54,4,0)," ")</f>
        <v>20240207</v>
      </c>
      <c r="X194" s="158" t="s">
        <v>174</v>
      </c>
      <c r="Y194" s="159" t="str">
        <f>IFERROR(VLOOKUP(X194,TD!$J$51:$K$64,2,0)," ")</f>
        <v>Infraestructura física, mantenimiento y dotación (Sedes construidas, mantenidas reforzadas)</v>
      </c>
      <c r="Z194" s="160" t="str">
        <f>CONCATENATE(X194,"-",Y194)</f>
        <v>08-Infraestructura física, mantenimiento y dotación (Sedes construidas, mantenidas reforzadas)</v>
      </c>
      <c r="AA194" s="162" t="s">
        <v>227</v>
      </c>
      <c r="AB194" s="159" t="str">
        <f>IFERROR(VLOOKUP(AA194,TD!$N$51:$O$66,2,0)," ")</f>
        <v>Sedes mantenidas</v>
      </c>
      <c r="AC194" s="160" t="str">
        <f>CONCATENATE(AA194,"_",AB194)</f>
        <v>016_Sedes mantenidas</v>
      </c>
      <c r="AD194" s="160" t="str">
        <f>CONCATENATE(Z194," ",AC194)</f>
        <v>08-Infraestructura física, mantenimiento y dotación (Sedes construidas, mantenidas reforzadas) 016_Sedes mantenidas</v>
      </c>
      <c r="AE194" s="159" t="str">
        <f>CONCATENATE(U194,V194,W194,X194,AA194)</f>
        <v>O23011745992024020708016</v>
      </c>
      <c r="AF194" s="159" t="str">
        <f>IFERROR(VLOOKUP(AD194,TD!$J$66:$K$89,2,0)," ")</f>
        <v>PM/0131/0108/45990160207</v>
      </c>
      <c r="AG194" s="118" t="s">
        <v>385</v>
      </c>
      <c r="AH194" s="158" t="s">
        <v>193</v>
      </c>
      <c r="AI194" s="161" t="str">
        <f>CONCATENATE(PAA[[#This Row],[Id Interno]],"-",PAA[[#This Row],[tipo de Contrato (TH talento humano - B/S bienes y/o servicios)]],"-",S194,"-",T194,"-",PAA[[#This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195" spans="2:35" ht="126" x14ac:dyDescent="0.35">
      <c r="B195" s="23">
        <v>20260155</v>
      </c>
      <c r="C195" s="99" t="s">
        <v>474</v>
      </c>
      <c r="D195" s="23" t="s">
        <v>105</v>
      </c>
      <c r="E195" s="23" t="s">
        <v>363</v>
      </c>
      <c r="F195" s="155" t="s">
        <v>144</v>
      </c>
      <c r="G195" s="156" t="s">
        <v>373</v>
      </c>
      <c r="H195" s="157">
        <v>10</v>
      </c>
      <c r="I195" s="157">
        <v>0</v>
      </c>
      <c r="J195" s="127">
        <v>64000000</v>
      </c>
      <c r="K195" s="88" t="s">
        <v>398</v>
      </c>
      <c r="L195" s="155" t="s">
        <v>154</v>
      </c>
      <c r="M195" s="158" t="s">
        <v>460</v>
      </c>
      <c r="N195" s="23" t="s">
        <v>197</v>
      </c>
      <c r="O195" s="151" t="s">
        <v>957</v>
      </c>
      <c r="P195" s="155" t="s">
        <v>348</v>
      </c>
      <c r="Q195" s="53">
        <v>80111600</v>
      </c>
      <c r="R195" s="158" t="s">
        <v>208</v>
      </c>
      <c r="S195" s="158" t="str">
        <f>MID(PAA[[#This Row],[Meta Proyecto de Inversión]],1,4)</f>
        <v>8126</v>
      </c>
      <c r="T195" s="158" t="str">
        <f>MID(PAA[[#This Row],[Meta Proyecto de Inversión]],6,1)</f>
        <v>9</v>
      </c>
      <c r="U195" s="159" t="str">
        <f>IFERROR(VLOOKUP(N195,TD!$B$50:$F$54,2,0)," ")</f>
        <v>O230117</v>
      </c>
      <c r="V195" s="159" t="str">
        <f>IFERROR(VLOOKUP(N195,TD!$B$50:$F$54,3,0)," ")</f>
        <v>4599</v>
      </c>
      <c r="W195" s="159">
        <f>IFERROR(VLOOKUP(N195,TD!$B$50:$F$54,4,0)," ")</f>
        <v>20240207</v>
      </c>
      <c r="X195" s="158" t="s">
        <v>174</v>
      </c>
      <c r="Y195" s="159" t="str">
        <f>IFERROR(VLOOKUP(X195,TD!$J$51:$K$64,2,0)," ")</f>
        <v>Infraestructura física, mantenimiento y dotación (Sedes construidas, mantenidas reforzadas)</v>
      </c>
      <c r="Z195" s="160" t="str">
        <f>CONCATENATE(X195,"-",Y195)</f>
        <v>08-Infraestructura física, mantenimiento y dotación (Sedes construidas, mantenidas reforzadas)</v>
      </c>
      <c r="AA195" s="162" t="s">
        <v>227</v>
      </c>
      <c r="AB195" s="159" t="str">
        <f>IFERROR(VLOOKUP(AA195,TD!$N$51:$O$66,2,0)," ")</f>
        <v>Sedes mantenidas</v>
      </c>
      <c r="AC195" s="160" t="str">
        <f>CONCATENATE(AA195,"_",AB195)</f>
        <v>016_Sedes mantenidas</v>
      </c>
      <c r="AD195" s="160" t="str">
        <f>CONCATENATE(Z195," ",AC195)</f>
        <v>08-Infraestructura física, mantenimiento y dotación (Sedes construidas, mantenidas reforzadas) 016_Sedes mantenidas</v>
      </c>
      <c r="AE195" s="159" t="str">
        <f>CONCATENATE(U195,V195,W195,X195,AA195)</f>
        <v>O23011745992024020708016</v>
      </c>
      <c r="AF195" s="159" t="str">
        <f>IFERROR(VLOOKUP(AD195,TD!$J$66:$K$89,2,0)," ")</f>
        <v>PM/0131/0108/45990160207</v>
      </c>
      <c r="AG195" s="118" t="s">
        <v>385</v>
      </c>
      <c r="AH195" s="158" t="s">
        <v>193</v>
      </c>
      <c r="AI195" s="161" t="str">
        <f>CONCATENATE(PAA[[#This Row],[Id Interno]],"-",PAA[[#This Row],[tipo de Contrato (TH talento humano - B/S bienes y/o servicios)]],"-",S195,"-",T195,"-",PAA[[#This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196" spans="2:35" ht="126" x14ac:dyDescent="0.35">
      <c r="B196" s="23">
        <v>20260156</v>
      </c>
      <c r="C196" s="99" t="s">
        <v>475</v>
      </c>
      <c r="D196" s="23" t="s">
        <v>105</v>
      </c>
      <c r="E196" s="23" t="s">
        <v>363</v>
      </c>
      <c r="F196" s="155" t="s">
        <v>144</v>
      </c>
      <c r="G196" s="156" t="s">
        <v>373</v>
      </c>
      <c r="H196" s="157">
        <v>11</v>
      </c>
      <c r="I196" s="157">
        <v>0</v>
      </c>
      <c r="J196" s="127">
        <v>77000000</v>
      </c>
      <c r="K196" s="88" t="s">
        <v>398</v>
      </c>
      <c r="L196" s="155" t="s">
        <v>154</v>
      </c>
      <c r="M196" s="158" t="s">
        <v>460</v>
      </c>
      <c r="N196" s="23" t="s">
        <v>197</v>
      </c>
      <c r="O196" s="151" t="s">
        <v>957</v>
      </c>
      <c r="P196" s="155" t="s">
        <v>348</v>
      </c>
      <c r="Q196" s="53">
        <v>80111600</v>
      </c>
      <c r="R196" s="158" t="s">
        <v>208</v>
      </c>
      <c r="S196" s="158" t="str">
        <f>MID(PAA[[#This Row],[Meta Proyecto de Inversión]],1,4)</f>
        <v>8126</v>
      </c>
      <c r="T196" s="158" t="str">
        <f>MID(PAA[[#This Row],[Meta Proyecto de Inversión]],6,1)</f>
        <v>9</v>
      </c>
      <c r="U196" s="159" t="str">
        <f>IFERROR(VLOOKUP(N196,TD!$B$50:$F$54,2,0)," ")</f>
        <v>O230117</v>
      </c>
      <c r="V196" s="159" t="str">
        <f>IFERROR(VLOOKUP(N196,TD!$B$50:$F$54,3,0)," ")</f>
        <v>4599</v>
      </c>
      <c r="W196" s="159">
        <f>IFERROR(VLOOKUP(N196,TD!$B$50:$F$54,4,0)," ")</f>
        <v>20240207</v>
      </c>
      <c r="X196" s="158" t="s">
        <v>174</v>
      </c>
      <c r="Y196" s="159" t="str">
        <f>IFERROR(VLOOKUP(X196,TD!$J$51:$K$64,2,0)," ")</f>
        <v>Infraestructura física, mantenimiento y dotación (Sedes construidas, mantenidas reforzadas)</v>
      </c>
      <c r="Z196" s="160" t="str">
        <f>CONCATENATE(X196,"-",Y196)</f>
        <v>08-Infraestructura física, mantenimiento y dotación (Sedes construidas, mantenidas reforzadas)</v>
      </c>
      <c r="AA196" s="162" t="s">
        <v>227</v>
      </c>
      <c r="AB196" s="159" t="str">
        <f>IFERROR(VLOOKUP(AA196,TD!$N$51:$O$66,2,0)," ")</f>
        <v>Sedes mantenidas</v>
      </c>
      <c r="AC196" s="160" t="str">
        <f>CONCATENATE(AA196,"_",AB196)</f>
        <v>016_Sedes mantenidas</v>
      </c>
      <c r="AD196" s="160" t="str">
        <f>CONCATENATE(Z196," ",AC196)</f>
        <v>08-Infraestructura física, mantenimiento y dotación (Sedes construidas, mantenidas reforzadas) 016_Sedes mantenidas</v>
      </c>
      <c r="AE196" s="159" t="str">
        <f>CONCATENATE(U196,V196,W196,X196,AA196)</f>
        <v>O23011745992024020708016</v>
      </c>
      <c r="AF196" s="159" t="str">
        <f>IFERROR(VLOOKUP(AD196,TD!$J$66:$K$89,2,0)," ")</f>
        <v>PM/0131/0108/45990160207</v>
      </c>
      <c r="AG196" s="118" t="s">
        <v>385</v>
      </c>
      <c r="AH196" s="158" t="s">
        <v>193</v>
      </c>
      <c r="AI196" s="161" t="str">
        <f>CONCATENATE(PAA[[#This Row],[Id Interno]],"-",PAA[[#This Row],[tipo de Contrato (TH talento humano - B/S bienes y/o servicios)]],"-",S196,"-",T196,"-",PAA[[#This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197" spans="2:35" ht="84" x14ac:dyDescent="0.35">
      <c r="B197" s="23">
        <v>20260157</v>
      </c>
      <c r="C197" s="99" t="s">
        <v>638</v>
      </c>
      <c r="D197" s="23" t="s">
        <v>105</v>
      </c>
      <c r="E197" s="23" t="s">
        <v>363</v>
      </c>
      <c r="F197" s="155" t="s">
        <v>144</v>
      </c>
      <c r="G197" s="156" t="s">
        <v>373</v>
      </c>
      <c r="H197" s="157">
        <v>10</v>
      </c>
      <c r="I197" s="157">
        <v>0</v>
      </c>
      <c r="J197" s="127">
        <v>65000000</v>
      </c>
      <c r="K197" s="88" t="s">
        <v>398</v>
      </c>
      <c r="L197" s="155" t="s">
        <v>154</v>
      </c>
      <c r="M197" s="158" t="s">
        <v>460</v>
      </c>
      <c r="N197" s="23" t="s">
        <v>197</v>
      </c>
      <c r="O197" s="151" t="s">
        <v>957</v>
      </c>
      <c r="P197" s="155" t="s">
        <v>348</v>
      </c>
      <c r="Q197" s="53">
        <v>80111600</v>
      </c>
      <c r="R197" s="158" t="s">
        <v>208</v>
      </c>
      <c r="S197" s="158" t="str">
        <f>MID(PAA[[#This Row],[Meta Proyecto de Inversión]],1,4)</f>
        <v>8126</v>
      </c>
      <c r="T197" s="158" t="str">
        <f>MID(PAA[[#This Row],[Meta Proyecto de Inversión]],6,1)</f>
        <v>9</v>
      </c>
      <c r="U197" s="159" t="str">
        <f>IFERROR(VLOOKUP(N197,TD!$B$50:$F$54,2,0)," ")</f>
        <v>O230117</v>
      </c>
      <c r="V197" s="159" t="str">
        <f>IFERROR(VLOOKUP(N197,TD!$B$50:$F$54,3,0)," ")</f>
        <v>4599</v>
      </c>
      <c r="W197" s="159">
        <f>IFERROR(VLOOKUP(N197,TD!$B$50:$F$54,4,0)," ")</f>
        <v>20240207</v>
      </c>
      <c r="X197" s="158" t="s">
        <v>174</v>
      </c>
      <c r="Y197" s="159" t="str">
        <f>IFERROR(VLOOKUP(X197,TD!$J$51:$K$64,2,0)," ")</f>
        <v>Infraestructura física, mantenimiento y dotación (Sedes construidas, mantenidas reforzadas)</v>
      </c>
      <c r="Z197" s="160" t="str">
        <f>CONCATENATE(X197,"-",Y197)</f>
        <v>08-Infraestructura física, mantenimiento y dotación (Sedes construidas, mantenidas reforzadas)</v>
      </c>
      <c r="AA197" s="162" t="s">
        <v>227</v>
      </c>
      <c r="AB197" s="159" t="str">
        <f>IFERROR(VLOOKUP(AA197,TD!$N$51:$O$66,2,0)," ")</f>
        <v>Sedes mantenidas</v>
      </c>
      <c r="AC197" s="160" t="str">
        <f>CONCATENATE(AA197,"_",AB197)</f>
        <v>016_Sedes mantenidas</v>
      </c>
      <c r="AD197" s="160" t="str">
        <f>CONCATENATE(Z197," ",AC197)</f>
        <v>08-Infraestructura física, mantenimiento y dotación (Sedes construidas, mantenidas reforzadas) 016_Sedes mantenidas</v>
      </c>
      <c r="AE197" s="159" t="str">
        <f>CONCATENATE(U197,V197,W197,X197,AA197)</f>
        <v>O23011745992024020708016</v>
      </c>
      <c r="AF197" s="159" t="str">
        <f>IFERROR(VLOOKUP(AD197,TD!$J$66:$K$89,2,0)," ")</f>
        <v>PM/0131/0108/45990160207</v>
      </c>
      <c r="AG197" s="118" t="s">
        <v>385</v>
      </c>
      <c r="AH197" s="158" t="s">
        <v>193</v>
      </c>
      <c r="AI197" s="161" t="str">
        <f>CONCATENATE(PAA[[#This Row],[Id Interno]],"-",PAA[[#This Row],[tipo de Contrato (TH talento humano - B/S bienes y/o servicios)]],"-",S197,"-",T197,"-",PAA[[#This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198" spans="2:35" ht="70" x14ac:dyDescent="0.35">
      <c r="B198" s="23">
        <v>20260158</v>
      </c>
      <c r="C198" s="99" t="s">
        <v>476</v>
      </c>
      <c r="D198" s="23" t="s">
        <v>105</v>
      </c>
      <c r="E198" s="23" t="s">
        <v>363</v>
      </c>
      <c r="F198" s="155" t="s">
        <v>144</v>
      </c>
      <c r="G198" s="156" t="s">
        <v>373</v>
      </c>
      <c r="H198" s="157">
        <v>7</v>
      </c>
      <c r="I198" s="157">
        <v>0</v>
      </c>
      <c r="J198" s="127">
        <v>51800000</v>
      </c>
      <c r="K198" s="88" t="s">
        <v>398</v>
      </c>
      <c r="L198" s="155" t="s">
        <v>154</v>
      </c>
      <c r="M198" s="158" t="s">
        <v>460</v>
      </c>
      <c r="N198" s="23" t="s">
        <v>197</v>
      </c>
      <c r="O198" s="151" t="s">
        <v>957</v>
      </c>
      <c r="P198" s="155" t="s">
        <v>348</v>
      </c>
      <c r="Q198" s="53">
        <v>80111600</v>
      </c>
      <c r="R198" s="158" t="s">
        <v>208</v>
      </c>
      <c r="S198" s="158" t="str">
        <f>MID(PAA[[#This Row],[Meta Proyecto de Inversión]],1,4)</f>
        <v>8126</v>
      </c>
      <c r="T198" s="158" t="str">
        <f>MID(PAA[[#This Row],[Meta Proyecto de Inversión]],6,1)</f>
        <v>9</v>
      </c>
      <c r="U198" s="159" t="str">
        <f>IFERROR(VLOOKUP(N198,TD!$B$50:$F$54,2,0)," ")</f>
        <v>O230117</v>
      </c>
      <c r="V198" s="159" t="str">
        <f>IFERROR(VLOOKUP(N198,TD!$B$50:$F$54,3,0)," ")</f>
        <v>4599</v>
      </c>
      <c r="W198" s="159">
        <f>IFERROR(VLOOKUP(N198,TD!$B$50:$F$54,4,0)," ")</f>
        <v>20240207</v>
      </c>
      <c r="X198" s="158" t="s">
        <v>174</v>
      </c>
      <c r="Y198" s="159" t="str">
        <f>IFERROR(VLOOKUP(X198,TD!$J$51:$K$64,2,0)," ")</f>
        <v>Infraestructura física, mantenimiento y dotación (Sedes construidas, mantenidas reforzadas)</v>
      </c>
      <c r="Z198" s="160" t="str">
        <f>CONCATENATE(X198,"-",Y198)</f>
        <v>08-Infraestructura física, mantenimiento y dotación (Sedes construidas, mantenidas reforzadas)</v>
      </c>
      <c r="AA198" s="162" t="s">
        <v>227</v>
      </c>
      <c r="AB198" s="159" t="str">
        <f>IFERROR(VLOOKUP(AA198,TD!$N$51:$O$66,2,0)," ")</f>
        <v>Sedes mantenidas</v>
      </c>
      <c r="AC198" s="160" t="str">
        <f>CONCATENATE(AA198,"_",AB198)</f>
        <v>016_Sedes mantenidas</v>
      </c>
      <c r="AD198" s="160" t="str">
        <f>CONCATENATE(Z198," ",AC198)</f>
        <v>08-Infraestructura física, mantenimiento y dotación (Sedes construidas, mantenidas reforzadas) 016_Sedes mantenidas</v>
      </c>
      <c r="AE198" s="159" t="str">
        <f>CONCATENATE(U198,V198,W198,X198,AA198)</f>
        <v>O23011745992024020708016</v>
      </c>
      <c r="AF198" s="159" t="str">
        <f>IFERROR(VLOOKUP(AD198,TD!$J$66:$K$89,2,0)," ")</f>
        <v>PM/0131/0108/45990160207</v>
      </c>
      <c r="AG198" s="118" t="s">
        <v>385</v>
      </c>
      <c r="AH198" s="158" t="s">
        <v>193</v>
      </c>
      <c r="AI198" s="161" t="str">
        <f>CONCATENATE(PAA[[#This Row],[Id Interno]],"-",PAA[[#This Row],[tipo de Contrato (TH talento humano - B/S bienes y/o servicios)]],"-",S198,"-",T198,"-",PAA[[#This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199" spans="2:35" ht="70" x14ac:dyDescent="0.35">
      <c r="B199" s="23">
        <v>20260159</v>
      </c>
      <c r="C199" s="99" t="s">
        <v>639</v>
      </c>
      <c r="D199" s="23" t="s">
        <v>105</v>
      </c>
      <c r="E199" s="23" t="s">
        <v>363</v>
      </c>
      <c r="F199" s="155" t="s">
        <v>144</v>
      </c>
      <c r="G199" s="156" t="s">
        <v>373</v>
      </c>
      <c r="H199" s="157">
        <v>7</v>
      </c>
      <c r="I199" s="157">
        <v>0</v>
      </c>
      <c r="J199" s="127">
        <v>64400000</v>
      </c>
      <c r="K199" s="88" t="s">
        <v>398</v>
      </c>
      <c r="L199" s="155" t="s">
        <v>154</v>
      </c>
      <c r="M199" s="158" t="s">
        <v>460</v>
      </c>
      <c r="N199" s="23" t="s">
        <v>197</v>
      </c>
      <c r="O199" s="151" t="s">
        <v>957</v>
      </c>
      <c r="P199" s="155" t="s">
        <v>348</v>
      </c>
      <c r="Q199" s="53">
        <v>80111600</v>
      </c>
      <c r="R199" s="158" t="s">
        <v>208</v>
      </c>
      <c r="S199" s="158" t="str">
        <f>MID(PAA[[#This Row],[Meta Proyecto de Inversión]],1,4)</f>
        <v>8126</v>
      </c>
      <c r="T199" s="158" t="str">
        <f>MID(PAA[[#This Row],[Meta Proyecto de Inversión]],6,1)</f>
        <v>9</v>
      </c>
      <c r="U199" s="159" t="str">
        <f>IFERROR(VLOOKUP(N199,TD!$B$50:$F$54,2,0)," ")</f>
        <v>O230117</v>
      </c>
      <c r="V199" s="159" t="str">
        <f>IFERROR(VLOOKUP(N199,TD!$B$50:$F$54,3,0)," ")</f>
        <v>4599</v>
      </c>
      <c r="W199" s="159">
        <f>IFERROR(VLOOKUP(N199,TD!$B$50:$F$54,4,0)," ")</f>
        <v>20240207</v>
      </c>
      <c r="X199" s="158" t="s">
        <v>174</v>
      </c>
      <c r="Y199" s="159" t="str">
        <f>IFERROR(VLOOKUP(X199,TD!$J$51:$K$64,2,0)," ")</f>
        <v>Infraestructura física, mantenimiento y dotación (Sedes construidas, mantenidas reforzadas)</v>
      </c>
      <c r="Z199" s="160" t="str">
        <f>CONCATENATE(X199,"-",Y199)</f>
        <v>08-Infraestructura física, mantenimiento y dotación (Sedes construidas, mantenidas reforzadas)</v>
      </c>
      <c r="AA199" s="162" t="s">
        <v>227</v>
      </c>
      <c r="AB199" s="159" t="str">
        <f>IFERROR(VLOOKUP(AA199,TD!$N$51:$O$66,2,0)," ")</f>
        <v>Sedes mantenidas</v>
      </c>
      <c r="AC199" s="160" t="str">
        <f>CONCATENATE(AA199,"_",AB199)</f>
        <v>016_Sedes mantenidas</v>
      </c>
      <c r="AD199" s="160" t="str">
        <f>CONCATENATE(Z199," ",AC199)</f>
        <v>08-Infraestructura física, mantenimiento y dotación (Sedes construidas, mantenidas reforzadas) 016_Sedes mantenidas</v>
      </c>
      <c r="AE199" s="159" t="str">
        <f>CONCATENATE(U199,V199,W199,X199,AA199)</f>
        <v>O23011745992024020708016</v>
      </c>
      <c r="AF199" s="159" t="str">
        <f>IFERROR(VLOOKUP(AD199,TD!$J$66:$K$89,2,0)," ")</f>
        <v>PM/0131/0108/45990160207</v>
      </c>
      <c r="AG199" s="118" t="s">
        <v>385</v>
      </c>
      <c r="AH199" s="158" t="s">
        <v>193</v>
      </c>
      <c r="AI199" s="161" t="str">
        <f>CONCATENATE(PAA[[#This Row],[Id Interno]],"-",PAA[[#This Row],[tipo de Contrato (TH talento humano - B/S bienes y/o servicios)]],"-",S199,"-",T199,"-",PAA[[#This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200" spans="2:35" ht="98" x14ac:dyDescent="0.35">
      <c r="B200" s="23">
        <v>20260160</v>
      </c>
      <c r="C200" s="99" t="s">
        <v>640</v>
      </c>
      <c r="D200" s="23" t="s">
        <v>105</v>
      </c>
      <c r="E200" s="23" t="s">
        <v>363</v>
      </c>
      <c r="F200" s="155" t="s">
        <v>145</v>
      </c>
      <c r="G200" s="156" t="s">
        <v>373</v>
      </c>
      <c r="H200" s="157">
        <v>7</v>
      </c>
      <c r="I200" s="157">
        <v>0</v>
      </c>
      <c r="J200" s="127">
        <v>25200000</v>
      </c>
      <c r="K200" s="88" t="s">
        <v>398</v>
      </c>
      <c r="L200" s="155" t="s">
        <v>154</v>
      </c>
      <c r="M200" s="158" t="s">
        <v>460</v>
      </c>
      <c r="N200" s="23" t="s">
        <v>197</v>
      </c>
      <c r="O200" s="151" t="s">
        <v>957</v>
      </c>
      <c r="P200" s="155" t="s">
        <v>348</v>
      </c>
      <c r="Q200" s="53">
        <v>80111600</v>
      </c>
      <c r="R200" s="158" t="s">
        <v>208</v>
      </c>
      <c r="S200" s="158" t="str">
        <f>MID(PAA[[#This Row],[Meta Proyecto de Inversión]],1,4)</f>
        <v>8126</v>
      </c>
      <c r="T200" s="158" t="str">
        <f>MID(PAA[[#This Row],[Meta Proyecto de Inversión]],6,1)</f>
        <v>9</v>
      </c>
      <c r="U200" s="159" t="str">
        <f>IFERROR(VLOOKUP(N200,TD!$B$50:$F$54,2,0)," ")</f>
        <v>O230117</v>
      </c>
      <c r="V200" s="159" t="str">
        <f>IFERROR(VLOOKUP(N200,TD!$B$50:$F$54,3,0)," ")</f>
        <v>4599</v>
      </c>
      <c r="W200" s="159">
        <f>IFERROR(VLOOKUP(N200,TD!$B$50:$F$54,4,0)," ")</f>
        <v>20240207</v>
      </c>
      <c r="X200" s="158" t="s">
        <v>174</v>
      </c>
      <c r="Y200" s="159" t="str">
        <f>IFERROR(VLOOKUP(X200,TD!$J$51:$K$64,2,0)," ")</f>
        <v>Infraestructura física, mantenimiento y dotación (Sedes construidas, mantenidas reforzadas)</v>
      </c>
      <c r="Z200" s="160" t="str">
        <f>CONCATENATE(X200,"-",Y200)</f>
        <v>08-Infraestructura física, mantenimiento y dotación (Sedes construidas, mantenidas reforzadas)</v>
      </c>
      <c r="AA200" s="162" t="s">
        <v>227</v>
      </c>
      <c r="AB200" s="159" t="str">
        <f>IFERROR(VLOOKUP(AA200,TD!$N$51:$O$66,2,0)," ")</f>
        <v>Sedes mantenidas</v>
      </c>
      <c r="AC200" s="160" t="str">
        <f>CONCATENATE(AA200,"_",AB200)</f>
        <v>016_Sedes mantenidas</v>
      </c>
      <c r="AD200" s="160" t="str">
        <f>CONCATENATE(Z200," ",AC200)</f>
        <v>08-Infraestructura física, mantenimiento y dotación (Sedes construidas, mantenidas reforzadas) 016_Sedes mantenidas</v>
      </c>
      <c r="AE200" s="159" t="str">
        <f>CONCATENATE(U200,V200,W200,X200,AA200)</f>
        <v>O23011745992024020708016</v>
      </c>
      <c r="AF200" s="159" t="str">
        <f>IFERROR(VLOOKUP(AD200,TD!$J$66:$K$89,2,0)," ")</f>
        <v>PM/0131/0108/45990160207</v>
      </c>
      <c r="AG200" s="118" t="s">
        <v>385</v>
      </c>
      <c r="AH200" s="158" t="s">
        <v>193</v>
      </c>
      <c r="AI200" s="161" t="str">
        <f>CONCATENATE(PAA[[#This Row],[Id Interno]],"-",PAA[[#This Row],[tipo de Contrato (TH talento humano - B/S bienes y/o servicios)]],"-",S200,"-",T200,"-",PAA[[#This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201" spans="2:35" ht="168" x14ac:dyDescent="0.35">
      <c r="B201" s="23">
        <v>20260161</v>
      </c>
      <c r="C201" s="99" t="s">
        <v>477</v>
      </c>
      <c r="D201" s="23" t="s">
        <v>105</v>
      </c>
      <c r="E201" s="23" t="s">
        <v>363</v>
      </c>
      <c r="F201" s="155" t="s">
        <v>144</v>
      </c>
      <c r="G201" s="156" t="s">
        <v>373</v>
      </c>
      <c r="H201" s="157">
        <v>7</v>
      </c>
      <c r="I201" s="157">
        <v>0</v>
      </c>
      <c r="J201" s="127">
        <v>41300000</v>
      </c>
      <c r="K201" s="88" t="s">
        <v>398</v>
      </c>
      <c r="L201" s="155" t="s">
        <v>154</v>
      </c>
      <c r="M201" s="158" t="s">
        <v>460</v>
      </c>
      <c r="N201" s="23" t="s">
        <v>197</v>
      </c>
      <c r="O201" s="151" t="s">
        <v>957</v>
      </c>
      <c r="P201" s="155" t="s">
        <v>348</v>
      </c>
      <c r="Q201" s="53">
        <v>80111600</v>
      </c>
      <c r="R201" s="158" t="s">
        <v>208</v>
      </c>
      <c r="S201" s="158" t="str">
        <f>MID(PAA[[#This Row],[Meta Proyecto de Inversión]],1,4)</f>
        <v>8126</v>
      </c>
      <c r="T201" s="158" t="str">
        <f>MID(PAA[[#This Row],[Meta Proyecto de Inversión]],6,1)</f>
        <v>9</v>
      </c>
      <c r="U201" s="159" t="str">
        <f>IFERROR(VLOOKUP(N201,TD!$B$50:$F$54,2,0)," ")</f>
        <v>O230117</v>
      </c>
      <c r="V201" s="159" t="str">
        <f>IFERROR(VLOOKUP(N201,TD!$B$50:$F$54,3,0)," ")</f>
        <v>4599</v>
      </c>
      <c r="W201" s="159">
        <f>IFERROR(VLOOKUP(N201,TD!$B$50:$F$54,4,0)," ")</f>
        <v>20240207</v>
      </c>
      <c r="X201" s="158" t="s">
        <v>174</v>
      </c>
      <c r="Y201" s="159" t="str">
        <f>IFERROR(VLOOKUP(X201,TD!$J$51:$K$64,2,0)," ")</f>
        <v>Infraestructura física, mantenimiento y dotación (Sedes construidas, mantenidas reforzadas)</v>
      </c>
      <c r="Z201" s="160" t="str">
        <f>CONCATENATE(X201,"-",Y201)</f>
        <v>08-Infraestructura física, mantenimiento y dotación (Sedes construidas, mantenidas reforzadas)</v>
      </c>
      <c r="AA201" s="162" t="s">
        <v>227</v>
      </c>
      <c r="AB201" s="159" t="str">
        <f>IFERROR(VLOOKUP(AA201,TD!$N$51:$O$66,2,0)," ")</f>
        <v>Sedes mantenidas</v>
      </c>
      <c r="AC201" s="160" t="str">
        <f>CONCATENATE(AA201,"_",AB201)</f>
        <v>016_Sedes mantenidas</v>
      </c>
      <c r="AD201" s="160" t="str">
        <f>CONCATENATE(Z201," ",AC201)</f>
        <v>08-Infraestructura física, mantenimiento y dotación (Sedes construidas, mantenidas reforzadas) 016_Sedes mantenidas</v>
      </c>
      <c r="AE201" s="159" t="str">
        <f>CONCATENATE(U201,V201,W201,X201,AA201)</f>
        <v>O23011745992024020708016</v>
      </c>
      <c r="AF201" s="159" t="str">
        <f>IFERROR(VLOOKUP(AD201,TD!$J$66:$K$89,2,0)," ")</f>
        <v>PM/0131/0108/45990160207</v>
      </c>
      <c r="AG201" s="118" t="s">
        <v>385</v>
      </c>
      <c r="AH201" s="158" t="s">
        <v>193</v>
      </c>
      <c r="AI201" s="161" t="str">
        <f>CONCATENATE(PAA[[#This Row],[Id Interno]],"-",PAA[[#This Row],[tipo de Contrato (TH talento humano - B/S bienes y/o servicios)]],"-",S201,"-",T201,"-",PAA[[#This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202" spans="2:35" ht="70" x14ac:dyDescent="0.35">
      <c r="B202" s="23">
        <v>20260162</v>
      </c>
      <c r="C202" s="99" t="s">
        <v>641</v>
      </c>
      <c r="D202" s="23" t="s">
        <v>105</v>
      </c>
      <c r="E202" s="23" t="s">
        <v>363</v>
      </c>
      <c r="F202" s="155" t="s">
        <v>144</v>
      </c>
      <c r="G202" s="156" t="s">
        <v>373</v>
      </c>
      <c r="H202" s="157">
        <v>8</v>
      </c>
      <c r="I202" s="157">
        <v>0</v>
      </c>
      <c r="J202" s="127">
        <v>57600000</v>
      </c>
      <c r="K202" s="88" t="s">
        <v>398</v>
      </c>
      <c r="L202" s="155" t="s">
        <v>154</v>
      </c>
      <c r="M202" s="158" t="s">
        <v>460</v>
      </c>
      <c r="N202" s="23" t="s">
        <v>197</v>
      </c>
      <c r="O202" s="151" t="s">
        <v>957</v>
      </c>
      <c r="P202" s="155" t="s">
        <v>348</v>
      </c>
      <c r="Q202" s="53">
        <v>80111600</v>
      </c>
      <c r="R202" s="158" t="s">
        <v>208</v>
      </c>
      <c r="S202" s="158" t="str">
        <f>MID(PAA[[#This Row],[Meta Proyecto de Inversión]],1,4)</f>
        <v>8126</v>
      </c>
      <c r="T202" s="158" t="str">
        <f>MID(PAA[[#This Row],[Meta Proyecto de Inversión]],6,1)</f>
        <v>9</v>
      </c>
      <c r="U202" s="159" t="str">
        <f>IFERROR(VLOOKUP(N202,TD!$B$50:$F$54,2,0)," ")</f>
        <v>O230117</v>
      </c>
      <c r="V202" s="159" t="str">
        <f>IFERROR(VLOOKUP(N202,TD!$B$50:$F$54,3,0)," ")</f>
        <v>4599</v>
      </c>
      <c r="W202" s="159">
        <f>IFERROR(VLOOKUP(N202,TD!$B$50:$F$54,4,0)," ")</f>
        <v>20240207</v>
      </c>
      <c r="X202" s="158" t="s">
        <v>174</v>
      </c>
      <c r="Y202" s="159" t="str">
        <f>IFERROR(VLOOKUP(X202,TD!$J$51:$K$64,2,0)," ")</f>
        <v>Infraestructura física, mantenimiento y dotación (Sedes construidas, mantenidas reforzadas)</v>
      </c>
      <c r="Z202" s="160" t="str">
        <f>CONCATENATE(X202,"-",Y202)</f>
        <v>08-Infraestructura física, mantenimiento y dotación (Sedes construidas, mantenidas reforzadas)</v>
      </c>
      <c r="AA202" s="162" t="s">
        <v>227</v>
      </c>
      <c r="AB202" s="159" t="str">
        <f>IFERROR(VLOOKUP(AA202,TD!$N$51:$O$66,2,0)," ")</f>
        <v>Sedes mantenidas</v>
      </c>
      <c r="AC202" s="160" t="str">
        <f>CONCATENATE(AA202,"_",AB202)</f>
        <v>016_Sedes mantenidas</v>
      </c>
      <c r="AD202" s="160" t="str">
        <f>CONCATENATE(Z202," ",AC202)</f>
        <v>08-Infraestructura física, mantenimiento y dotación (Sedes construidas, mantenidas reforzadas) 016_Sedes mantenidas</v>
      </c>
      <c r="AE202" s="159" t="str">
        <f>CONCATENATE(U202,V202,W202,X202,AA202)</f>
        <v>O23011745992024020708016</v>
      </c>
      <c r="AF202" s="159" t="str">
        <f>IFERROR(VLOOKUP(AD202,TD!$J$66:$K$89,2,0)," ")</f>
        <v>PM/0131/0108/45990160207</v>
      </c>
      <c r="AG202" s="118" t="s">
        <v>385</v>
      </c>
      <c r="AH202" s="158" t="s">
        <v>193</v>
      </c>
      <c r="AI202" s="161" t="str">
        <f>CONCATENATE(PAA[[#This Row],[Id Interno]],"-",PAA[[#This Row],[tipo de Contrato (TH talento humano - B/S bienes y/o servicios)]],"-",S202,"-",T202,"-",PAA[[#This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203" spans="2:35" ht="84" x14ac:dyDescent="0.35">
      <c r="B203" s="23">
        <v>20260163</v>
      </c>
      <c r="C203" s="99" t="s">
        <v>642</v>
      </c>
      <c r="D203" s="23" t="s">
        <v>105</v>
      </c>
      <c r="E203" s="23" t="s">
        <v>363</v>
      </c>
      <c r="F203" s="155" t="s">
        <v>144</v>
      </c>
      <c r="G203" s="156" t="s">
        <v>373</v>
      </c>
      <c r="H203" s="157">
        <v>5</v>
      </c>
      <c r="I203" s="157">
        <v>0</v>
      </c>
      <c r="J203" s="127">
        <v>46000000</v>
      </c>
      <c r="K203" s="88" t="s">
        <v>398</v>
      </c>
      <c r="L203" s="155" t="s">
        <v>154</v>
      </c>
      <c r="M203" s="158" t="s">
        <v>460</v>
      </c>
      <c r="N203" s="23" t="s">
        <v>197</v>
      </c>
      <c r="O203" s="151" t="s">
        <v>957</v>
      </c>
      <c r="P203" s="155" t="s">
        <v>348</v>
      </c>
      <c r="Q203" s="53">
        <v>80111600</v>
      </c>
      <c r="R203" s="158" t="s">
        <v>208</v>
      </c>
      <c r="S203" s="158" t="str">
        <f>MID(PAA[[#This Row],[Meta Proyecto de Inversión]],1,4)</f>
        <v>8126</v>
      </c>
      <c r="T203" s="158" t="str">
        <f>MID(PAA[[#This Row],[Meta Proyecto de Inversión]],6,1)</f>
        <v>9</v>
      </c>
      <c r="U203" s="159" t="str">
        <f>IFERROR(VLOOKUP(N203,TD!$B$50:$F$54,2,0)," ")</f>
        <v>O230117</v>
      </c>
      <c r="V203" s="159" t="str">
        <f>IFERROR(VLOOKUP(N203,TD!$B$50:$F$54,3,0)," ")</f>
        <v>4599</v>
      </c>
      <c r="W203" s="159">
        <f>IFERROR(VLOOKUP(N203,TD!$B$50:$F$54,4,0)," ")</f>
        <v>20240207</v>
      </c>
      <c r="X203" s="158" t="s">
        <v>174</v>
      </c>
      <c r="Y203" s="159" t="str">
        <f>IFERROR(VLOOKUP(X203,TD!$J$51:$K$64,2,0)," ")</f>
        <v>Infraestructura física, mantenimiento y dotación (Sedes construidas, mantenidas reforzadas)</v>
      </c>
      <c r="Z203" s="160" t="str">
        <f>CONCATENATE(X203,"-",Y203)</f>
        <v>08-Infraestructura física, mantenimiento y dotación (Sedes construidas, mantenidas reforzadas)</v>
      </c>
      <c r="AA203" s="162" t="s">
        <v>227</v>
      </c>
      <c r="AB203" s="159" t="str">
        <f>IFERROR(VLOOKUP(AA203,TD!$N$51:$O$66,2,0)," ")</f>
        <v>Sedes mantenidas</v>
      </c>
      <c r="AC203" s="160" t="str">
        <f>CONCATENATE(AA203,"_",AB203)</f>
        <v>016_Sedes mantenidas</v>
      </c>
      <c r="AD203" s="160" t="str">
        <f>CONCATENATE(Z203," ",AC203)</f>
        <v>08-Infraestructura física, mantenimiento y dotación (Sedes construidas, mantenidas reforzadas) 016_Sedes mantenidas</v>
      </c>
      <c r="AE203" s="159" t="str">
        <f>CONCATENATE(U203,V203,W203,X203,AA203)</f>
        <v>O23011745992024020708016</v>
      </c>
      <c r="AF203" s="159" t="str">
        <f>IFERROR(VLOOKUP(AD203,TD!$J$66:$K$89,2,0)," ")</f>
        <v>PM/0131/0108/45990160207</v>
      </c>
      <c r="AG203" s="118" t="s">
        <v>385</v>
      </c>
      <c r="AH203" s="158" t="s">
        <v>193</v>
      </c>
      <c r="AI203" s="161" t="str">
        <f>CONCATENATE(PAA[[#This Row],[Id Interno]],"-",PAA[[#This Row],[tipo de Contrato (TH talento humano - B/S bienes y/o servicios)]],"-",S203,"-",T203,"-",PAA[[#This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204" spans="2:35" ht="70" x14ac:dyDescent="0.35">
      <c r="B204" s="23">
        <v>20260164</v>
      </c>
      <c r="C204" s="99" t="s">
        <v>478</v>
      </c>
      <c r="D204" s="23" t="s">
        <v>105</v>
      </c>
      <c r="E204" s="23" t="s">
        <v>363</v>
      </c>
      <c r="F204" s="155" t="s">
        <v>144</v>
      </c>
      <c r="G204" s="156" t="s">
        <v>373</v>
      </c>
      <c r="H204" s="157">
        <v>7</v>
      </c>
      <c r="I204" s="157">
        <v>0</v>
      </c>
      <c r="J204" s="127">
        <v>50400000</v>
      </c>
      <c r="K204" s="88" t="s">
        <v>398</v>
      </c>
      <c r="L204" s="155" t="s">
        <v>154</v>
      </c>
      <c r="M204" s="158" t="s">
        <v>460</v>
      </c>
      <c r="N204" s="23" t="s">
        <v>197</v>
      </c>
      <c r="O204" s="151" t="s">
        <v>957</v>
      </c>
      <c r="P204" s="155" t="s">
        <v>348</v>
      </c>
      <c r="Q204" s="53">
        <v>80111600</v>
      </c>
      <c r="R204" s="158" t="s">
        <v>208</v>
      </c>
      <c r="S204" s="158" t="str">
        <f>MID(PAA[[#This Row],[Meta Proyecto de Inversión]],1,4)</f>
        <v>8126</v>
      </c>
      <c r="T204" s="158" t="str">
        <f>MID(PAA[[#This Row],[Meta Proyecto de Inversión]],6,1)</f>
        <v>9</v>
      </c>
      <c r="U204" s="159" t="str">
        <f>IFERROR(VLOOKUP(N204,TD!$B$50:$F$54,2,0)," ")</f>
        <v>O230117</v>
      </c>
      <c r="V204" s="159" t="str">
        <f>IFERROR(VLOOKUP(N204,TD!$B$50:$F$54,3,0)," ")</f>
        <v>4599</v>
      </c>
      <c r="W204" s="159">
        <f>IFERROR(VLOOKUP(N204,TD!$B$50:$F$54,4,0)," ")</f>
        <v>20240207</v>
      </c>
      <c r="X204" s="158" t="s">
        <v>174</v>
      </c>
      <c r="Y204" s="159" t="str">
        <f>IFERROR(VLOOKUP(X204,TD!$J$51:$K$64,2,0)," ")</f>
        <v>Infraestructura física, mantenimiento y dotación (Sedes construidas, mantenidas reforzadas)</v>
      </c>
      <c r="Z204" s="160" t="str">
        <f>CONCATENATE(X204,"-",Y204)</f>
        <v>08-Infraestructura física, mantenimiento y dotación (Sedes construidas, mantenidas reforzadas)</v>
      </c>
      <c r="AA204" s="162" t="s">
        <v>227</v>
      </c>
      <c r="AB204" s="159" t="str">
        <f>IFERROR(VLOOKUP(AA204,TD!$N$51:$O$66,2,0)," ")</f>
        <v>Sedes mantenidas</v>
      </c>
      <c r="AC204" s="160" t="str">
        <f>CONCATENATE(AA204,"_",AB204)</f>
        <v>016_Sedes mantenidas</v>
      </c>
      <c r="AD204" s="160" t="str">
        <f>CONCATENATE(Z204," ",AC204)</f>
        <v>08-Infraestructura física, mantenimiento y dotación (Sedes construidas, mantenidas reforzadas) 016_Sedes mantenidas</v>
      </c>
      <c r="AE204" s="159" t="str">
        <f>CONCATENATE(U204,V204,W204,X204,AA204)</f>
        <v>O23011745992024020708016</v>
      </c>
      <c r="AF204" s="159" t="str">
        <f>IFERROR(VLOOKUP(AD204,TD!$J$66:$K$89,2,0)," ")</f>
        <v>PM/0131/0108/45990160207</v>
      </c>
      <c r="AG204" s="118" t="s">
        <v>385</v>
      </c>
      <c r="AH204" s="158" t="s">
        <v>193</v>
      </c>
      <c r="AI204" s="161" t="str">
        <f>CONCATENATE(PAA[[#This Row],[Id Interno]],"-",PAA[[#This Row],[tipo de Contrato (TH talento humano - B/S bienes y/o servicios)]],"-",S204,"-",T204,"-",PAA[[#This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205" spans="2:35" ht="56" x14ac:dyDescent="0.35">
      <c r="B205" s="23">
        <v>20260165</v>
      </c>
      <c r="C205" s="99" t="s">
        <v>643</v>
      </c>
      <c r="D205" s="23" t="s">
        <v>105</v>
      </c>
      <c r="E205" s="23" t="s">
        <v>363</v>
      </c>
      <c r="F205" s="155" t="s">
        <v>144</v>
      </c>
      <c r="G205" s="156" t="s">
        <v>373</v>
      </c>
      <c r="H205" s="157">
        <v>7</v>
      </c>
      <c r="I205" s="157">
        <v>0</v>
      </c>
      <c r="J205" s="127">
        <v>60900000</v>
      </c>
      <c r="K205" s="88" t="s">
        <v>398</v>
      </c>
      <c r="L205" s="155" t="s">
        <v>154</v>
      </c>
      <c r="M205" s="158" t="s">
        <v>460</v>
      </c>
      <c r="N205" s="23" t="s">
        <v>197</v>
      </c>
      <c r="O205" s="151" t="s">
        <v>957</v>
      </c>
      <c r="P205" s="155" t="s">
        <v>348</v>
      </c>
      <c r="Q205" s="53">
        <v>80111600</v>
      </c>
      <c r="R205" s="158" t="s">
        <v>208</v>
      </c>
      <c r="S205" s="158" t="str">
        <f>MID(PAA[[#This Row],[Meta Proyecto de Inversión]],1,4)</f>
        <v>8126</v>
      </c>
      <c r="T205" s="158" t="str">
        <f>MID(PAA[[#This Row],[Meta Proyecto de Inversión]],6,1)</f>
        <v>9</v>
      </c>
      <c r="U205" s="159" t="str">
        <f>IFERROR(VLOOKUP(N205,TD!$B$50:$F$54,2,0)," ")</f>
        <v>O230117</v>
      </c>
      <c r="V205" s="159" t="str">
        <f>IFERROR(VLOOKUP(N205,TD!$B$50:$F$54,3,0)," ")</f>
        <v>4599</v>
      </c>
      <c r="W205" s="159">
        <f>IFERROR(VLOOKUP(N205,TD!$B$50:$F$54,4,0)," ")</f>
        <v>20240207</v>
      </c>
      <c r="X205" s="158" t="s">
        <v>174</v>
      </c>
      <c r="Y205" s="159" t="str">
        <f>IFERROR(VLOOKUP(X205,TD!$J$51:$K$64,2,0)," ")</f>
        <v>Infraestructura física, mantenimiento y dotación (Sedes construidas, mantenidas reforzadas)</v>
      </c>
      <c r="Z205" s="160" t="str">
        <f>CONCATENATE(X205,"-",Y205)</f>
        <v>08-Infraestructura física, mantenimiento y dotación (Sedes construidas, mantenidas reforzadas)</v>
      </c>
      <c r="AA205" s="162" t="s">
        <v>227</v>
      </c>
      <c r="AB205" s="159" t="str">
        <f>IFERROR(VLOOKUP(AA205,TD!$N$51:$O$66,2,0)," ")</f>
        <v>Sedes mantenidas</v>
      </c>
      <c r="AC205" s="160" t="str">
        <f>CONCATENATE(AA205,"_",AB205)</f>
        <v>016_Sedes mantenidas</v>
      </c>
      <c r="AD205" s="160" t="str">
        <f>CONCATENATE(Z205," ",AC205)</f>
        <v>08-Infraestructura física, mantenimiento y dotación (Sedes construidas, mantenidas reforzadas) 016_Sedes mantenidas</v>
      </c>
      <c r="AE205" s="159" t="str">
        <f>CONCATENATE(U205,V205,W205,X205,AA205)</f>
        <v>O23011745992024020708016</v>
      </c>
      <c r="AF205" s="159" t="str">
        <f>IFERROR(VLOOKUP(AD205,TD!$J$66:$K$89,2,0)," ")</f>
        <v>PM/0131/0108/45990160207</v>
      </c>
      <c r="AG205" s="118" t="s">
        <v>385</v>
      </c>
      <c r="AH205" s="158" t="s">
        <v>193</v>
      </c>
      <c r="AI205" s="161" t="str">
        <f>CONCATENATE(PAA[[#This Row],[Id Interno]],"-",PAA[[#This Row],[tipo de Contrato (TH talento humano - B/S bienes y/o servicios)]],"-",S205,"-",T205,"-",PAA[[#This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206" spans="2:35" ht="42" x14ac:dyDescent="0.35">
      <c r="B206" s="23">
        <v>20260166</v>
      </c>
      <c r="C206" s="99" t="s">
        <v>479</v>
      </c>
      <c r="D206" s="23" t="s">
        <v>105</v>
      </c>
      <c r="E206" s="23" t="s">
        <v>363</v>
      </c>
      <c r="F206" s="155" t="s">
        <v>144</v>
      </c>
      <c r="G206" s="156" t="s">
        <v>373</v>
      </c>
      <c r="H206" s="157">
        <v>7</v>
      </c>
      <c r="I206" s="157">
        <v>0</v>
      </c>
      <c r="J206" s="127">
        <v>62300000</v>
      </c>
      <c r="K206" s="88" t="s">
        <v>398</v>
      </c>
      <c r="L206" s="155" t="s">
        <v>154</v>
      </c>
      <c r="M206" s="158" t="s">
        <v>460</v>
      </c>
      <c r="N206" s="23" t="s">
        <v>197</v>
      </c>
      <c r="O206" s="151" t="s">
        <v>957</v>
      </c>
      <c r="P206" s="155" t="s">
        <v>348</v>
      </c>
      <c r="Q206" s="53">
        <v>80111600</v>
      </c>
      <c r="R206" s="158" t="s">
        <v>208</v>
      </c>
      <c r="S206" s="158" t="str">
        <f>MID(PAA[[#This Row],[Meta Proyecto de Inversión]],1,4)</f>
        <v>8126</v>
      </c>
      <c r="T206" s="158" t="str">
        <f>MID(PAA[[#This Row],[Meta Proyecto de Inversión]],6,1)</f>
        <v>9</v>
      </c>
      <c r="U206" s="159" t="str">
        <f>IFERROR(VLOOKUP(N206,TD!$B$50:$F$54,2,0)," ")</f>
        <v>O230117</v>
      </c>
      <c r="V206" s="159" t="str">
        <f>IFERROR(VLOOKUP(N206,TD!$B$50:$F$54,3,0)," ")</f>
        <v>4599</v>
      </c>
      <c r="W206" s="159">
        <f>IFERROR(VLOOKUP(N206,TD!$B$50:$F$54,4,0)," ")</f>
        <v>20240207</v>
      </c>
      <c r="X206" s="158" t="s">
        <v>174</v>
      </c>
      <c r="Y206" s="159" t="str">
        <f>IFERROR(VLOOKUP(X206,TD!$J$51:$K$64,2,0)," ")</f>
        <v>Infraestructura física, mantenimiento y dotación (Sedes construidas, mantenidas reforzadas)</v>
      </c>
      <c r="Z206" s="160" t="str">
        <f>CONCATENATE(X206,"-",Y206)</f>
        <v>08-Infraestructura física, mantenimiento y dotación (Sedes construidas, mantenidas reforzadas)</v>
      </c>
      <c r="AA206" s="162" t="s">
        <v>227</v>
      </c>
      <c r="AB206" s="159" t="str">
        <f>IFERROR(VLOOKUP(AA206,TD!$N$51:$O$66,2,0)," ")</f>
        <v>Sedes mantenidas</v>
      </c>
      <c r="AC206" s="160" t="str">
        <f>CONCATENATE(AA206,"_",AB206)</f>
        <v>016_Sedes mantenidas</v>
      </c>
      <c r="AD206" s="160" t="str">
        <f>CONCATENATE(Z206," ",AC206)</f>
        <v>08-Infraestructura física, mantenimiento y dotación (Sedes construidas, mantenidas reforzadas) 016_Sedes mantenidas</v>
      </c>
      <c r="AE206" s="159" t="str">
        <f>CONCATENATE(U206,V206,W206,X206,AA206)</f>
        <v>O23011745992024020708016</v>
      </c>
      <c r="AF206" s="159" t="str">
        <f>IFERROR(VLOOKUP(AD206,TD!$J$66:$K$89,2,0)," ")</f>
        <v>PM/0131/0108/45990160207</v>
      </c>
      <c r="AG206" s="118" t="s">
        <v>385</v>
      </c>
      <c r="AH206" s="158" t="s">
        <v>193</v>
      </c>
      <c r="AI206" s="161" t="str">
        <f>CONCATENATE(PAA[[#This Row],[Id Interno]],"-",PAA[[#This Row],[tipo de Contrato (TH talento humano - B/S bienes y/o servicios)]],"-",S206,"-",T206,"-",PAA[[#This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207" spans="2:35" ht="56" x14ac:dyDescent="0.35">
      <c r="B207" s="23">
        <v>20260167</v>
      </c>
      <c r="C207" s="99" t="s">
        <v>644</v>
      </c>
      <c r="D207" s="23" t="s">
        <v>105</v>
      </c>
      <c r="E207" s="23" t="s">
        <v>363</v>
      </c>
      <c r="F207" s="155" t="s">
        <v>144</v>
      </c>
      <c r="G207" s="156" t="s">
        <v>373</v>
      </c>
      <c r="H207" s="157">
        <v>10</v>
      </c>
      <c r="I207" s="157">
        <v>0</v>
      </c>
      <c r="J207" s="127">
        <v>83000000</v>
      </c>
      <c r="K207" s="88" t="s">
        <v>398</v>
      </c>
      <c r="L207" s="155" t="s">
        <v>154</v>
      </c>
      <c r="M207" s="158" t="s">
        <v>460</v>
      </c>
      <c r="N207" s="23" t="s">
        <v>197</v>
      </c>
      <c r="O207" s="151" t="s">
        <v>957</v>
      </c>
      <c r="P207" s="155" t="s">
        <v>348</v>
      </c>
      <c r="Q207" s="53">
        <v>80111600</v>
      </c>
      <c r="R207" s="158" t="s">
        <v>208</v>
      </c>
      <c r="S207" s="158" t="str">
        <f>MID(PAA[[#This Row],[Meta Proyecto de Inversión]],1,4)</f>
        <v>8126</v>
      </c>
      <c r="T207" s="158" t="str">
        <f>MID(PAA[[#This Row],[Meta Proyecto de Inversión]],6,1)</f>
        <v>9</v>
      </c>
      <c r="U207" s="159" t="str">
        <f>IFERROR(VLOOKUP(N207,TD!$B$50:$F$54,2,0)," ")</f>
        <v>O230117</v>
      </c>
      <c r="V207" s="159" t="str">
        <f>IFERROR(VLOOKUP(N207,TD!$B$50:$F$54,3,0)," ")</f>
        <v>4599</v>
      </c>
      <c r="W207" s="159">
        <f>IFERROR(VLOOKUP(N207,TD!$B$50:$F$54,4,0)," ")</f>
        <v>20240207</v>
      </c>
      <c r="X207" s="158" t="s">
        <v>174</v>
      </c>
      <c r="Y207" s="159" t="str">
        <f>IFERROR(VLOOKUP(X207,TD!$J$51:$K$64,2,0)," ")</f>
        <v>Infraestructura física, mantenimiento y dotación (Sedes construidas, mantenidas reforzadas)</v>
      </c>
      <c r="Z207" s="160" t="str">
        <f>CONCATENATE(X207,"-",Y207)</f>
        <v>08-Infraestructura física, mantenimiento y dotación (Sedes construidas, mantenidas reforzadas)</v>
      </c>
      <c r="AA207" s="162" t="s">
        <v>227</v>
      </c>
      <c r="AB207" s="159" t="str">
        <f>IFERROR(VLOOKUP(AA207,TD!$N$51:$O$66,2,0)," ")</f>
        <v>Sedes mantenidas</v>
      </c>
      <c r="AC207" s="160" t="str">
        <f>CONCATENATE(AA207,"_",AB207)</f>
        <v>016_Sedes mantenidas</v>
      </c>
      <c r="AD207" s="160" t="str">
        <f>CONCATENATE(Z207," ",AC207)</f>
        <v>08-Infraestructura física, mantenimiento y dotación (Sedes construidas, mantenidas reforzadas) 016_Sedes mantenidas</v>
      </c>
      <c r="AE207" s="159" t="str">
        <f>CONCATENATE(U207,V207,W207,X207,AA207)</f>
        <v>O23011745992024020708016</v>
      </c>
      <c r="AF207" s="159" t="str">
        <f>IFERROR(VLOOKUP(AD207,TD!$J$66:$K$89,2,0)," ")</f>
        <v>PM/0131/0108/45990160207</v>
      </c>
      <c r="AG207" s="118" t="s">
        <v>385</v>
      </c>
      <c r="AH207" s="158" t="s">
        <v>193</v>
      </c>
      <c r="AI207" s="161" t="str">
        <f>CONCATENATE(PAA[[#This Row],[Id Interno]],"-",PAA[[#This Row],[tipo de Contrato (TH talento humano - B/S bienes y/o servicios)]],"-",S207,"-",T207,"-",PAA[[#This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208" spans="2:35" ht="84" x14ac:dyDescent="0.35">
      <c r="B208" s="23">
        <v>20260168</v>
      </c>
      <c r="C208" s="99" t="s">
        <v>480</v>
      </c>
      <c r="D208" s="23" t="s">
        <v>105</v>
      </c>
      <c r="E208" s="23" t="s">
        <v>363</v>
      </c>
      <c r="F208" s="155" t="s">
        <v>144</v>
      </c>
      <c r="G208" s="156" t="s">
        <v>373</v>
      </c>
      <c r="H208" s="157">
        <v>11</v>
      </c>
      <c r="I208" s="157">
        <v>0</v>
      </c>
      <c r="J208" s="127">
        <v>92400000</v>
      </c>
      <c r="K208" s="88" t="s">
        <v>398</v>
      </c>
      <c r="L208" s="155" t="s">
        <v>154</v>
      </c>
      <c r="M208" s="158" t="s">
        <v>460</v>
      </c>
      <c r="N208" s="23" t="s">
        <v>197</v>
      </c>
      <c r="O208" s="151" t="s">
        <v>957</v>
      </c>
      <c r="P208" s="155" t="s">
        <v>348</v>
      </c>
      <c r="Q208" s="53">
        <v>80111600</v>
      </c>
      <c r="R208" s="158" t="s">
        <v>208</v>
      </c>
      <c r="S208" s="158" t="str">
        <f>MID(PAA[[#This Row],[Meta Proyecto de Inversión]],1,4)</f>
        <v>8126</v>
      </c>
      <c r="T208" s="158" t="str">
        <f>MID(PAA[[#This Row],[Meta Proyecto de Inversión]],6,1)</f>
        <v>9</v>
      </c>
      <c r="U208" s="159" t="str">
        <f>IFERROR(VLOOKUP(N208,TD!$B$50:$F$54,2,0)," ")</f>
        <v>O230117</v>
      </c>
      <c r="V208" s="159" t="str">
        <f>IFERROR(VLOOKUP(N208,TD!$B$50:$F$54,3,0)," ")</f>
        <v>4599</v>
      </c>
      <c r="W208" s="159">
        <f>IFERROR(VLOOKUP(N208,TD!$B$50:$F$54,4,0)," ")</f>
        <v>20240207</v>
      </c>
      <c r="X208" s="158" t="s">
        <v>174</v>
      </c>
      <c r="Y208" s="159" t="str">
        <f>IFERROR(VLOOKUP(X208,TD!$J$51:$K$64,2,0)," ")</f>
        <v>Infraestructura física, mantenimiento y dotación (Sedes construidas, mantenidas reforzadas)</v>
      </c>
      <c r="Z208" s="160" t="str">
        <f>CONCATENATE(X208,"-",Y208)</f>
        <v>08-Infraestructura física, mantenimiento y dotación (Sedes construidas, mantenidas reforzadas)</v>
      </c>
      <c r="AA208" s="162" t="s">
        <v>227</v>
      </c>
      <c r="AB208" s="159" t="str">
        <f>IFERROR(VLOOKUP(AA208,TD!$N$51:$O$66,2,0)," ")</f>
        <v>Sedes mantenidas</v>
      </c>
      <c r="AC208" s="160" t="str">
        <f>CONCATENATE(AA208,"_",AB208)</f>
        <v>016_Sedes mantenidas</v>
      </c>
      <c r="AD208" s="160" t="str">
        <f>CONCATENATE(Z208," ",AC208)</f>
        <v>08-Infraestructura física, mantenimiento y dotación (Sedes construidas, mantenidas reforzadas) 016_Sedes mantenidas</v>
      </c>
      <c r="AE208" s="159" t="str">
        <f>CONCATENATE(U208,V208,W208,X208,AA208)</f>
        <v>O23011745992024020708016</v>
      </c>
      <c r="AF208" s="159" t="str">
        <f>IFERROR(VLOOKUP(AD208,TD!$J$66:$K$89,2,0)," ")</f>
        <v>PM/0131/0108/45990160207</v>
      </c>
      <c r="AG208" s="118" t="s">
        <v>385</v>
      </c>
      <c r="AH208" s="158" t="s">
        <v>193</v>
      </c>
      <c r="AI208" s="161" t="str">
        <f>CONCATENATE(PAA[[#This Row],[Id Interno]],"-",PAA[[#This Row],[tipo de Contrato (TH talento humano - B/S bienes y/o servicios)]],"-",S208,"-",T208,"-",PAA[[#This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209" spans="2:35" ht="84" x14ac:dyDescent="0.35">
      <c r="B209" s="23">
        <v>20260169</v>
      </c>
      <c r="C209" s="99" t="s">
        <v>481</v>
      </c>
      <c r="D209" s="23" t="s">
        <v>105</v>
      </c>
      <c r="E209" s="23" t="s">
        <v>363</v>
      </c>
      <c r="F209" s="155" t="s">
        <v>144</v>
      </c>
      <c r="G209" s="156" t="s">
        <v>373</v>
      </c>
      <c r="H209" s="157">
        <v>8</v>
      </c>
      <c r="I209" s="157">
        <v>0</v>
      </c>
      <c r="J209" s="127">
        <v>66400000</v>
      </c>
      <c r="K209" s="88" t="s">
        <v>398</v>
      </c>
      <c r="L209" s="155" t="s">
        <v>154</v>
      </c>
      <c r="M209" s="158" t="s">
        <v>460</v>
      </c>
      <c r="N209" s="23" t="s">
        <v>197</v>
      </c>
      <c r="O209" s="151" t="s">
        <v>957</v>
      </c>
      <c r="P209" s="155" t="s">
        <v>348</v>
      </c>
      <c r="Q209" s="53">
        <v>80111600</v>
      </c>
      <c r="R209" s="158" t="s">
        <v>208</v>
      </c>
      <c r="S209" s="158" t="str">
        <f>MID(PAA[[#This Row],[Meta Proyecto de Inversión]],1,4)</f>
        <v>8126</v>
      </c>
      <c r="T209" s="158" t="str">
        <f>MID(PAA[[#This Row],[Meta Proyecto de Inversión]],6,1)</f>
        <v>9</v>
      </c>
      <c r="U209" s="159" t="str">
        <f>IFERROR(VLOOKUP(N209,TD!$B$50:$F$54,2,0)," ")</f>
        <v>O230117</v>
      </c>
      <c r="V209" s="159" t="str">
        <f>IFERROR(VLOOKUP(N209,TD!$B$50:$F$54,3,0)," ")</f>
        <v>4599</v>
      </c>
      <c r="W209" s="159">
        <f>IFERROR(VLOOKUP(N209,TD!$B$50:$F$54,4,0)," ")</f>
        <v>20240207</v>
      </c>
      <c r="X209" s="158" t="s">
        <v>174</v>
      </c>
      <c r="Y209" s="159" t="str">
        <f>IFERROR(VLOOKUP(X209,TD!$J$51:$K$64,2,0)," ")</f>
        <v>Infraestructura física, mantenimiento y dotación (Sedes construidas, mantenidas reforzadas)</v>
      </c>
      <c r="Z209" s="160" t="str">
        <f>CONCATENATE(X209,"-",Y209)</f>
        <v>08-Infraestructura física, mantenimiento y dotación (Sedes construidas, mantenidas reforzadas)</v>
      </c>
      <c r="AA209" s="162" t="s">
        <v>227</v>
      </c>
      <c r="AB209" s="159" t="str">
        <f>IFERROR(VLOOKUP(AA209,TD!$N$51:$O$66,2,0)," ")</f>
        <v>Sedes mantenidas</v>
      </c>
      <c r="AC209" s="160" t="str">
        <f>CONCATENATE(AA209,"_",AB209)</f>
        <v>016_Sedes mantenidas</v>
      </c>
      <c r="AD209" s="160" t="str">
        <f>CONCATENATE(Z209," ",AC209)</f>
        <v>08-Infraestructura física, mantenimiento y dotación (Sedes construidas, mantenidas reforzadas) 016_Sedes mantenidas</v>
      </c>
      <c r="AE209" s="159" t="str">
        <f>CONCATENATE(U209,V209,W209,X209,AA209)</f>
        <v>O23011745992024020708016</v>
      </c>
      <c r="AF209" s="159" t="str">
        <f>IFERROR(VLOOKUP(AD209,TD!$J$66:$K$89,2,0)," ")</f>
        <v>PM/0131/0108/45990160207</v>
      </c>
      <c r="AG209" s="118" t="s">
        <v>385</v>
      </c>
      <c r="AH209" s="158" t="s">
        <v>193</v>
      </c>
      <c r="AI209" s="161" t="str">
        <f>CONCATENATE(PAA[[#This Row],[Id Interno]],"-",PAA[[#This Row],[tipo de Contrato (TH talento humano - B/S bienes y/o servicios)]],"-",S209,"-",T209,"-",PAA[[#This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210" spans="2:35" ht="56" x14ac:dyDescent="0.35">
      <c r="B210" s="23">
        <v>20260170</v>
      </c>
      <c r="C210" s="99" t="s">
        <v>482</v>
      </c>
      <c r="D210" s="23" t="s">
        <v>105</v>
      </c>
      <c r="E210" s="23" t="s">
        <v>363</v>
      </c>
      <c r="F210" s="155" t="s">
        <v>144</v>
      </c>
      <c r="G210" s="156" t="s">
        <v>373</v>
      </c>
      <c r="H210" s="157">
        <v>11</v>
      </c>
      <c r="I210" s="157">
        <v>0</v>
      </c>
      <c r="J210" s="127">
        <v>60500000</v>
      </c>
      <c r="K210" s="88" t="s">
        <v>398</v>
      </c>
      <c r="L210" s="155" t="s">
        <v>154</v>
      </c>
      <c r="M210" s="158" t="s">
        <v>460</v>
      </c>
      <c r="N210" s="23" t="s">
        <v>197</v>
      </c>
      <c r="O210" s="151" t="s">
        <v>957</v>
      </c>
      <c r="P210" s="155" t="s">
        <v>348</v>
      </c>
      <c r="Q210" s="53">
        <v>80111600</v>
      </c>
      <c r="R210" s="158" t="s">
        <v>208</v>
      </c>
      <c r="S210" s="158" t="str">
        <f>MID(PAA[[#This Row],[Meta Proyecto de Inversión]],1,4)</f>
        <v>8126</v>
      </c>
      <c r="T210" s="158" t="str">
        <f>MID(PAA[[#This Row],[Meta Proyecto de Inversión]],6,1)</f>
        <v>9</v>
      </c>
      <c r="U210" s="159" t="str">
        <f>IFERROR(VLOOKUP(N210,TD!$B$50:$F$54,2,0)," ")</f>
        <v>O230117</v>
      </c>
      <c r="V210" s="159" t="str">
        <f>IFERROR(VLOOKUP(N210,TD!$B$50:$F$54,3,0)," ")</f>
        <v>4599</v>
      </c>
      <c r="W210" s="159">
        <f>IFERROR(VLOOKUP(N210,TD!$B$50:$F$54,4,0)," ")</f>
        <v>20240207</v>
      </c>
      <c r="X210" s="158" t="s">
        <v>174</v>
      </c>
      <c r="Y210" s="159" t="str">
        <f>IFERROR(VLOOKUP(X210,TD!$J$51:$K$64,2,0)," ")</f>
        <v>Infraestructura física, mantenimiento y dotación (Sedes construidas, mantenidas reforzadas)</v>
      </c>
      <c r="Z210" s="160" t="str">
        <f>CONCATENATE(X210,"-",Y210)</f>
        <v>08-Infraestructura física, mantenimiento y dotación (Sedes construidas, mantenidas reforzadas)</v>
      </c>
      <c r="AA210" s="162" t="s">
        <v>227</v>
      </c>
      <c r="AB210" s="159" t="str">
        <f>IFERROR(VLOOKUP(AA210,TD!$N$51:$O$66,2,0)," ")</f>
        <v>Sedes mantenidas</v>
      </c>
      <c r="AC210" s="160" t="str">
        <f>CONCATENATE(AA210,"_",AB210)</f>
        <v>016_Sedes mantenidas</v>
      </c>
      <c r="AD210" s="160" t="str">
        <f>CONCATENATE(Z210," ",AC210)</f>
        <v>08-Infraestructura física, mantenimiento y dotación (Sedes construidas, mantenidas reforzadas) 016_Sedes mantenidas</v>
      </c>
      <c r="AE210" s="159" t="str">
        <f>CONCATENATE(U210,V210,W210,X210,AA210)</f>
        <v>O23011745992024020708016</v>
      </c>
      <c r="AF210" s="159" t="str">
        <f>IFERROR(VLOOKUP(AD210,TD!$J$66:$K$89,2,0)," ")</f>
        <v>PM/0131/0108/45990160207</v>
      </c>
      <c r="AG210" s="118" t="s">
        <v>385</v>
      </c>
      <c r="AH210" s="158" t="s">
        <v>193</v>
      </c>
      <c r="AI210" s="161" t="str">
        <f>CONCATENATE(PAA[[#This Row],[Id Interno]],"-",PAA[[#This Row],[tipo de Contrato (TH talento humano - B/S bienes y/o servicios)]],"-",S210,"-",T210,"-",PAA[[#This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211" spans="2:35" ht="56" x14ac:dyDescent="0.35">
      <c r="B211" s="23">
        <v>20260171</v>
      </c>
      <c r="C211" s="99" t="s">
        <v>645</v>
      </c>
      <c r="D211" s="23" t="s">
        <v>105</v>
      </c>
      <c r="E211" s="23" t="s">
        <v>363</v>
      </c>
      <c r="F211" s="155" t="s">
        <v>144</v>
      </c>
      <c r="G211" s="156" t="s">
        <v>373</v>
      </c>
      <c r="H211" s="157">
        <v>7</v>
      </c>
      <c r="I211" s="157">
        <v>0</v>
      </c>
      <c r="J211" s="127">
        <v>37800000</v>
      </c>
      <c r="K211" s="88" t="s">
        <v>398</v>
      </c>
      <c r="L211" s="155" t="s">
        <v>154</v>
      </c>
      <c r="M211" s="158" t="s">
        <v>460</v>
      </c>
      <c r="N211" s="23" t="s">
        <v>197</v>
      </c>
      <c r="O211" s="151" t="s">
        <v>957</v>
      </c>
      <c r="P211" s="155" t="s">
        <v>348</v>
      </c>
      <c r="Q211" s="53">
        <v>80111600</v>
      </c>
      <c r="R211" s="158" t="s">
        <v>208</v>
      </c>
      <c r="S211" s="158" t="str">
        <f>MID(PAA[[#This Row],[Meta Proyecto de Inversión]],1,4)</f>
        <v>8126</v>
      </c>
      <c r="T211" s="158" t="str">
        <f>MID(PAA[[#This Row],[Meta Proyecto de Inversión]],6,1)</f>
        <v>9</v>
      </c>
      <c r="U211" s="159" t="str">
        <f>IFERROR(VLOOKUP(N211,TD!$B$50:$F$54,2,0)," ")</f>
        <v>O230117</v>
      </c>
      <c r="V211" s="159" t="str">
        <f>IFERROR(VLOOKUP(N211,TD!$B$50:$F$54,3,0)," ")</f>
        <v>4599</v>
      </c>
      <c r="W211" s="159">
        <f>IFERROR(VLOOKUP(N211,TD!$B$50:$F$54,4,0)," ")</f>
        <v>20240207</v>
      </c>
      <c r="X211" s="158" t="s">
        <v>174</v>
      </c>
      <c r="Y211" s="159" t="str">
        <f>IFERROR(VLOOKUP(X211,TD!$J$51:$K$64,2,0)," ")</f>
        <v>Infraestructura física, mantenimiento y dotación (Sedes construidas, mantenidas reforzadas)</v>
      </c>
      <c r="Z211" s="160" t="str">
        <f>CONCATENATE(X211,"-",Y211)</f>
        <v>08-Infraestructura física, mantenimiento y dotación (Sedes construidas, mantenidas reforzadas)</v>
      </c>
      <c r="AA211" s="162" t="s">
        <v>227</v>
      </c>
      <c r="AB211" s="159" t="str">
        <f>IFERROR(VLOOKUP(AA211,TD!$N$51:$O$66,2,0)," ")</f>
        <v>Sedes mantenidas</v>
      </c>
      <c r="AC211" s="160" t="str">
        <f>CONCATENATE(AA211,"_",AB211)</f>
        <v>016_Sedes mantenidas</v>
      </c>
      <c r="AD211" s="160" t="str">
        <f>CONCATENATE(Z211," ",AC211)</f>
        <v>08-Infraestructura física, mantenimiento y dotación (Sedes construidas, mantenidas reforzadas) 016_Sedes mantenidas</v>
      </c>
      <c r="AE211" s="159" t="str">
        <f>CONCATENATE(U211,V211,W211,X211,AA211)</f>
        <v>O23011745992024020708016</v>
      </c>
      <c r="AF211" s="159" t="str">
        <f>IFERROR(VLOOKUP(AD211,TD!$J$66:$K$89,2,0)," ")</f>
        <v>PM/0131/0108/45990160207</v>
      </c>
      <c r="AG211" s="118" t="s">
        <v>385</v>
      </c>
      <c r="AH211" s="158" t="s">
        <v>193</v>
      </c>
      <c r="AI211" s="161" t="str">
        <f>CONCATENATE(PAA[[#This Row],[Id Interno]],"-",PAA[[#This Row],[tipo de Contrato (TH talento humano - B/S bienes y/o servicios)]],"-",S211,"-",T211,"-",PAA[[#This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212" spans="2:35" ht="70" x14ac:dyDescent="0.35">
      <c r="B212" s="23">
        <v>20260172</v>
      </c>
      <c r="C212" s="99" t="s">
        <v>483</v>
      </c>
      <c r="D212" s="23" t="s">
        <v>105</v>
      </c>
      <c r="E212" s="23" t="s">
        <v>363</v>
      </c>
      <c r="F212" s="155" t="s">
        <v>144</v>
      </c>
      <c r="G212" s="156" t="s">
        <v>373</v>
      </c>
      <c r="H212" s="157">
        <v>7</v>
      </c>
      <c r="I212" s="157">
        <v>0</v>
      </c>
      <c r="J212" s="127">
        <v>37800000</v>
      </c>
      <c r="K212" s="88" t="s">
        <v>398</v>
      </c>
      <c r="L212" s="155" t="s">
        <v>154</v>
      </c>
      <c r="M212" s="158" t="s">
        <v>460</v>
      </c>
      <c r="N212" s="23" t="s">
        <v>197</v>
      </c>
      <c r="O212" s="151" t="s">
        <v>957</v>
      </c>
      <c r="P212" s="155" t="s">
        <v>348</v>
      </c>
      <c r="Q212" s="53">
        <v>80111600</v>
      </c>
      <c r="R212" s="158" t="s">
        <v>208</v>
      </c>
      <c r="S212" s="158" t="str">
        <f>MID(PAA[[#This Row],[Meta Proyecto de Inversión]],1,4)</f>
        <v>8126</v>
      </c>
      <c r="T212" s="158" t="str">
        <f>MID(PAA[[#This Row],[Meta Proyecto de Inversión]],6,1)</f>
        <v>9</v>
      </c>
      <c r="U212" s="159" t="str">
        <f>IFERROR(VLOOKUP(N212,TD!$B$50:$F$54,2,0)," ")</f>
        <v>O230117</v>
      </c>
      <c r="V212" s="159" t="str">
        <f>IFERROR(VLOOKUP(N212,TD!$B$50:$F$54,3,0)," ")</f>
        <v>4599</v>
      </c>
      <c r="W212" s="159">
        <f>IFERROR(VLOOKUP(N212,TD!$B$50:$F$54,4,0)," ")</f>
        <v>20240207</v>
      </c>
      <c r="X212" s="158" t="s">
        <v>174</v>
      </c>
      <c r="Y212" s="159" t="str">
        <f>IFERROR(VLOOKUP(X212,TD!$J$51:$K$64,2,0)," ")</f>
        <v>Infraestructura física, mantenimiento y dotación (Sedes construidas, mantenidas reforzadas)</v>
      </c>
      <c r="Z212" s="160" t="str">
        <f>CONCATENATE(X212,"-",Y212)</f>
        <v>08-Infraestructura física, mantenimiento y dotación (Sedes construidas, mantenidas reforzadas)</v>
      </c>
      <c r="AA212" s="162" t="s">
        <v>227</v>
      </c>
      <c r="AB212" s="159" t="str">
        <f>IFERROR(VLOOKUP(AA212,TD!$N$51:$O$66,2,0)," ")</f>
        <v>Sedes mantenidas</v>
      </c>
      <c r="AC212" s="160" t="str">
        <f>CONCATENATE(AA212,"_",AB212)</f>
        <v>016_Sedes mantenidas</v>
      </c>
      <c r="AD212" s="160" t="str">
        <f>CONCATENATE(Z212," ",AC212)</f>
        <v>08-Infraestructura física, mantenimiento y dotación (Sedes construidas, mantenidas reforzadas) 016_Sedes mantenidas</v>
      </c>
      <c r="AE212" s="159" t="str">
        <f>CONCATENATE(U212,V212,W212,X212,AA212)</f>
        <v>O23011745992024020708016</v>
      </c>
      <c r="AF212" s="159" t="str">
        <f>IFERROR(VLOOKUP(AD212,TD!$J$66:$K$89,2,0)," ")</f>
        <v>PM/0131/0108/45990160207</v>
      </c>
      <c r="AG212" s="118" t="s">
        <v>385</v>
      </c>
      <c r="AH212" s="158" t="s">
        <v>193</v>
      </c>
      <c r="AI212" s="161" t="str">
        <f>CONCATENATE(PAA[[#This Row],[Id Interno]],"-",PAA[[#This Row],[tipo de Contrato (TH talento humano - B/S bienes y/o servicios)]],"-",S212,"-",T212,"-",PAA[[#This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213" spans="2:35" ht="56" x14ac:dyDescent="0.35">
      <c r="B213" s="23">
        <v>20260173</v>
      </c>
      <c r="C213" s="99" t="s">
        <v>646</v>
      </c>
      <c r="D213" s="23" t="s">
        <v>105</v>
      </c>
      <c r="E213" s="23" t="s">
        <v>363</v>
      </c>
      <c r="F213" s="155" t="s">
        <v>144</v>
      </c>
      <c r="G213" s="156" t="s">
        <v>373</v>
      </c>
      <c r="H213" s="157">
        <v>10</v>
      </c>
      <c r="I213" s="157">
        <v>0</v>
      </c>
      <c r="J213" s="127">
        <v>82000000</v>
      </c>
      <c r="K213" s="88" t="s">
        <v>398</v>
      </c>
      <c r="L213" s="155" t="s">
        <v>154</v>
      </c>
      <c r="M213" s="158" t="s">
        <v>460</v>
      </c>
      <c r="N213" s="23" t="s">
        <v>198</v>
      </c>
      <c r="O213" s="151" t="s">
        <v>958</v>
      </c>
      <c r="P213" s="155" t="s">
        <v>348</v>
      </c>
      <c r="Q213" s="53">
        <v>80111600</v>
      </c>
      <c r="R213" s="158" t="s">
        <v>218</v>
      </c>
      <c r="S213" s="158" t="str">
        <f>MID(PAA[[#This Row],[Meta Proyecto de Inversión]],1,4)</f>
        <v>8173</v>
      </c>
      <c r="T213" s="158" t="str">
        <f>MID(PAA[[#This Row],[Meta Proyecto de Inversión]],6,1)</f>
        <v>9</v>
      </c>
      <c r="U213" s="159" t="str">
        <f>IFERROR(VLOOKUP(N213,TD!$B$50:$F$54,2,0)," ")</f>
        <v>O230117</v>
      </c>
      <c r="V213" s="159" t="str">
        <f>IFERROR(VLOOKUP(N213,TD!$B$50:$F$54,3,0)," ")</f>
        <v>4503</v>
      </c>
      <c r="W213" s="159">
        <f>IFERROR(VLOOKUP(N213,TD!$B$50:$F$54,4,0)," ")</f>
        <v>20240255</v>
      </c>
      <c r="X213" s="158" t="s">
        <v>172</v>
      </c>
      <c r="Y213" s="159" t="str">
        <f>IFERROR(VLOOKUP(X213,TD!$J$51:$K$64,2,0)," ")</f>
        <v>Servicio de formación en gestión del riesgo de incendios para el personal UAECOB</v>
      </c>
      <c r="Z213" s="160" t="str">
        <f>CONCATENATE(X213,"-",Y213)</f>
        <v>07-Servicio de formación en gestión del riesgo de incendios para el personal UAECOB</v>
      </c>
      <c r="AA213" s="162" t="s">
        <v>222</v>
      </c>
      <c r="AB213" s="159" t="str">
        <f>IFERROR(VLOOKUP(AA213,TD!$N$51:$O$66,2,0)," ")</f>
        <v>Servicio de educación informal</v>
      </c>
      <c r="AC213" s="160" t="str">
        <f>CONCATENATE(AA213,"_",AB213)</f>
        <v>002_Servicio de educación informal</v>
      </c>
      <c r="AD213" s="160" t="str">
        <f>CONCATENATE(Z213," ",AC213)</f>
        <v>07-Servicio de formación en gestión del riesgo de incendios para el personal UAECOB 002_Servicio de educación informal</v>
      </c>
      <c r="AE213" s="159" t="str">
        <f>CONCATENATE(U213,V213,W213,X213,AA213)</f>
        <v>O23011745032024025507002</v>
      </c>
      <c r="AF213" s="159" t="str">
        <f>IFERROR(VLOOKUP(AD213,TD!$J$66:$K$89,2,0)," ")</f>
        <v>PM/0131/0107/45030020255</v>
      </c>
      <c r="AG213" s="118" t="s">
        <v>385</v>
      </c>
      <c r="AH213" s="158" t="s">
        <v>193</v>
      </c>
      <c r="AI213" s="161" t="str">
        <f>CONCATENATE(PAA[[#This Row],[Id Interno]],"-",PAA[[#This Row],[tipo de Contrato (TH talento humano - B/S bienes y/o servicios)]],"-",S213,"-",T213,"-",PAA[[#This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214" spans="2:35" ht="70" x14ac:dyDescent="0.35">
      <c r="B214" s="23">
        <v>20260174</v>
      </c>
      <c r="C214" s="99" t="s">
        <v>647</v>
      </c>
      <c r="D214" s="23" t="s">
        <v>105</v>
      </c>
      <c r="E214" s="23" t="s">
        <v>363</v>
      </c>
      <c r="F214" s="155" t="s">
        <v>144</v>
      </c>
      <c r="G214" s="156" t="s">
        <v>373</v>
      </c>
      <c r="H214" s="157">
        <v>11</v>
      </c>
      <c r="I214" s="157">
        <v>0</v>
      </c>
      <c r="J214" s="127">
        <v>57200000</v>
      </c>
      <c r="K214" s="88" t="s">
        <v>398</v>
      </c>
      <c r="L214" s="155" t="s">
        <v>154</v>
      </c>
      <c r="M214" s="158" t="s">
        <v>460</v>
      </c>
      <c r="N214" s="23" t="s">
        <v>198</v>
      </c>
      <c r="O214" s="151" t="s">
        <v>958</v>
      </c>
      <c r="P214" s="155" t="s">
        <v>348</v>
      </c>
      <c r="Q214" s="53">
        <v>80111600</v>
      </c>
      <c r="R214" s="158" t="s">
        <v>218</v>
      </c>
      <c r="S214" s="158" t="str">
        <f>MID(PAA[[#This Row],[Meta Proyecto de Inversión]],1,4)</f>
        <v>8173</v>
      </c>
      <c r="T214" s="158" t="str">
        <f>MID(PAA[[#This Row],[Meta Proyecto de Inversión]],6,1)</f>
        <v>9</v>
      </c>
      <c r="U214" s="159" t="str">
        <f>IFERROR(VLOOKUP(N214,TD!$B$50:$F$54,2,0)," ")</f>
        <v>O230117</v>
      </c>
      <c r="V214" s="159" t="str">
        <f>IFERROR(VLOOKUP(N214,TD!$B$50:$F$54,3,0)," ")</f>
        <v>4503</v>
      </c>
      <c r="W214" s="159">
        <f>IFERROR(VLOOKUP(N214,TD!$B$50:$F$54,4,0)," ")</f>
        <v>20240255</v>
      </c>
      <c r="X214" s="158" t="s">
        <v>172</v>
      </c>
      <c r="Y214" s="159" t="str">
        <f>IFERROR(VLOOKUP(X214,TD!$J$51:$K$64,2,0)," ")</f>
        <v>Servicio de formación en gestión del riesgo de incendios para el personal UAECOB</v>
      </c>
      <c r="Z214" s="160" t="str">
        <f>CONCATENATE(X214,"-",Y214)</f>
        <v>07-Servicio de formación en gestión del riesgo de incendios para el personal UAECOB</v>
      </c>
      <c r="AA214" s="162" t="s">
        <v>222</v>
      </c>
      <c r="AB214" s="159" t="str">
        <f>IFERROR(VLOOKUP(AA214,TD!$N$51:$O$66,2,0)," ")</f>
        <v>Servicio de educación informal</v>
      </c>
      <c r="AC214" s="160" t="str">
        <f>CONCATENATE(AA214,"_",AB214)</f>
        <v>002_Servicio de educación informal</v>
      </c>
      <c r="AD214" s="160" t="str">
        <f>CONCATENATE(Z214," ",AC214)</f>
        <v>07-Servicio de formación en gestión del riesgo de incendios para el personal UAECOB 002_Servicio de educación informal</v>
      </c>
      <c r="AE214" s="159" t="str">
        <f>CONCATENATE(U214,V214,W214,X214,AA214)</f>
        <v>O23011745032024025507002</v>
      </c>
      <c r="AF214" s="159" t="str">
        <f>IFERROR(VLOOKUP(AD214,TD!$J$66:$K$89,2,0)," ")</f>
        <v>PM/0131/0107/45030020255</v>
      </c>
      <c r="AG214" s="118" t="s">
        <v>385</v>
      </c>
      <c r="AH214" s="158" t="s">
        <v>193</v>
      </c>
      <c r="AI214" s="161" t="str">
        <f>CONCATENATE(PAA[[#This Row],[Id Interno]],"-",PAA[[#This Row],[tipo de Contrato (TH talento humano - B/S bienes y/o servicios)]],"-",S214,"-",T214,"-",PAA[[#This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215" spans="2:35" ht="56" x14ac:dyDescent="0.35">
      <c r="B215" s="23">
        <v>20260175</v>
      </c>
      <c r="C215" s="99" t="s">
        <v>648</v>
      </c>
      <c r="D215" s="23" t="s">
        <v>105</v>
      </c>
      <c r="E215" s="23" t="s">
        <v>363</v>
      </c>
      <c r="F215" s="155" t="s">
        <v>144</v>
      </c>
      <c r="G215" s="156" t="s">
        <v>373</v>
      </c>
      <c r="H215" s="157">
        <v>10</v>
      </c>
      <c r="I215" s="157">
        <v>0</v>
      </c>
      <c r="J215" s="127">
        <v>72000000</v>
      </c>
      <c r="K215" s="88" t="s">
        <v>398</v>
      </c>
      <c r="L215" s="155" t="s">
        <v>154</v>
      </c>
      <c r="M215" s="158" t="s">
        <v>460</v>
      </c>
      <c r="N215" s="23" t="s">
        <v>198</v>
      </c>
      <c r="O215" s="151" t="s">
        <v>958</v>
      </c>
      <c r="P215" s="155" t="s">
        <v>348</v>
      </c>
      <c r="Q215" s="53">
        <v>80111600</v>
      </c>
      <c r="R215" s="158" t="s">
        <v>218</v>
      </c>
      <c r="S215" s="158" t="str">
        <f>MID(PAA[[#This Row],[Meta Proyecto de Inversión]],1,4)</f>
        <v>8173</v>
      </c>
      <c r="T215" s="158" t="str">
        <f>MID(PAA[[#This Row],[Meta Proyecto de Inversión]],6,1)</f>
        <v>9</v>
      </c>
      <c r="U215" s="159" t="str">
        <f>IFERROR(VLOOKUP(N215,TD!$B$50:$F$54,2,0)," ")</f>
        <v>O230117</v>
      </c>
      <c r="V215" s="159" t="str">
        <f>IFERROR(VLOOKUP(N215,TD!$B$50:$F$54,3,0)," ")</f>
        <v>4503</v>
      </c>
      <c r="W215" s="159">
        <f>IFERROR(VLOOKUP(N215,TD!$B$50:$F$54,4,0)," ")</f>
        <v>20240255</v>
      </c>
      <c r="X215" s="158" t="s">
        <v>172</v>
      </c>
      <c r="Y215" s="159" t="str">
        <f>IFERROR(VLOOKUP(X215,TD!$J$51:$K$64,2,0)," ")</f>
        <v>Servicio de formación en gestión del riesgo de incendios para el personal UAECOB</v>
      </c>
      <c r="Z215" s="160" t="str">
        <f>CONCATENATE(X215,"-",Y215)</f>
        <v>07-Servicio de formación en gestión del riesgo de incendios para el personal UAECOB</v>
      </c>
      <c r="AA215" s="162" t="s">
        <v>222</v>
      </c>
      <c r="AB215" s="159" t="str">
        <f>IFERROR(VLOOKUP(AA215,TD!$N$51:$O$66,2,0)," ")</f>
        <v>Servicio de educación informal</v>
      </c>
      <c r="AC215" s="160" t="str">
        <f>CONCATENATE(AA215,"_",AB215)</f>
        <v>002_Servicio de educación informal</v>
      </c>
      <c r="AD215" s="160" t="str">
        <f>CONCATENATE(Z215," ",AC215)</f>
        <v>07-Servicio de formación en gestión del riesgo de incendios para el personal UAECOB 002_Servicio de educación informal</v>
      </c>
      <c r="AE215" s="159" t="str">
        <f>CONCATENATE(U215,V215,W215,X215,AA215)</f>
        <v>O23011745032024025507002</v>
      </c>
      <c r="AF215" s="159" t="str">
        <f>IFERROR(VLOOKUP(AD215,TD!$J$66:$K$89,2,0)," ")</f>
        <v>PM/0131/0107/45030020255</v>
      </c>
      <c r="AG215" s="118" t="s">
        <v>385</v>
      </c>
      <c r="AH215" s="158" t="s">
        <v>193</v>
      </c>
      <c r="AI215" s="161" t="str">
        <f>CONCATENATE(PAA[[#This Row],[Id Interno]],"-",PAA[[#This Row],[tipo de Contrato (TH talento humano - B/S bienes y/o servicios)]],"-",S215,"-",T215,"-",PAA[[#This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216" spans="2:35" ht="70" x14ac:dyDescent="0.35">
      <c r="B216" s="23">
        <v>20260176</v>
      </c>
      <c r="C216" s="99" t="s">
        <v>649</v>
      </c>
      <c r="D216" s="23" t="s">
        <v>105</v>
      </c>
      <c r="E216" s="23" t="s">
        <v>363</v>
      </c>
      <c r="F216" s="155" t="s">
        <v>145</v>
      </c>
      <c r="G216" s="156" t="s">
        <v>373</v>
      </c>
      <c r="H216" s="157">
        <v>11</v>
      </c>
      <c r="I216" s="157">
        <v>0</v>
      </c>
      <c r="J216" s="127">
        <v>40700000</v>
      </c>
      <c r="K216" s="88" t="s">
        <v>398</v>
      </c>
      <c r="L216" s="155" t="s">
        <v>154</v>
      </c>
      <c r="M216" s="158" t="s">
        <v>460</v>
      </c>
      <c r="N216" s="23" t="s">
        <v>198</v>
      </c>
      <c r="O216" s="151" t="s">
        <v>958</v>
      </c>
      <c r="P216" s="155" t="s">
        <v>348</v>
      </c>
      <c r="Q216" s="53">
        <v>80111600</v>
      </c>
      <c r="R216" s="158" t="s">
        <v>218</v>
      </c>
      <c r="S216" s="158" t="str">
        <f>MID(PAA[[#This Row],[Meta Proyecto de Inversión]],1,4)</f>
        <v>8173</v>
      </c>
      <c r="T216" s="158" t="str">
        <f>MID(PAA[[#This Row],[Meta Proyecto de Inversión]],6,1)</f>
        <v>9</v>
      </c>
      <c r="U216" s="159" t="str">
        <f>IFERROR(VLOOKUP(N216,TD!$B$50:$F$54,2,0)," ")</f>
        <v>O230117</v>
      </c>
      <c r="V216" s="159" t="str">
        <f>IFERROR(VLOOKUP(N216,TD!$B$50:$F$54,3,0)," ")</f>
        <v>4503</v>
      </c>
      <c r="W216" s="159">
        <f>IFERROR(VLOOKUP(N216,TD!$B$50:$F$54,4,0)," ")</f>
        <v>20240255</v>
      </c>
      <c r="X216" s="158" t="s">
        <v>172</v>
      </c>
      <c r="Y216" s="159" t="str">
        <f>IFERROR(VLOOKUP(X216,TD!$J$51:$K$64,2,0)," ")</f>
        <v>Servicio de formación en gestión del riesgo de incendios para el personal UAECOB</v>
      </c>
      <c r="Z216" s="160" t="str">
        <f>CONCATENATE(X216,"-",Y216)</f>
        <v>07-Servicio de formación en gestión del riesgo de incendios para el personal UAECOB</v>
      </c>
      <c r="AA216" s="162" t="s">
        <v>222</v>
      </c>
      <c r="AB216" s="159" t="str">
        <f>IFERROR(VLOOKUP(AA216,TD!$N$51:$O$66,2,0)," ")</f>
        <v>Servicio de educación informal</v>
      </c>
      <c r="AC216" s="160" t="str">
        <f>CONCATENATE(AA216,"_",AB216)</f>
        <v>002_Servicio de educación informal</v>
      </c>
      <c r="AD216" s="160" t="str">
        <f>CONCATENATE(Z216," ",AC216)</f>
        <v>07-Servicio de formación en gestión del riesgo de incendios para el personal UAECOB 002_Servicio de educación informal</v>
      </c>
      <c r="AE216" s="159" t="str">
        <f>CONCATENATE(U216,V216,W216,X216,AA216)</f>
        <v>O23011745032024025507002</v>
      </c>
      <c r="AF216" s="159" t="str">
        <f>IFERROR(VLOOKUP(AD216,TD!$J$66:$K$89,2,0)," ")</f>
        <v>PM/0131/0107/45030020255</v>
      </c>
      <c r="AG216" s="118" t="s">
        <v>385</v>
      </c>
      <c r="AH216" s="158" t="s">
        <v>193</v>
      </c>
      <c r="AI216" s="161" t="str">
        <f>CONCATENATE(PAA[[#This Row],[Id Interno]],"-",PAA[[#This Row],[tipo de Contrato (TH talento humano - B/S bienes y/o servicios)]],"-",S216,"-",T216,"-",PAA[[#This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217" spans="2:35" ht="56.15" customHeight="1" x14ac:dyDescent="0.35">
      <c r="B217" s="23">
        <v>20260177</v>
      </c>
      <c r="C217" s="99" t="s">
        <v>650</v>
      </c>
      <c r="D217" s="23" t="s">
        <v>105</v>
      </c>
      <c r="E217" s="23" t="s">
        <v>363</v>
      </c>
      <c r="F217" s="155" t="s">
        <v>144</v>
      </c>
      <c r="G217" s="156" t="s">
        <v>373</v>
      </c>
      <c r="H217" s="157">
        <v>11</v>
      </c>
      <c r="I217" s="157">
        <v>0</v>
      </c>
      <c r="J217" s="127">
        <v>81400000</v>
      </c>
      <c r="K217" s="88" t="s">
        <v>398</v>
      </c>
      <c r="L217" s="155" t="s">
        <v>154</v>
      </c>
      <c r="M217" s="158" t="s">
        <v>460</v>
      </c>
      <c r="N217" s="23" t="s">
        <v>198</v>
      </c>
      <c r="O217" s="151" t="s">
        <v>958</v>
      </c>
      <c r="P217" s="155" t="s">
        <v>348</v>
      </c>
      <c r="Q217" s="53">
        <v>80111600</v>
      </c>
      <c r="R217" s="158" t="s">
        <v>218</v>
      </c>
      <c r="S217" s="158" t="str">
        <f>MID(PAA[[#This Row],[Meta Proyecto de Inversión]],1,4)</f>
        <v>8173</v>
      </c>
      <c r="T217" s="158" t="str">
        <f>MID(PAA[[#This Row],[Meta Proyecto de Inversión]],6,1)</f>
        <v>9</v>
      </c>
      <c r="U217" s="159" t="str">
        <f>IFERROR(VLOOKUP(N217,TD!$B$50:$F$54,2,0)," ")</f>
        <v>O230117</v>
      </c>
      <c r="V217" s="159" t="str">
        <f>IFERROR(VLOOKUP(N217,TD!$B$50:$F$54,3,0)," ")</f>
        <v>4503</v>
      </c>
      <c r="W217" s="159">
        <f>IFERROR(VLOOKUP(N217,TD!$B$50:$F$54,4,0)," ")</f>
        <v>20240255</v>
      </c>
      <c r="X217" s="158" t="s">
        <v>172</v>
      </c>
      <c r="Y217" s="159" t="str">
        <f>IFERROR(VLOOKUP(X217,TD!$J$51:$K$64,2,0)," ")</f>
        <v>Servicio de formación en gestión del riesgo de incendios para el personal UAECOB</v>
      </c>
      <c r="Z217" s="160" t="str">
        <f>CONCATENATE(X217,"-",Y217)</f>
        <v>07-Servicio de formación en gestión del riesgo de incendios para el personal UAECOB</v>
      </c>
      <c r="AA217" s="162" t="s">
        <v>222</v>
      </c>
      <c r="AB217" s="159" t="str">
        <f>IFERROR(VLOOKUP(AA217,TD!$N$51:$O$66,2,0)," ")</f>
        <v>Servicio de educación informal</v>
      </c>
      <c r="AC217" s="160" t="str">
        <f>CONCATENATE(AA217,"_",AB217)</f>
        <v>002_Servicio de educación informal</v>
      </c>
      <c r="AD217" s="160" t="str">
        <f>CONCATENATE(Z217," ",AC217)</f>
        <v>07-Servicio de formación en gestión del riesgo de incendios para el personal UAECOB 002_Servicio de educación informal</v>
      </c>
      <c r="AE217" s="159" t="str">
        <f>CONCATENATE(U217,V217,W217,X217,AA217)</f>
        <v>O23011745032024025507002</v>
      </c>
      <c r="AF217" s="159" t="str">
        <f>IFERROR(VLOOKUP(AD217,TD!$J$66:$K$89,2,0)," ")</f>
        <v>PM/0131/0107/45030020255</v>
      </c>
      <c r="AG217" s="118" t="s">
        <v>385</v>
      </c>
      <c r="AH217" s="158" t="s">
        <v>193</v>
      </c>
      <c r="AI217" s="161" t="str">
        <f>CONCATENATE(PAA[[#This Row],[Id Interno]],"-",PAA[[#This Row],[tipo de Contrato (TH talento humano - B/S bienes y/o servicios)]],"-",S217,"-",T217,"-",PAA[[#This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218" spans="2:35" ht="56" customHeight="1" x14ac:dyDescent="0.35">
      <c r="B218" s="23">
        <v>20260178</v>
      </c>
      <c r="C218" s="99" t="s">
        <v>651</v>
      </c>
      <c r="D218" s="23" t="s">
        <v>105</v>
      </c>
      <c r="E218" s="23" t="s">
        <v>363</v>
      </c>
      <c r="F218" s="155" t="s">
        <v>144</v>
      </c>
      <c r="G218" s="156" t="s">
        <v>373</v>
      </c>
      <c r="H218" s="157">
        <v>11</v>
      </c>
      <c r="I218" s="157">
        <v>0</v>
      </c>
      <c r="J218" s="127">
        <v>84700000</v>
      </c>
      <c r="K218" s="88" t="s">
        <v>398</v>
      </c>
      <c r="L218" s="155" t="s">
        <v>154</v>
      </c>
      <c r="M218" s="158" t="s">
        <v>460</v>
      </c>
      <c r="N218" s="23" t="s">
        <v>198</v>
      </c>
      <c r="O218" s="151" t="s">
        <v>958</v>
      </c>
      <c r="P218" s="155" t="s">
        <v>348</v>
      </c>
      <c r="Q218" s="53">
        <v>80111600</v>
      </c>
      <c r="R218" s="158" t="s">
        <v>218</v>
      </c>
      <c r="S218" s="158" t="str">
        <f>MID(PAA[[#This Row],[Meta Proyecto de Inversión]],1,4)</f>
        <v>8173</v>
      </c>
      <c r="T218" s="158" t="str">
        <f>MID(PAA[[#This Row],[Meta Proyecto de Inversión]],6,1)</f>
        <v>9</v>
      </c>
      <c r="U218" s="159" t="str">
        <f>IFERROR(VLOOKUP(N218,TD!$B$50:$F$54,2,0)," ")</f>
        <v>O230117</v>
      </c>
      <c r="V218" s="159" t="str">
        <f>IFERROR(VLOOKUP(N218,TD!$B$50:$F$54,3,0)," ")</f>
        <v>4503</v>
      </c>
      <c r="W218" s="159">
        <f>IFERROR(VLOOKUP(N218,TD!$B$50:$F$54,4,0)," ")</f>
        <v>20240255</v>
      </c>
      <c r="X218" s="158" t="s">
        <v>172</v>
      </c>
      <c r="Y218" s="159" t="str">
        <f>IFERROR(VLOOKUP(X218,TD!$J$51:$K$64,2,0)," ")</f>
        <v>Servicio de formación en gestión del riesgo de incendios para el personal UAECOB</v>
      </c>
      <c r="Z218" s="160" t="str">
        <f>CONCATENATE(X218,"-",Y218)</f>
        <v>07-Servicio de formación en gestión del riesgo de incendios para el personal UAECOB</v>
      </c>
      <c r="AA218" s="162" t="s">
        <v>222</v>
      </c>
      <c r="AB218" s="159" t="str">
        <f>IFERROR(VLOOKUP(AA218,TD!$N$51:$O$66,2,0)," ")</f>
        <v>Servicio de educación informal</v>
      </c>
      <c r="AC218" s="160" t="str">
        <f>CONCATENATE(AA218,"_",AB218)</f>
        <v>002_Servicio de educación informal</v>
      </c>
      <c r="AD218" s="160" t="str">
        <f>CONCATENATE(Z218," ",AC218)</f>
        <v>07-Servicio de formación en gestión del riesgo de incendios para el personal UAECOB 002_Servicio de educación informal</v>
      </c>
      <c r="AE218" s="159" t="str">
        <f>CONCATENATE(U218,V218,W218,X218,AA218)</f>
        <v>O23011745032024025507002</v>
      </c>
      <c r="AF218" s="159" t="str">
        <f>IFERROR(VLOOKUP(AD218,TD!$J$66:$K$89,2,0)," ")</f>
        <v>PM/0131/0107/45030020255</v>
      </c>
      <c r="AG218" s="118" t="s">
        <v>385</v>
      </c>
      <c r="AH218" s="158" t="s">
        <v>193</v>
      </c>
      <c r="AI218" s="161" t="str">
        <f>CONCATENATE(PAA[[#This Row],[Id Interno]],"-",PAA[[#This Row],[tipo de Contrato (TH talento humano - B/S bienes y/o servicios)]],"-",S218,"-",T218,"-",PAA[[#This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219" spans="2:35" ht="56" customHeight="1" x14ac:dyDescent="0.35">
      <c r="B219" s="23">
        <v>20260179</v>
      </c>
      <c r="C219" s="99" t="s">
        <v>652</v>
      </c>
      <c r="D219" s="23" t="s">
        <v>105</v>
      </c>
      <c r="E219" s="23" t="s">
        <v>363</v>
      </c>
      <c r="F219" s="155" t="s">
        <v>144</v>
      </c>
      <c r="G219" s="156" t="s">
        <v>373</v>
      </c>
      <c r="H219" s="157">
        <v>10</v>
      </c>
      <c r="I219" s="157">
        <v>0</v>
      </c>
      <c r="J219" s="127">
        <v>55000000</v>
      </c>
      <c r="K219" s="88" t="s">
        <v>398</v>
      </c>
      <c r="L219" s="155" t="s">
        <v>154</v>
      </c>
      <c r="M219" s="158" t="s">
        <v>460</v>
      </c>
      <c r="N219" s="23" t="s">
        <v>198</v>
      </c>
      <c r="O219" s="151" t="s">
        <v>958</v>
      </c>
      <c r="P219" s="155" t="s">
        <v>348</v>
      </c>
      <c r="Q219" s="53">
        <v>80111600</v>
      </c>
      <c r="R219" s="158" t="s">
        <v>218</v>
      </c>
      <c r="S219" s="158" t="str">
        <f>MID(PAA[[#This Row],[Meta Proyecto de Inversión]],1,4)</f>
        <v>8173</v>
      </c>
      <c r="T219" s="158" t="str">
        <f>MID(PAA[[#This Row],[Meta Proyecto de Inversión]],6,1)</f>
        <v>9</v>
      </c>
      <c r="U219" s="159" t="str">
        <f>IFERROR(VLOOKUP(N219,TD!$B$50:$F$54,2,0)," ")</f>
        <v>O230117</v>
      </c>
      <c r="V219" s="159" t="str">
        <f>IFERROR(VLOOKUP(N219,TD!$B$50:$F$54,3,0)," ")</f>
        <v>4503</v>
      </c>
      <c r="W219" s="159">
        <f>IFERROR(VLOOKUP(N219,TD!$B$50:$F$54,4,0)," ")</f>
        <v>20240255</v>
      </c>
      <c r="X219" s="158" t="s">
        <v>172</v>
      </c>
      <c r="Y219" s="159" t="str">
        <f>IFERROR(VLOOKUP(X219,TD!$J$51:$K$64,2,0)," ")</f>
        <v>Servicio de formación en gestión del riesgo de incendios para el personal UAECOB</v>
      </c>
      <c r="Z219" s="160" t="str">
        <f>CONCATENATE(X219,"-",Y219)</f>
        <v>07-Servicio de formación en gestión del riesgo de incendios para el personal UAECOB</v>
      </c>
      <c r="AA219" s="162" t="s">
        <v>222</v>
      </c>
      <c r="AB219" s="159" t="str">
        <f>IFERROR(VLOOKUP(AA219,TD!$N$51:$O$66,2,0)," ")</f>
        <v>Servicio de educación informal</v>
      </c>
      <c r="AC219" s="160" t="str">
        <f>CONCATENATE(AA219,"_",AB219)</f>
        <v>002_Servicio de educación informal</v>
      </c>
      <c r="AD219" s="160" t="str">
        <f>CONCATENATE(Z219," ",AC219)</f>
        <v>07-Servicio de formación en gestión del riesgo de incendios para el personal UAECOB 002_Servicio de educación informal</v>
      </c>
      <c r="AE219" s="159" t="str">
        <f>CONCATENATE(U219,V219,W219,X219,AA219)</f>
        <v>O23011745032024025507002</v>
      </c>
      <c r="AF219" s="159" t="str">
        <f>IFERROR(VLOOKUP(AD219,TD!$J$66:$K$89,2,0)," ")</f>
        <v>PM/0131/0107/45030020255</v>
      </c>
      <c r="AG219" s="118" t="s">
        <v>385</v>
      </c>
      <c r="AH219" s="158" t="s">
        <v>193</v>
      </c>
      <c r="AI219" s="161" t="str">
        <f>CONCATENATE(PAA[[#This Row],[Id Interno]],"-",PAA[[#This Row],[tipo de Contrato (TH talento humano - B/S bienes y/o servicios)]],"-",S219,"-",T219,"-",PAA[[#This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220" spans="2:35" ht="56" x14ac:dyDescent="0.35">
      <c r="B220" s="23">
        <v>20260180</v>
      </c>
      <c r="C220" s="99" t="s">
        <v>653</v>
      </c>
      <c r="D220" s="23" t="s">
        <v>105</v>
      </c>
      <c r="E220" s="23" t="s">
        <v>363</v>
      </c>
      <c r="F220" s="155" t="s">
        <v>145</v>
      </c>
      <c r="G220" s="156" t="s">
        <v>373</v>
      </c>
      <c r="H220" s="157">
        <v>8</v>
      </c>
      <c r="I220" s="157">
        <v>0</v>
      </c>
      <c r="J220" s="127">
        <v>26000000</v>
      </c>
      <c r="K220" s="88" t="s">
        <v>398</v>
      </c>
      <c r="L220" s="155" t="s">
        <v>154</v>
      </c>
      <c r="M220" s="158" t="s">
        <v>460</v>
      </c>
      <c r="N220" s="23" t="s">
        <v>198</v>
      </c>
      <c r="O220" s="151" t="s">
        <v>958</v>
      </c>
      <c r="P220" s="155" t="s">
        <v>348</v>
      </c>
      <c r="Q220" s="53">
        <v>80111600</v>
      </c>
      <c r="R220" s="158" t="s">
        <v>218</v>
      </c>
      <c r="S220" s="158" t="str">
        <f>MID(PAA[[#This Row],[Meta Proyecto de Inversión]],1,4)</f>
        <v>8173</v>
      </c>
      <c r="T220" s="158" t="str">
        <f>MID(PAA[[#This Row],[Meta Proyecto de Inversión]],6,1)</f>
        <v>9</v>
      </c>
      <c r="U220" s="159" t="str">
        <f>IFERROR(VLOOKUP(N220,TD!$B$50:$F$54,2,0)," ")</f>
        <v>O230117</v>
      </c>
      <c r="V220" s="159" t="str">
        <f>IFERROR(VLOOKUP(N220,TD!$B$50:$F$54,3,0)," ")</f>
        <v>4503</v>
      </c>
      <c r="W220" s="159">
        <f>IFERROR(VLOOKUP(N220,TD!$B$50:$F$54,4,0)," ")</f>
        <v>20240255</v>
      </c>
      <c r="X220" s="158" t="s">
        <v>172</v>
      </c>
      <c r="Y220" s="159" t="str">
        <f>IFERROR(VLOOKUP(X220,TD!$J$51:$K$64,2,0)," ")</f>
        <v>Servicio de formación en gestión del riesgo de incendios para el personal UAECOB</v>
      </c>
      <c r="Z220" s="160" t="str">
        <f>CONCATENATE(X220,"-",Y220)</f>
        <v>07-Servicio de formación en gestión del riesgo de incendios para el personal UAECOB</v>
      </c>
      <c r="AA220" s="162" t="s">
        <v>222</v>
      </c>
      <c r="AB220" s="159" t="str">
        <f>IFERROR(VLOOKUP(AA220,TD!$N$51:$O$66,2,0)," ")</f>
        <v>Servicio de educación informal</v>
      </c>
      <c r="AC220" s="160" t="str">
        <f>CONCATENATE(AA220,"_",AB220)</f>
        <v>002_Servicio de educación informal</v>
      </c>
      <c r="AD220" s="160" t="str">
        <f>CONCATENATE(Z220," ",AC220)</f>
        <v>07-Servicio de formación en gestión del riesgo de incendios para el personal UAECOB 002_Servicio de educación informal</v>
      </c>
      <c r="AE220" s="159" t="str">
        <f>CONCATENATE(U220,V220,W220,X220,AA220)</f>
        <v>O23011745032024025507002</v>
      </c>
      <c r="AF220" s="159" t="str">
        <f>IFERROR(VLOOKUP(AD220,TD!$J$66:$K$89,2,0)," ")</f>
        <v>PM/0131/0107/45030020255</v>
      </c>
      <c r="AG220" s="118" t="s">
        <v>385</v>
      </c>
      <c r="AH220" s="158" t="s">
        <v>193</v>
      </c>
      <c r="AI220" s="161" t="str">
        <f>CONCATENATE(PAA[[#This Row],[Id Interno]],"-",PAA[[#This Row],[tipo de Contrato (TH talento humano - B/S bienes y/o servicios)]],"-",S220,"-",T220,"-",PAA[[#This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221" spans="2:35" ht="84" x14ac:dyDescent="0.35">
      <c r="B221" s="23">
        <v>20260181</v>
      </c>
      <c r="C221" s="99" t="s">
        <v>654</v>
      </c>
      <c r="D221" s="23" t="s">
        <v>105</v>
      </c>
      <c r="E221" s="23" t="s">
        <v>363</v>
      </c>
      <c r="F221" s="155" t="s">
        <v>144</v>
      </c>
      <c r="G221" s="156" t="s">
        <v>373</v>
      </c>
      <c r="H221" s="157">
        <v>11</v>
      </c>
      <c r="I221" s="157">
        <v>0</v>
      </c>
      <c r="J221" s="127">
        <v>100100000</v>
      </c>
      <c r="K221" s="88" t="s">
        <v>398</v>
      </c>
      <c r="L221" s="155" t="s">
        <v>154</v>
      </c>
      <c r="M221" s="158" t="s">
        <v>460</v>
      </c>
      <c r="N221" s="23" t="s">
        <v>198</v>
      </c>
      <c r="O221" s="151" t="s">
        <v>958</v>
      </c>
      <c r="P221" s="155" t="s">
        <v>348</v>
      </c>
      <c r="Q221" s="53">
        <v>80111600</v>
      </c>
      <c r="R221" s="158" t="s">
        <v>218</v>
      </c>
      <c r="S221" s="158" t="str">
        <f>MID(PAA[[#This Row],[Meta Proyecto de Inversión]],1,4)</f>
        <v>8173</v>
      </c>
      <c r="T221" s="158" t="str">
        <f>MID(PAA[[#This Row],[Meta Proyecto de Inversión]],6,1)</f>
        <v>9</v>
      </c>
      <c r="U221" s="159" t="str">
        <f>IFERROR(VLOOKUP(N221,TD!$B$50:$F$54,2,0)," ")</f>
        <v>O230117</v>
      </c>
      <c r="V221" s="159" t="str">
        <f>IFERROR(VLOOKUP(N221,TD!$B$50:$F$54,3,0)," ")</f>
        <v>4503</v>
      </c>
      <c r="W221" s="159">
        <f>IFERROR(VLOOKUP(N221,TD!$B$50:$F$54,4,0)," ")</f>
        <v>20240255</v>
      </c>
      <c r="X221" s="158" t="s">
        <v>172</v>
      </c>
      <c r="Y221" s="159" t="str">
        <f>IFERROR(VLOOKUP(X221,TD!$J$51:$K$64,2,0)," ")</f>
        <v>Servicio de formación en gestión del riesgo de incendios para el personal UAECOB</v>
      </c>
      <c r="Z221" s="160" t="str">
        <f>CONCATENATE(X221,"-",Y221)</f>
        <v>07-Servicio de formación en gestión del riesgo de incendios para el personal UAECOB</v>
      </c>
      <c r="AA221" s="162" t="s">
        <v>222</v>
      </c>
      <c r="AB221" s="159" t="str">
        <f>IFERROR(VLOOKUP(AA221,TD!$N$51:$O$66,2,0)," ")</f>
        <v>Servicio de educación informal</v>
      </c>
      <c r="AC221" s="160" t="str">
        <f>CONCATENATE(AA221,"_",AB221)</f>
        <v>002_Servicio de educación informal</v>
      </c>
      <c r="AD221" s="160" t="str">
        <f>CONCATENATE(Z221," ",AC221)</f>
        <v>07-Servicio de formación en gestión del riesgo de incendios para el personal UAECOB 002_Servicio de educación informal</v>
      </c>
      <c r="AE221" s="159" t="str">
        <f>CONCATENATE(U221,V221,W221,X221,AA221)</f>
        <v>O23011745032024025507002</v>
      </c>
      <c r="AF221" s="159" t="str">
        <f>IFERROR(VLOOKUP(AD221,TD!$J$66:$K$89,2,0)," ")</f>
        <v>PM/0131/0107/45030020255</v>
      </c>
      <c r="AG221" s="118" t="s">
        <v>385</v>
      </c>
      <c r="AH221" s="158" t="s">
        <v>193</v>
      </c>
      <c r="AI221" s="161" t="str">
        <f>CONCATENATE(PAA[[#This Row],[Id Interno]],"-",PAA[[#This Row],[tipo de Contrato (TH talento humano - B/S bienes y/o servicios)]],"-",S221,"-",T221,"-",PAA[[#This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222" spans="2:35" ht="84" x14ac:dyDescent="0.35">
      <c r="B222" s="23">
        <v>20260182</v>
      </c>
      <c r="C222" s="99" t="s">
        <v>655</v>
      </c>
      <c r="D222" s="23" t="s">
        <v>105</v>
      </c>
      <c r="E222" s="23" t="s">
        <v>363</v>
      </c>
      <c r="F222" s="155" t="s">
        <v>144</v>
      </c>
      <c r="G222" s="156" t="s">
        <v>373</v>
      </c>
      <c r="H222" s="157">
        <v>11</v>
      </c>
      <c r="I222" s="157">
        <v>0</v>
      </c>
      <c r="J222" s="127">
        <v>93500000</v>
      </c>
      <c r="K222" s="88" t="s">
        <v>398</v>
      </c>
      <c r="L222" s="155" t="s">
        <v>154</v>
      </c>
      <c r="M222" s="158" t="s">
        <v>460</v>
      </c>
      <c r="N222" s="23" t="s">
        <v>198</v>
      </c>
      <c r="O222" s="151" t="s">
        <v>958</v>
      </c>
      <c r="P222" s="155" t="s">
        <v>348</v>
      </c>
      <c r="Q222" s="53">
        <v>80111600</v>
      </c>
      <c r="R222" s="158" t="s">
        <v>218</v>
      </c>
      <c r="S222" s="158" t="str">
        <f>MID(PAA[[#This Row],[Meta Proyecto de Inversión]],1,4)</f>
        <v>8173</v>
      </c>
      <c r="T222" s="158" t="str">
        <f>MID(PAA[[#This Row],[Meta Proyecto de Inversión]],6,1)</f>
        <v>9</v>
      </c>
      <c r="U222" s="159" t="str">
        <f>IFERROR(VLOOKUP(N222,TD!$B$50:$F$54,2,0)," ")</f>
        <v>O230117</v>
      </c>
      <c r="V222" s="159" t="str">
        <f>IFERROR(VLOOKUP(N222,TD!$B$50:$F$54,3,0)," ")</f>
        <v>4503</v>
      </c>
      <c r="W222" s="159">
        <f>IFERROR(VLOOKUP(N222,TD!$B$50:$F$54,4,0)," ")</f>
        <v>20240255</v>
      </c>
      <c r="X222" s="158" t="s">
        <v>172</v>
      </c>
      <c r="Y222" s="159" t="str">
        <f>IFERROR(VLOOKUP(X222,TD!$J$51:$K$64,2,0)," ")</f>
        <v>Servicio de formación en gestión del riesgo de incendios para el personal UAECOB</v>
      </c>
      <c r="Z222" s="160" t="str">
        <f>CONCATENATE(X222,"-",Y222)</f>
        <v>07-Servicio de formación en gestión del riesgo de incendios para el personal UAECOB</v>
      </c>
      <c r="AA222" s="162" t="s">
        <v>222</v>
      </c>
      <c r="AB222" s="159" t="str">
        <f>IFERROR(VLOOKUP(AA222,TD!$N$51:$O$66,2,0)," ")</f>
        <v>Servicio de educación informal</v>
      </c>
      <c r="AC222" s="160" t="str">
        <f>CONCATENATE(AA222,"_",AB222)</f>
        <v>002_Servicio de educación informal</v>
      </c>
      <c r="AD222" s="160" t="str">
        <f>CONCATENATE(Z222," ",AC222)</f>
        <v>07-Servicio de formación en gestión del riesgo de incendios para el personal UAECOB 002_Servicio de educación informal</v>
      </c>
      <c r="AE222" s="159" t="str">
        <f>CONCATENATE(U222,V222,W222,X222,AA222)</f>
        <v>O23011745032024025507002</v>
      </c>
      <c r="AF222" s="159" t="str">
        <f>IFERROR(VLOOKUP(AD222,TD!$J$66:$K$89,2,0)," ")</f>
        <v>PM/0131/0107/45030020255</v>
      </c>
      <c r="AG222" s="118" t="s">
        <v>385</v>
      </c>
      <c r="AH222" s="158" t="s">
        <v>193</v>
      </c>
      <c r="AI222" s="161" t="str">
        <f>CONCATENATE(PAA[[#This Row],[Id Interno]],"-",PAA[[#This Row],[tipo de Contrato (TH talento humano - B/S bienes y/o servicios)]],"-",S222,"-",T222,"-",PAA[[#This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223" spans="2:35" ht="84" x14ac:dyDescent="0.35">
      <c r="B223" s="23">
        <v>20260183</v>
      </c>
      <c r="C223" s="99" t="s">
        <v>484</v>
      </c>
      <c r="D223" s="23" t="s">
        <v>105</v>
      </c>
      <c r="E223" s="23" t="s">
        <v>363</v>
      </c>
      <c r="F223" s="155" t="s">
        <v>144</v>
      </c>
      <c r="G223" s="156" t="s">
        <v>373</v>
      </c>
      <c r="H223" s="157">
        <v>11</v>
      </c>
      <c r="I223" s="157">
        <v>0</v>
      </c>
      <c r="J223" s="127">
        <v>91520000</v>
      </c>
      <c r="K223" s="88" t="s">
        <v>398</v>
      </c>
      <c r="L223" s="155" t="s">
        <v>154</v>
      </c>
      <c r="M223" s="158" t="s">
        <v>460</v>
      </c>
      <c r="N223" s="23" t="s">
        <v>197</v>
      </c>
      <c r="O223" s="151" t="s">
        <v>957</v>
      </c>
      <c r="P223" s="155" t="s">
        <v>348</v>
      </c>
      <c r="Q223" s="53">
        <v>80111600</v>
      </c>
      <c r="R223" s="158" t="s">
        <v>208</v>
      </c>
      <c r="S223" s="158" t="str">
        <f>MID(PAA[[#This Row],[Meta Proyecto de Inversión]],1,4)</f>
        <v>8126</v>
      </c>
      <c r="T223" s="158" t="str">
        <f>MID(PAA[[#This Row],[Meta Proyecto de Inversión]],6,1)</f>
        <v>9</v>
      </c>
      <c r="U223" s="159" t="str">
        <f>IFERROR(VLOOKUP(N223,TD!$B$50:$F$54,2,0)," ")</f>
        <v>O230117</v>
      </c>
      <c r="V223" s="159" t="str">
        <f>IFERROR(VLOOKUP(N223,TD!$B$50:$F$54,3,0)," ")</f>
        <v>4599</v>
      </c>
      <c r="W223" s="159">
        <f>IFERROR(VLOOKUP(N223,TD!$B$50:$F$54,4,0)," ")</f>
        <v>20240207</v>
      </c>
      <c r="X223" s="158" t="s">
        <v>174</v>
      </c>
      <c r="Y223" s="159" t="str">
        <f>IFERROR(VLOOKUP(X223,TD!$J$51:$K$64,2,0)," ")</f>
        <v>Infraestructura física, mantenimiento y dotación (Sedes construidas, mantenidas reforzadas)</v>
      </c>
      <c r="Z223" s="160" t="str">
        <f>CONCATENATE(X223,"-",Y223)</f>
        <v>08-Infraestructura física, mantenimiento y dotación (Sedes construidas, mantenidas reforzadas)</v>
      </c>
      <c r="AA223" s="162" t="s">
        <v>227</v>
      </c>
      <c r="AB223" s="159" t="str">
        <f>IFERROR(VLOOKUP(AA223,TD!$N$51:$O$66,2,0)," ")</f>
        <v>Sedes mantenidas</v>
      </c>
      <c r="AC223" s="160" t="str">
        <f>CONCATENATE(AA223,"_",AB223)</f>
        <v>016_Sedes mantenidas</v>
      </c>
      <c r="AD223" s="160" t="str">
        <f>CONCATENATE(Z223," ",AC223)</f>
        <v>08-Infraestructura física, mantenimiento y dotación (Sedes construidas, mantenidas reforzadas) 016_Sedes mantenidas</v>
      </c>
      <c r="AE223" s="159" t="str">
        <f>CONCATENATE(U223,V223,W223,X223,AA223)</f>
        <v>O23011745992024020708016</v>
      </c>
      <c r="AF223" s="159" t="str">
        <f>IFERROR(VLOOKUP(AD223,TD!$J$66:$K$89,2,0)," ")</f>
        <v>PM/0131/0108/45990160207</v>
      </c>
      <c r="AG223" s="118" t="s">
        <v>385</v>
      </c>
      <c r="AH223" s="158" t="s">
        <v>193</v>
      </c>
      <c r="AI223" s="161" t="str">
        <f>CONCATENATE(PAA[[#This Row],[Id Interno]],"-",PAA[[#This Row],[tipo de Contrato (TH talento humano - B/S bienes y/o servicios)]],"-",S223,"-",T223,"-",PAA[[#This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224" spans="2:35" ht="84" x14ac:dyDescent="0.35">
      <c r="B224" s="23">
        <v>20260184</v>
      </c>
      <c r="C224" s="99" t="s">
        <v>656</v>
      </c>
      <c r="D224" s="23" t="s">
        <v>105</v>
      </c>
      <c r="E224" s="23" t="s">
        <v>363</v>
      </c>
      <c r="F224" s="155" t="s">
        <v>144</v>
      </c>
      <c r="G224" s="156" t="s">
        <v>373</v>
      </c>
      <c r="H224" s="157">
        <v>11</v>
      </c>
      <c r="I224" s="157">
        <v>0</v>
      </c>
      <c r="J224" s="127">
        <v>114400000</v>
      </c>
      <c r="K224" s="88" t="s">
        <v>398</v>
      </c>
      <c r="L224" s="155" t="s">
        <v>154</v>
      </c>
      <c r="M224" s="158" t="s">
        <v>460</v>
      </c>
      <c r="N224" s="23" t="s">
        <v>198</v>
      </c>
      <c r="O224" s="151" t="s">
        <v>958</v>
      </c>
      <c r="P224" s="155" t="s">
        <v>348</v>
      </c>
      <c r="Q224" s="53">
        <v>80111600</v>
      </c>
      <c r="R224" s="158" t="s">
        <v>218</v>
      </c>
      <c r="S224" s="158" t="str">
        <f>MID(PAA[[#This Row],[Meta Proyecto de Inversión]],1,4)</f>
        <v>8173</v>
      </c>
      <c r="T224" s="158" t="str">
        <f>MID(PAA[[#This Row],[Meta Proyecto de Inversión]],6,1)</f>
        <v>9</v>
      </c>
      <c r="U224" s="159" t="str">
        <f>IFERROR(VLOOKUP(N224,TD!$B$50:$F$54,2,0)," ")</f>
        <v>O230117</v>
      </c>
      <c r="V224" s="159" t="str">
        <f>IFERROR(VLOOKUP(N224,TD!$B$50:$F$54,3,0)," ")</f>
        <v>4503</v>
      </c>
      <c r="W224" s="159">
        <f>IFERROR(VLOOKUP(N224,TD!$B$50:$F$54,4,0)," ")</f>
        <v>20240255</v>
      </c>
      <c r="X224" s="158" t="s">
        <v>172</v>
      </c>
      <c r="Y224" s="159" t="str">
        <f>IFERROR(VLOOKUP(X224,TD!$J$51:$K$64,2,0)," ")</f>
        <v>Servicio de formación en gestión del riesgo de incendios para el personal UAECOB</v>
      </c>
      <c r="Z224" s="160" t="str">
        <f>CONCATENATE(X224,"-",Y224)</f>
        <v>07-Servicio de formación en gestión del riesgo de incendios para el personal UAECOB</v>
      </c>
      <c r="AA224" s="162" t="s">
        <v>222</v>
      </c>
      <c r="AB224" s="159" t="str">
        <f>IFERROR(VLOOKUP(AA224,TD!$N$51:$O$66,2,0)," ")</f>
        <v>Servicio de educación informal</v>
      </c>
      <c r="AC224" s="160" t="str">
        <f>CONCATENATE(AA224,"_",AB224)</f>
        <v>002_Servicio de educación informal</v>
      </c>
      <c r="AD224" s="160" t="str">
        <f>CONCATENATE(Z224," ",AC224)</f>
        <v>07-Servicio de formación en gestión del riesgo de incendios para el personal UAECOB 002_Servicio de educación informal</v>
      </c>
      <c r="AE224" s="159" t="str">
        <f>CONCATENATE(U224,V224,W224,X224,AA224)</f>
        <v>O23011745032024025507002</v>
      </c>
      <c r="AF224" s="159" t="str">
        <f>IFERROR(VLOOKUP(AD224,TD!$J$66:$K$89,2,0)," ")</f>
        <v>PM/0131/0107/45030020255</v>
      </c>
      <c r="AG224" s="118" t="s">
        <v>385</v>
      </c>
      <c r="AH224" s="158" t="s">
        <v>193</v>
      </c>
      <c r="AI224" s="161" t="str">
        <f>CONCATENATE(PAA[[#This Row],[Id Interno]],"-",PAA[[#This Row],[tipo de Contrato (TH talento humano - B/S bienes y/o servicios)]],"-",S224,"-",T224,"-",PAA[[#This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225" spans="2:35" ht="84" x14ac:dyDescent="0.35">
      <c r="B225" s="23">
        <v>20260185</v>
      </c>
      <c r="C225" s="99" t="s">
        <v>485</v>
      </c>
      <c r="D225" s="23" t="s">
        <v>105</v>
      </c>
      <c r="E225" s="23" t="s">
        <v>402</v>
      </c>
      <c r="F225" s="155" t="s">
        <v>106</v>
      </c>
      <c r="G225" s="156" t="s">
        <v>374</v>
      </c>
      <c r="H225" s="157">
        <v>11</v>
      </c>
      <c r="I225" s="157">
        <v>0</v>
      </c>
      <c r="J225" s="127">
        <v>0</v>
      </c>
      <c r="K225" s="88" t="s">
        <v>398</v>
      </c>
      <c r="L225" s="155" t="s">
        <v>154</v>
      </c>
      <c r="M225" s="158" t="s">
        <v>460</v>
      </c>
      <c r="N225" s="23" t="s">
        <v>198</v>
      </c>
      <c r="O225" s="151" t="s">
        <v>958</v>
      </c>
      <c r="P225" s="155" t="s">
        <v>348</v>
      </c>
      <c r="Q225" s="53" t="s">
        <v>493</v>
      </c>
      <c r="R225" s="158" t="s">
        <v>218</v>
      </c>
      <c r="S225" s="158" t="str">
        <f>MID(PAA[[#This Row],[Meta Proyecto de Inversión]],1,4)</f>
        <v>8173</v>
      </c>
      <c r="T225" s="158" t="str">
        <f>MID(PAA[[#This Row],[Meta Proyecto de Inversión]],6,1)</f>
        <v>9</v>
      </c>
      <c r="U225" s="159" t="str">
        <f>IFERROR(VLOOKUP(N225,TD!$B$50:$F$54,2,0)," ")</f>
        <v>O230117</v>
      </c>
      <c r="V225" s="159" t="str">
        <f>IFERROR(VLOOKUP(N225,TD!$B$50:$F$54,3,0)," ")</f>
        <v>4503</v>
      </c>
      <c r="W225" s="159">
        <f>IFERROR(VLOOKUP(N225,TD!$B$50:$F$54,4,0)," ")</f>
        <v>20240255</v>
      </c>
      <c r="X225" s="158" t="s">
        <v>172</v>
      </c>
      <c r="Y225" s="159" t="str">
        <f>IFERROR(VLOOKUP(X225,TD!$J$51:$K$64,2,0)," ")</f>
        <v>Servicio de formación en gestión del riesgo de incendios para el personal UAECOB</v>
      </c>
      <c r="Z225" s="160" t="str">
        <f>CONCATENATE(X225,"-",Y225)</f>
        <v>07-Servicio de formación en gestión del riesgo de incendios para el personal UAECOB</v>
      </c>
      <c r="AA225" s="162" t="s">
        <v>222</v>
      </c>
      <c r="AB225" s="159" t="str">
        <f>IFERROR(VLOOKUP(AA225,TD!$N$51:$O$66,2,0)," ")</f>
        <v>Servicio de educación informal</v>
      </c>
      <c r="AC225" s="160" t="str">
        <f>CONCATENATE(AA225,"_",AB225)</f>
        <v>002_Servicio de educación informal</v>
      </c>
      <c r="AD225" s="160" t="str">
        <f>CONCATENATE(Z225," ",AC225)</f>
        <v>07-Servicio de formación en gestión del riesgo de incendios para el personal UAECOB 002_Servicio de educación informal</v>
      </c>
      <c r="AE225" s="159" t="str">
        <f>CONCATENATE(U225,V225,W225,X225,AA225)</f>
        <v>O23011745032024025507002</v>
      </c>
      <c r="AF225" s="159" t="str">
        <f>IFERROR(VLOOKUP(AD225,TD!$J$66:$K$89,2,0)," ")</f>
        <v>PM/0131/0107/45030020255</v>
      </c>
      <c r="AG225" s="118" t="s">
        <v>576</v>
      </c>
      <c r="AH225" s="158" t="s">
        <v>193</v>
      </c>
      <c r="AI225" s="161" t="str">
        <f>CONCATENATE(PAA[[#This Row],[Id Interno]],"-",PAA[[#This Row],[tipo de Contrato (TH talento humano - B/S bienes y/o servicios)]],"-",S225,"-",T225,"-",PAA[[#This Row],[Objeto de la contratación]])</f>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v>
      </c>
    </row>
    <row r="226" spans="2:35" ht="84" x14ac:dyDescent="0.35">
      <c r="B226" s="23">
        <v>20260186</v>
      </c>
      <c r="C226" s="99" t="s">
        <v>486</v>
      </c>
      <c r="D226" s="23" t="s">
        <v>119</v>
      </c>
      <c r="E226" s="23" t="s">
        <v>402</v>
      </c>
      <c r="F226" s="155" t="s">
        <v>89</v>
      </c>
      <c r="G226" s="156" t="s">
        <v>374</v>
      </c>
      <c r="H226" s="157">
        <v>11</v>
      </c>
      <c r="I226" s="157">
        <v>0</v>
      </c>
      <c r="J226" s="127">
        <v>80000000</v>
      </c>
      <c r="K226" s="88" t="s">
        <v>398</v>
      </c>
      <c r="L226" s="155" t="s">
        <v>154</v>
      </c>
      <c r="M226" s="158" t="s">
        <v>460</v>
      </c>
      <c r="N226" s="23" t="s">
        <v>198</v>
      </c>
      <c r="O226" s="151" t="s">
        <v>958</v>
      </c>
      <c r="P226" s="155" t="s">
        <v>348</v>
      </c>
      <c r="Q226" s="53">
        <v>90121800</v>
      </c>
      <c r="R226" s="158" t="s">
        <v>218</v>
      </c>
      <c r="S226" s="158" t="str">
        <f>MID(PAA[[#This Row],[Meta Proyecto de Inversión]],1,4)</f>
        <v>8173</v>
      </c>
      <c r="T226" s="158" t="str">
        <f>MID(PAA[[#This Row],[Meta Proyecto de Inversión]],6,1)</f>
        <v>9</v>
      </c>
      <c r="U226" s="159" t="str">
        <f>IFERROR(VLOOKUP(N226,TD!$B$50:$F$54,2,0)," ")</f>
        <v>O230117</v>
      </c>
      <c r="V226" s="159" t="str">
        <f>IFERROR(VLOOKUP(N226,TD!$B$50:$F$54,3,0)," ")</f>
        <v>4503</v>
      </c>
      <c r="W226" s="159">
        <f>IFERROR(VLOOKUP(N226,TD!$B$50:$F$54,4,0)," ")</f>
        <v>20240255</v>
      </c>
      <c r="X226" s="158" t="s">
        <v>172</v>
      </c>
      <c r="Y226" s="159" t="str">
        <f>IFERROR(VLOOKUP(X226,TD!$J$51:$K$64,2,0)," ")</f>
        <v>Servicio de formación en gestión del riesgo de incendios para el personal UAECOB</v>
      </c>
      <c r="Z226" s="160" t="str">
        <f>CONCATENATE(X226,"-",Y226)</f>
        <v>07-Servicio de formación en gestión del riesgo de incendios para el personal UAECOB</v>
      </c>
      <c r="AA226" s="162" t="s">
        <v>222</v>
      </c>
      <c r="AB226" s="159" t="str">
        <f>IFERROR(VLOOKUP(AA226,TD!$N$51:$O$66,2,0)," ")</f>
        <v>Servicio de educación informal</v>
      </c>
      <c r="AC226" s="160" t="str">
        <f>CONCATENATE(AA226,"_",AB226)</f>
        <v>002_Servicio de educación informal</v>
      </c>
      <c r="AD226" s="160" t="str">
        <f>CONCATENATE(Z226," ",AC226)</f>
        <v>07-Servicio de formación en gestión del riesgo de incendios para el personal UAECOB 002_Servicio de educación informal</v>
      </c>
      <c r="AE226" s="159" t="str">
        <f>CONCATENATE(U226,V226,W226,X226,AA226)</f>
        <v>O23011745032024025507002</v>
      </c>
      <c r="AF226" s="159" t="str">
        <f>IFERROR(VLOOKUP(AD226,TD!$J$66:$K$89,2,0)," ")</f>
        <v>PM/0131/0107/45030020255</v>
      </c>
      <c r="AG226" s="118" t="s">
        <v>582</v>
      </c>
      <c r="AH226" s="158" t="s">
        <v>193</v>
      </c>
      <c r="AI226" s="161" t="str">
        <f>CONCATENATE(PAA[[#This Row],[Id Interno]],"-",PAA[[#This Row],[tipo de Contrato (TH talento humano - B/S bienes y/o servicios)]],"-",S226,"-",T226,"-",PAA[[#This Row],[Objeto de la contratación]])</f>
        <v>20260186-BS-8173-9-SGH - Garantizar los recursos para movilización efectiva del personal operativo en la atención de emergencias</v>
      </c>
    </row>
    <row r="227" spans="2:35" ht="84" x14ac:dyDescent="0.35">
      <c r="B227" s="23">
        <v>20260187</v>
      </c>
      <c r="C227" s="99" t="s">
        <v>487</v>
      </c>
      <c r="D227" s="23" t="s">
        <v>119</v>
      </c>
      <c r="E227" s="23" t="s">
        <v>402</v>
      </c>
      <c r="F227" s="155" t="s">
        <v>89</v>
      </c>
      <c r="G227" s="156" t="s">
        <v>374</v>
      </c>
      <c r="H227" s="157">
        <v>11</v>
      </c>
      <c r="I227" s="157">
        <v>0</v>
      </c>
      <c r="J227" s="127">
        <v>180000000</v>
      </c>
      <c r="K227" s="88" t="s">
        <v>398</v>
      </c>
      <c r="L227" s="155" t="s">
        <v>154</v>
      </c>
      <c r="M227" s="158" t="s">
        <v>460</v>
      </c>
      <c r="N227" s="23" t="s">
        <v>198</v>
      </c>
      <c r="O227" s="151" t="s">
        <v>958</v>
      </c>
      <c r="P227" s="155" t="s">
        <v>348</v>
      </c>
      <c r="Q227" s="53">
        <v>90121800</v>
      </c>
      <c r="R227" s="158" t="s">
        <v>218</v>
      </c>
      <c r="S227" s="158" t="str">
        <f>MID(PAA[[#This Row],[Meta Proyecto de Inversión]],1,4)</f>
        <v>8173</v>
      </c>
      <c r="T227" s="158" t="str">
        <f>MID(PAA[[#This Row],[Meta Proyecto de Inversión]],6,1)</f>
        <v>9</v>
      </c>
      <c r="U227" s="159" t="str">
        <f>IFERROR(VLOOKUP(N227,TD!$B$50:$F$54,2,0)," ")</f>
        <v>O230117</v>
      </c>
      <c r="V227" s="159" t="str">
        <f>IFERROR(VLOOKUP(N227,TD!$B$50:$F$54,3,0)," ")</f>
        <v>4503</v>
      </c>
      <c r="W227" s="159">
        <f>IFERROR(VLOOKUP(N227,TD!$B$50:$F$54,4,0)," ")</f>
        <v>20240255</v>
      </c>
      <c r="X227" s="158" t="s">
        <v>172</v>
      </c>
      <c r="Y227" s="159" t="str">
        <f>IFERROR(VLOOKUP(X227,TD!$J$51:$K$64,2,0)," ")</f>
        <v>Servicio de formación en gestión del riesgo de incendios para el personal UAECOB</v>
      </c>
      <c r="Z227" s="160" t="str">
        <f>CONCATENATE(X227,"-",Y227)</f>
        <v>07-Servicio de formación en gestión del riesgo de incendios para el personal UAECOB</v>
      </c>
      <c r="AA227" s="162" t="s">
        <v>222</v>
      </c>
      <c r="AB227" s="159" t="str">
        <f>IFERROR(VLOOKUP(AA227,TD!$N$51:$O$66,2,0)," ")</f>
        <v>Servicio de educación informal</v>
      </c>
      <c r="AC227" s="160" t="str">
        <f>CONCATENATE(AA227,"_",AB227)</f>
        <v>002_Servicio de educación informal</v>
      </c>
      <c r="AD227" s="160" t="str">
        <f>CONCATENATE(Z227," ",AC227)</f>
        <v>07-Servicio de formación en gestión del riesgo de incendios para el personal UAECOB 002_Servicio de educación informal</v>
      </c>
      <c r="AE227" s="159" t="str">
        <f>CONCATENATE(U227,V227,W227,X227,AA227)</f>
        <v>O23011745032024025507002</v>
      </c>
      <c r="AF227" s="159" t="str">
        <f>IFERROR(VLOOKUP(AD227,TD!$J$66:$K$89,2,0)," ")</f>
        <v>PM/0131/0107/45030020255</v>
      </c>
      <c r="AG227" s="118" t="s">
        <v>582</v>
      </c>
      <c r="AH227" s="158" t="s">
        <v>193</v>
      </c>
      <c r="AI227" s="161" t="str">
        <f>CONCATENATE(PAA[[#This Row],[Id Interno]],"-",PAA[[#This Row],[tipo de Contrato (TH talento humano - B/S bienes y/o servicios)]],"-",S227,"-",T227,"-",PAA[[#This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228" spans="2:35" ht="84" x14ac:dyDescent="0.35">
      <c r="B228" s="23">
        <v>20260188</v>
      </c>
      <c r="C228" s="99" t="s">
        <v>657</v>
      </c>
      <c r="D228" s="23" t="s">
        <v>83</v>
      </c>
      <c r="E228" s="23" t="s">
        <v>402</v>
      </c>
      <c r="F228" s="155" t="s">
        <v>101</v>
      </c>
      <c r="G228" s="156" t="s">
        <v>375</v>
      </c>
      <c r="H228" s="157">
        <v>4</v>
      </c>
      <c r="I228" s="157">
        <v>0</v>
      </c>
      <c r="J228" s="127">
        <v>300000000</v>
      </c>
      <c r="K228" s="88" t="s">
        <v>398</v>
      </c>
      <c r="L228" s="155" t="s">
        <v>154</v>
      </c>
      <c r="M228" s="158" t="s">
        <v>460</v>
      </c>
      <c r="N228" s="23" t="s">
        <v>198</v>
      </c>
      <c r="O228" s="151" t="s">
        <v>958</v>
      </c>
      <c r="P228" s="155" t="s">
        <v>348</v>
      </c>
      <c r="Q228" s="53" t="s">
        <v>491</v>
      </c>
      <c r="R228" s="158" t="s">
        <v>218</v>
      </c>
      <c r="S228" s="158" t="str">
        <f>MID(PAA[[#This Row],[Meta Proyecto de Inversión]],1,4)</f>
        <v>8173</v>
      </c>
      <c r="T228" s="158" t="str">
        <f>MID(PAA[[#This Row],[Meta Proyecto de Inversión]],6,1)</f>
        <v>9</v>
      </c>
      <c r="U228" s="159" t="str">
        <f>IFERROR(VLOOKUP(N228,TD!$B$50:$F$54,2,0)," ")</f>
        <v>O230117</v>
      </c>
      <c r="V228" s="159" t="str">
        <f>IFERROR(VLOOKUP(N228,TD!$B$50:$F$54,3,0)," ")</f>
        <v>4503</v>
      </c>
      <c r="W228" s="159">
        <f>IFERROR(VLOOKUP(N228,TD!$B$50:$F$54,4,0)," ")</f>
        <v>20240255</v>
      </c>
      <c r="X228" s="158" t="s">
        <v>172</v>
      </c>
      <c r="Y228" s="159" t="str">
        <f>IFERROR(VLOOKUP(X228,TD!$J$51:$K$64,2,0)," ")</f>
        <v>Servicio de formación en gestión del riesgo de incendios para el personal UAECOB</v>
      </c>
      <c r="Z228" s="160" t="str">
        <f>CONCATENATE(X228,"-",Y228)</f>
        <v>07-Servicio de formación en gestión del riesgo de incendios para el personal UAECOB</v>
      </c>
      <c r="AA228" s="162" t="s">
        <v>222</v>
      </c>
      <c r="AB228" s="159" t="str">
        <f>IFERROR(VLOOKUP(AA228,TD!$N$51:$O$66,2,0)," ")</f>
        <v>Servicio de educación informal</v>
      </c>
      <c r="AC228" s="160" t="str">
        <f>CONCATENATE(AA228,"_",AB228)</f>
        <v>002_Servicio de educación informal</v>
      </c>
      <c r="AD228" s="160" t="str">
        <f>CONCATENATE(Z228," ",AC228)</f>
        <v>07-Servicio de formación en gestión del riesgo de incendios para el personal UAECOB 002_Servicio de educación informal</v>
      </c>
      <c r="AE228" s="159" t="str">
        <f>CONCATENATE(U228,V228,W228,X228,AA228)</f>
        <v>O23011745032024025507002</v>
      </c>
      <c r="AF228" s="159" t="str">
        <f>IFERROR(VLOOKUP(AD228,TD!$J$66:$K$89,2,0)," ")</f>
        <v>PM/0131/0107/45030020255</v>
      </c>
      <c r="AG228" s="118" t="s">
        <v>94</v>
      </c>
      <c r="AH228" s="158" t="s">
        <v>193</v>
      </c>
      <c r="AI228" s="161" t="str">
        <f>CONCATENATE(PAA[[#This Row],[Id Interno]],"-",PAA[[#This Row],[tipo de Contrato (TH talento humano - B/S bienes y/o servicios)]],"-",S228,"-",T228,"-",PAA[[#This Row],[Objeto de la contratación]])</f>
        <v>20260188-BS-8173-9-SGH - Adecuación de escenarios necesarios para el desarrollo de procesos de formación, capacitación y entrenamiento del personal operativo de la UAE Cuerpo Oficial de Bomberos de Bogotá.</v>
      </c>
    </row>
    <row r="229" spans="2:35" ht="56" customHeight="1" x14ac:dyDescent="0.35">
      <c r="B229" s="23">
        <v>20260189</v>
      </c>
      <c r="C229" s="99" t="s">
        <v>658</v>
      </c>
      <c r="D229" s="23" t="s">
        <v>83</v>
      </c>
      <c r="E229" s="23" t="s">
        <v>402</v>
      </c>
      <c r="F229" s="155" t="s">
        <v>101</v>
      </c>
      <c r="G229" s="156" t="s">
        <v>375</v>
      </c>
      <c r="H229" s="157">
        <v>6</v>
      </c>
      <c r="I229" s="157">
        <v>0</v>
      </c>
      <c r="J229" s="127">
        <v>200000000</v>
      </c>
      <c r="K229" s="88" t="s">
        <v>398</v>
      </c>
      <c r="L229" s="155" t="s">
        <v>154</v>
      </c>
      <c r="M229" s="158" t="s">
        <v>460</v>
      </c>
      <c r="N229" s="23" t="s">
        <v>198</v>
      </c>
      <c r="O229" s="151" t="s">
        <v>958</v>
      </c>
      <c r="P229" s="155" t="s">
        <v>348</v>
      </c>
      <c r="Q229" s="53" t="s">
        <v>492</v>
      </c>
      <c r="R229" s="158" t="s">
        <v>218</v>
      </c>
      <c r="S229" s="158" t="str">
        <f>MID(PAA[[#This Row],[Meta Proyecto de Inversión]],1,4)</f>
        <v>8173</v>
      </c>
      <c r="T229" s="158" t="str">
        <f>MID(PAA[[#This Row],[Meta Proyecto de Inversión]],6,1)</f>
        <v>9</v>
      </c>
      <c r="U229" s="159" t="str">
        <f>IFERROR(VLOOKUP(N229,TD!$B$50:$F$54,2,0)," ")</f>
        <v>O230117</v>
      </c>
      <c r="V229" s="159" t="str">
        <f>IFERROR(VLOOKUP(N229,TD!$B$50:$F$54,3,0)," ")</f>
        <v>4503</v>
      </c>
      <c r="W229" s="159">
        <f>IFERROR(VLOOKUP(N229,TD!$B$50:$F$54,4,0)," ")</f>
        <v>20240255</v>
      </c>
      <c r="X229" s="158" t="s">
        <v>172</v>
      </c>
      <c r="Y229" s="159" t="str">
        <f>IFERROR(VLOOKUP(X229,TD!$J$51:$K$64,2,0)," ")</f>
        <v>Servicio de formación en gestión del riesgo de incendios para el personal UAECOB</v>
      </c>
      <c r="Z229" s="160" t="str">
        <f>CONCATENATE(X229,"-",Y229)</f>
        <v>07-Servicio de formación en gestión del riesgo de incendios para el personal UAECOB</v>
      </c>
      <c r="AA229" s="162" t="s">
        <v>222</v>
      </c>
      <c r="AB229" s="159" t="str">
        <f>IFERROR(VLOOKUP(AA229,TD!$N$51:$O$66,2,0)," ")</f>
        <v>Servicio de educación informal</v>
      </c>
      <c r="AC229" s="160" t="str">
        <f>CONCATENATE(AA229,"_",AB229)</f>
        <v>002_Servicio de educación informal</v>
      </c>
      <c r="AD229" s="160" t="str">
        <f>CONCATENATE(Z229," ",AC229)</f>
        <v>07-Servicio de formación en gestión del riesgo de incendios para el personal UAECOB 002_Servicio de educación informal</v>
      </c>
      <c r="AE229" s="159" t="str">
        <f>CONCATENATE(U229,V229,W229,X229,AA229)</f>
        <v>O23011745032024025507002</v>
      </c>
      <c r="AF229" s="159" t="str">
        <f>IFERROR(VLOOKUP(AD229,TD!$J$66:$K$89,2,0)," ")</f>
        <v>PM/0131/0107/45030020255</v>
      </c>
      <c r="AG229" s="118" t="s">
        <v>935</v>
      </c>
      <c r="AH229" s="158" t="s">
        <v>193</v>
      </c>
      <c r="AI229" s="161" t="str">
        <f>CONCATENATE(PAA[[#This Row],[Id Interno]],"-",PAA[[#This Row],[tipo de Contrato (TH talento humano - B/S bienes y/o servicios)]],"-",S229,"-",T229,"-",PAA[[#This Row],[Objeto de la contratación]])</f>
        <v>20260189-BS-8173-9-SGH - Adquisición de Equipos y Herramientas para los procesos de Capacitación a cargo de la Academia de la UAE Cuerpo Oficial de Bomberos de Bogotá</v>
      </c>
    </row>
    <row r="230" spans="2:35" ht="56" x14ac:dyDescent="0.35">
      <c r="B230" s="23">
        <v>20260190</v>
      </c>
      <c r="C230" s="99" t="s">
        <v>488</v>
      </c>
      <c r="D230" s="23" t="s">
        <v>83</v>
      </c>
      <c r="E230" s="23" t="s">
        <v>402</v>
      </c>
      <c r="F230" s="155" t="s">
        <v>89</v>
      </c>
      <c r="G230" s="156" t="s">
        <v>375</v>
      </c>
      <c r="H230" s="157">
        <v>6</v>
      </c>
      <c r="I230" s="157">
        <v>0</v>
      </c>
      <c r="J230" s="127">
        <v>200000000</v>
      </c>
      <c r="K230" s="88" t="s">
        <v>398</v>
      </c>
      <c r="L230" s="155" t="s">
        <v>154</v>
      </c>
      <c r="M230" s="158" t="s">
        <v>460</v>
      </c>
      <c r="N230" s="23" t="s">
        <v>198</v>
      </c>
      <c r="O230" s="151" t="s">
        <v>958</v>
      </c>
      <c r="P230" s="155" t="s">
        <v>348</v>
      </c>
      <c r="Q230" s="53" t="s">
        <v>494</v>
      </c>
      <c r="R230" s="158" t="s">
        <v>218</v>
      </c>
      <c r="S230" s="158" t="str">
        <f>MID(PAA[[#This Row],[Meta Proyecto de Inversión]],1,4)</f>
        <v>8173</v>
      </c>
      <c r="T230" s="158" t="str">
        <f>MID(PAA[[#This Row],[Meta Proyecto de Inversión]],6,1)</f>
        <v>9</v>
      </c>
      <c r="U230" s="159" t="str">
        <f>IFERROR(VLOOKUP(N230,TD!$B$50:$F$54,2,0)," ")</f>
        <v>O230117</v>
      </c>
      <c r="V230" s="159" t="str">
        <f>IFERROR(VLOOKUP(N230,TD!$B$50:$F$54,3,0)," ")</f>
        <v>4503</v>
      </c>
      <c r="W230" s="159">
        <f>IFERROR(VLOOKUP(N230,TD!$B$50:$F$54,4,0)," ")</f>
        <v>20240255</v>
      </c>
      <c r="X230" s="158" t="s">
        <v>172</v>
      </c>
      <c r="Y230" s="159" t="str">
        <f>IFERROR(VLOOKUP(X230,TD!$J$51:$K$64,2,0)," ")</f>
        <v>Servicio de formación en gestión del riesgo de incendios para el personal UAECOB</v>
      </c>
      <c r="Z230" s="160" t="str">
        <f>CONCATENATE(X230,"-",Y230)</f>
        <v>07-Servicio de formación en gestión del riesgo de incendios para el personal UAECOB</v>
      </c>
      <c r="AA230" s="162" t="s">
        <v>222</v>
      </c>
      <c r="AB230" s="159" t="str">
        <f>IFERROR(VLOOKUP(AA230,TD!$N$51:$O$66,2,0)," ")</f>
        <v>Servicio de educación informal</v>
      </c>
      <c r="AC230" s="160" t="str">
        <f>CONCATENATE(AA230,"_",AB230)</f>
        <v>002_Servicio de educación informal</v>
      </c>
      <c r="AD230" s="160" t="str">
        <f>CONCATENATE(Z230," ",AC230)</f>
        <v>07-Servicio de formación en gestión del riesgo de incendios para el personal UAECOB 002_Servicio de educación informal</v>
      </c>
      <c r="AE230" s="159" t="str">
        <f>CONCATENATE(U230,V230,W230,X230,AA230)</f>
        <v>O23011745032024025507002</v>
      </c>
      <c r="AF230" s="159" t="str">
        <f>IFERROR(VLOOKUP(AD230,TD!$J$66:$K$89,2,0)," ")</f>
        <v>PM/0131/0107/45030020255</v>
      </c>
      <c r="AG230" s="118" t="s">
        <v>934</v>
      </c>
      <c r="AH230" s="158" t="s">
        <v>193</v>
      </c>
      <c r="AI230" s="161" t="str">
        <f>CONCATENATE(PAA[[#This Row],[Id Interno]],"-",PAA[[#This Row],[tipo de Contrato (TH talento humano - B/S bienes y/o servicios)]],"-",S230,"-",T230,"-",PAA[[#This Row],[Objeto de la contratación]])</f>
        <v>20260190-BS-8173-9-SGH - Prestar los servicios  de capacitación y entrenamiento para el fortalecimiento de las capacidades de los instructores, que hacen parte de la academia de la UAE Cuerpo Oficial de Bomberos de Bogotá</v>
      </c>
    </row>
    <row r="231" spans="2:35" ht="56" x14ac:dyDescent="0.35">
      <c r="B231" s="23">
        <v>20260191</v>
      </c>
      <c r="C231" s="99" t="s">
        <v>489</v>
      </c>
      <c r="D231" s="23" t="s">
        <v>78</v>
      </c>
      <c r="E231" s="23" t="s">
        <v>402</v>
      </c>
      <c r="F231" s="155" t="s">
        <v>89</v>
      </c>
      <c r="G231" s="156" t="s">
        <v>375</v>
      </c>
      <c r="H231" s="157">
        <v>6</v>
      </c>
      <c r="I231" s="157">
        <v>0</v>
      </c>
      <c r="J231" s="127">
        <f>1219570000-83300000-45000000</f>
        <v>1091270000</v>
      </c>
      <c r="K231" s="88" t="s">
        <v>398</v>
      </c>
      <c r="L231" s="155" t="s">
        <v>154</v>
      </c>
      <c r="M231" s="158" t="s">
        <v>460</v>
      </c>
      <c r="N231" s="23" t="s">
        <v>198</v>
      </c>
      <c r="O231" s="151" t="s">
        <v>958</v>
      </c>
      <c r="P231" s="155" t="s">
        <v>348</v>
      </c>
      <c r="Q231" s="53" t="s">
        <v>494</v>
      </c>
      <c r="R231" s="158" t="s">
        <v>218</v>
      </c>
      <c r="S231" s="158" t="str">
        <f>MID(PAA[[#This Row],[Meta Proyecto de Inversión]],1,4)</f>
        <v>8173</v>
      </c>
      <c r="T231" s="158" t="str">
        <f>MID(PAA[[#This Row],[Meta Proyecto de Inversión]],6,1)</f>
        <v>9</v>
      </c>
      <c r="U231" s="159" t="str">
        <f>IFERROR(VLOOKUP(N231,TD!$B$50:$F$54,2,0)," ")</f>
        <v>O230117</v>
      </c>
      <c r="V231" s="159" t="str">
        <f>IFERROR(VLOOKUP(N231,TD!$B$50:$F$54,3,0)," ")</f>
        <v>4503</v>
      </c>
      <c r="W231" s="159">
        <f>IFERROR(VLOOKUP(N231,TD!$B$50:$F$54,4,0)," ")</f>
        <v>20240255</v>
      </c>
      <c r="X231" s="158" t="s">
        <v>172</v>
      </c>
      <c r="Y231" s="159" t="str">
        <f>IFERROR(VLOOKUP(X231,TD!$J$51:$K$64,2,0)," ")</f>
        <v>Servicio de formación en gestión del riesgo de incendios para el personal UAECOB</v>
      </c>
      <c r="Z231" s="160" t="str">
        <f>CONCATENATE(X231,"-",Y231)</f>
        <v>07-Servicio de formación en gestión del riesgo de incendios para el personal UAECOB</v>
      </c>
      <c r="AA231" s="162" t="s">
        <v>222</v>
      </c>
      <c r="AB231" s="159" t="str">
        <f>IFERROR(VLOOKUP(AA231,TD!$N$51:$O$66,2,0)," ")</f>
        <v>Servicio de educación informal</v>
      </c>
      <c r="AC231" s="160" t="str">
        <f>CONCATENATE(AA231,"_",AB231)</f>
        <v>002_Servicio de educación informal</v>
      </c>
      <c r="AD231" s="160" t="str">
        <f>CONCATENATE(Z231," ",AC231)</f>
        <v>07-Servicio de formación en gestión del riesgo de incendios para el personal UAECOB 002_Servicio de educación informal</v>
      </c>
      <c r="AE231" s="159" t="str">
        <f>CONCATENATE(U231,V231,W231,X231,AA231)</f>
        <v>O23011745032024025507002</v>
      </c>
      <c r="AF231" s="159" t="str">
        <f>IFERROR(VLOOKUP(AD231,TD!$J$66:$K$89,2,0)," ")</f>
        <v>PM/0131/0107/45030020255</v>
      </c>
      <c r="AG231" s="118" t="s">
        <v>934</v>
      </c>
      <c r="AH231" s="158" t="s">
        <v>193</v>
      </c>
      <c r="AI231" s="161" t="str">
        <f>CONCATENATE(PAA[[#This Row],[Id Interno]],"-",PAA[[#This Row],[tipo de Contrato (TH talento humano - B/S bienes y/o servicios)]],"-",S231,"-",T231,"-",PAA[[#This Row],[Objeto de la contratación]])</f>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v>
      </c>
    </row>
    <row r="232" spans="2:35" ht="56" x14ac:dyDescent="0.35">
      <c r="B232" s="23">
        <v>20260192</v>
      </c>
      <c r="C232" s="99" t="s">
        <v>490</v>
      </c>
      <c r="D232" s="23" t="s">
        <v>92</v>
      </c>
      <c r="E232" s="23" t="s">
        <v>402</v>
      </c>
      <c r="F232" s="155" t="s">
        <v>101</v>
      </c>
      <c r="G232" s="156" t="s">
        <v>375</v>
      </c>
      <c r="H232" s="157">
        <v>4</v>
      </c>
      <c r="I232" s="157">
        <v>0</v>
      </c>
      <c r="J232" s="127">
        <v>40000000</v>
      </c>
      <c r="K232" s="88" t="s">
        <v>398</v>
      </c>
      <c r="L232" s="155" t="s">
        <v>154</v>
      </c>
      <c r="M232" s="158" t="s">
        <v>460</v>
      </c>
      <c r="N232" s="23" t="s">
        <v>198</v>
      </c>
      <c r="O232" s="151" t="s">
        <v>958</v>
      </c>
      <c r="P232" s="155" t="s">
        <v>348</v>
      </c>
      <c r="Q232" s="53">
        <v>55101510</v>
      </c>
      <c r="R232" s="158" t="s">
        <v>218</v>
      </c>
      <c r="S232" s="158" t="str">
        <f>MID(PAA[[#This Row],[Meta Proyecto de Inversión]],1,4)</f>
        <v>8173</v>
      </c>
      <c r="T232" s="158" t="str">
        <f>MID(PAA[[#This Row],[Meta Proyecto de Inversión]],6,1)</f>
        <v>9</v>
      </c>
      <c r="U232" s="159" t="str">
        <f>IFERROR(VLOOKUP(N232,TD!$B$50:$F$54,2,0)," ")</f>
        <v>O230117</v>
      </c>
      <c r="V232" s="159" t="str">
        <f>IFERROR(VLOOKUP(N232,TD!$B$50:$F$54,3,0)," ")</f>
        <v>4503</v>
      </c>
      <c r="W232" s="159">
        <f>IFERROR(VLOOKUP(N232,TD!$B$50:$F$54,4,0)," ")</f>
        <v>20240255</v>
      </c>
      <c r="X232" s="158" t="s">
        <v>172</v>
      </c>
      <c r="Y232" s="159" t="str">
        <f>IFERROR(VLOOKUP(X232,TD!$J$51:$K$64,2,0)," ")</f>
        <v>Servicio de formación en gestión del riesgo de incendios para el personal UAECOB</v>
      </c>
      <c r="Z232" s="160" t="str">
        <f>CONCATENATE(X232,"-",Y232)</f>
        <v>07-Servicio de formación en gestión del riesgo de incendios para el personal UAECOB</v>
      </c>
      <c r="AA232" s="162" t="s">
        <v>222</v>
      </c>
      <c r="AB232" s="159" t="str">
        <f>IFERROR(VLOOKUP(AA232,TD!$N$51:$O$66,2,0)," ")</f>
        <v>Servicio de educación informal</v>
      </c>
      <c r="AC232" s="160" t="str">
        <f>CONCATENATE(AA232,"_",AB232)</f>
        <v>002_Servicio de educación informal</v>
      </c>
      <c r="AD232" s="160" t="str">
        <f>CONCATENATE(Z232," ",AC232)</f>
        <v>07-Servicio de formación en gestión del riesgo de incendios para el personal UAECOB 002_Servicio de educación informal</v>
      </c>
      <c r="AE232" s="159" t="str">
        <f>CONCATENATE(U232,V232,W232,X232,AA232)</f>
        <v>O23011745032024025507002</v>
      </c>
      <c r="AF232" s="159" t="str">
        <f>IFERROR(VLOOKUP(AD232,TD!$J$66:$K$89,2,0)," ")</f>
        <v>PM/0131/0107/45030020255</v>
      </c>
      <c r="AG232" s="118" t="s">
        <v>936</v>
      </c>
      <c r="AH232" s="158" t="s">
        <v>193</v>
      </c>
      <c r="AI232" s="161" t="str">
        <f>CONCATENATE(PAA[[#This Row],[Id Interno]],"-",PAA[[#This Row],[tipo de Contrato (TH talento humano - B/S bienes y/o servicios)]],"-",S232,"-",T232,"-",PAA[[#This Row],[Objeto de la contratación]])</f>
        <v>20260192-BS-8173-9-SGH- Adquisición de material bibliográfico de consulta para estudio y capacitación, que servirá como base de la biblioteca para la academia de la UAE Cuerpo Oficial de Bomberos de Bogotá</v>
      </c>
    </row>
    <row r="233" spans="2:35" ht="56" x14ac:dyDescent="0.35">
      <c r="B233" s="23">
        <v>20260193</v>
      </c>
      <c r="C233" s="99" t="s">
        <v>659</v>
      </c>
      <c r="D233" s="23" t="s">
        <v>83</v>
      </c>
      <c r="E233" s="23" t="s">
        <v>402</v>
      </c>
      <c r="F233" s="155" t="s">
        <v>89</v>
      </c>
      <c r="G233" s="156" t="s">
        <v>375</v>
      </c>
      <c r="H233" s="157">
        <v>6</v>
      </c>
      <c r="I233" s="157">
        <v>0</v>
      </c>
      <c r="J233" s="127">
        <v>500000000</v>
      </c>
      <c r="K233" s="88" t="s">
        <v>398</v>
      </c>
      <c r="L233" s="155" t="s">
        <v>154</v>
      </c>
      <c r="M233" s="158" t="s">
        <v>460</v>
      </c>
      <c r="N233" s="23" t="s">
        <v>330</v>
      </c>
      <c r="O233" s="151" t="s">
        <v>957</v>
      </c>
      <c r="P233" s="155" t="s">
        <v>161</v>
      </c>
      <c r="Q233" s="53" t="s">
        <v>660</v>
      </c>
      <c r="R233" s="158" t="s">
        <v>331</v>
      </c>
      <c r="S233" s="158" t="str">
        <f>MID(PAA[[#This Row],[Meta Proyecto de Inversión]],1,4)</f>
        <v>No a</v>
      </c>
      <c r="T233" s="158" t="str">
        <f>MID(PAA[[#This Row],[Meta Proyecto de Inversión]],6,1)</f>
        <v>l</v>
      </c>
      <c r="U233" s="159" t="str">
        <f>IFERROR(VLOOKUP(N233,TD!$B$50:$F$54,2,0)," ")</f>
        <v>NA</v>
      </c>
      <c r="V233" s="159" t="str">
        <f>IFERROR(VLOOKUP(N233,TD!$B$50:$F$54,3,0)," ")</f>
        <v>NA</v>
      </c>
      <c r="W233" s="159" t="str">
        <f>IFERROR(VLOOKUP(N233,TD!$B$50:$F$54,4,0)," ")</f>
        <v>NA</v>
      </c>
      <c r="X233" s="158" t="s">
        <v>335</v>
      </c>
      <c r="Y233" s="159" t="str">
        <f>IFERROR(VLOOKUP(X233,TD!$J$51:$K$64,2,0)," ")</f>
        <v>N/A</v>
      </c>
      <c r="Z233" s="160" t="str">
        <f>CONCATENATE(X233,"-",Y233)</f>
        <v>N/A-N/A</v>
      </c>
      <c r="AA233" s="162" t="s">
        <v>335</v>
      </c>
      <c r="AB233" s="159" t="str">
        <f>IFERROR(VLOOKUP(AA233,TD!$N$51:$O$66,2,0)," ")</f>
        <v>N/A</v>
      </c>
      <c r="AC233" s="160" t="str">
        <f>CONCATENATE(AA233,"_",AB233)</f>
        <v>N/A_N/A</v>
      </c>
      <c r="AD233" s="160" t="str">
        <f>CONCATENATE(Z233," ",AC233)</f>
        <v>N/A-N/A N/A_N/A</v>
      </c>
      <c r="AE233" s="159" t="str">
        <f>CONCATENATE(U233,V233,W233,X233,AA233)</f>
        <v>NANANAN/AN/A</v>
      </c>
      <c r="AF233" s="159" t="str">
        <f>IFERROR(VLOOKUP(AD233,TD!$J$66:$K$89,2,0)," ")</f>
        <v>N/A</v>
      </c>
      <c r="AG233" s="118" t="s">
        <v>332</v>
      </c>
      <c r="AH233" s="158" t="s">
        <v>193</v>
      </c>
      <c r="AI233" s="161" t="str">
        <f>CONCATENATE(PAA[[#This Row],[Id Interno]],"-",PAA[[#This Row],[tipo de Contrato (TH talento humano - B/S bienes y/o servicios)]],"-",S233,"-",T233,"-",PAA[[#This Row],[Objeto de la contratación]])</f>
        <v>20260193-BS-No a-l-SGH -Contratar la realización de los exámenes Médicos Ocupacionales para el personal de la UAE Cuerpo Oficial de Bomberos de Bogotá</v>
      </c>
    </row>
    <row r="234" spans="2:35" ht="70" x14ac:dyDescent="0.35">
      <c r="B234" s="23">
        <v>20260194</v>
      </c>
      <c r="C234" s="99" t="s">
        <v>661</v>
      </c>
      <c r="D234" s="23" t="s">
        <v>105</v>
      </c>
      <c r="E234" s="23" t="s">
        <v>402</v>
      </c>
      <c r="F234" s="155" t="s">
        <v>89</v>
      </c>
      <c r="G234" s="156" t="s">
        <v>373</v>
      </c>
      <c r="H234" s="157">
        <v>10</v>
      </c>
      <c r="I234" s="157">
        <v>0</v>
      </c>
      <c r="J234" s="127">
        <v>1620000000</v>
      </c>
      <c r="K234" s="88" t="s">
        <v>398</v>
      </c>
      <c r="L234" s="155" t="s">
        <v>154</v>
      </c>
      <c r="M234" s="158" t="s">
        <v>460</v>
      </c>
      <c r="N234" s="23" t="s">
        <v>330</v>
      </c>
      <c r="O234" s="151" t="s">
        <v>957</v>
      </c>
      <c r="P234" s="155" t="s">
        <v>161</v>
      </c>
      <c r="Q234" s="53" t="s">
        <v>662</v>
      </c>
      <c r="R234" s="158" t="s">
        <v>331</v>
      </c>
      <c r="S234" s="158" t="str">
        <f>MID(PAA[[#This Row],[Meta Proyecto de Inversión]],1,4)</f>
        <v>No a</v>
      </c>
      <c r="T234" s="158" t="str">
        <f>MID(PAA[[#This Row],[Meta Proyecto de Inversión]],6,1)</f>
        <v>l</v>
      </c>
      <c r="U234" s="159" t="str">
        <f>IFERROR(VLOOKUP(N234,TD!$B$50:$F$54,2,0)," ")</f>
        <v>NA</v>
      </c>
      <c r="V234" s="159" t="str">
        <f>IFERROR(VLOOKUP(N234,TD!$B$50:$F$54,3,0)," ")</f>
        <v>NA</v>
      </c>
      <c r="W234" s="159" t="str">
        <f>IFERROR(VLOOKUP(N234,TD!$B$50:$F$54,4,0)," ")</f>
        <v>NA</v>
      </c>
      <c r="X234" s="158" t="s">
        <v>335</v>
      </c>
      <c r="Y234" s="159" t="str">
        <f>IFERROR(VLOOKUP(X234,TD!$J$51:$K$64,2,0)," ")</f>
        <v>N/A</v>
      </c>
      <c r="Z234" s="160" t="str">
        <f>CONCATENATE(X234,"-",Y234)</f>
        <v>N/A-N/A</v>
      </c>
      <c r="AA234" s="162" t="s">
        <v>335</v>
      </c>
      <c r="AB234" s="159" t="str">
        <f>IFERROR(VLOOKUP(AA234,TD!$N$51:$O$66,2,0)," ")</f>
        <v>N/A</v>
      </c>
      <c r="AC234" s="160" t="str">
        <f>CONCATENATE(AA234,"_",AB234)</f>
        <v>N/A_N/A</v>
      </c>
      <c r="AD234" s="160" t="str">
        <f>CONCATENATE(Z234," ",AC234)</f>
        <v>N/A-N/A N/A_N/A</v>
      </c>
      <c r="AE234" s="159" t="str">
        <f>CONCATENATE(U234,V234,W234,X234,AA234)</f>
        <v>NANANAN/AN/A</v>
      </c>
      <c r="AF234" s="159" t="str">
        <f>IFERROR(VLOOKUP(AD234,TD!$J$66:$K$89,2,0)," ")</f>
        <v>N/A</v>
      </c>
      <c r="AG234" s="118" t="s">
        <v>332</v>
      </c>
      <c r="AH234" s="158" t="s">
        <v>193</v>
      </c>
      <c r="AI234" s="161" t="str">
        <f>CONCATENATE(PAA[[#This Row],[Id Interno]],"-",PAA[[#This Row],[tipo de Contrato (TH talento humano - B/S bienes y/o servicios)]],"-",S234,"-",T234,"-",PAA[[#This Row],[Objeto de la contratación]])</f>
        <v>20260194-BS-No a-l-SGH - Contratar la Prestación de Servicios para desarrollar el Plan de Bienestar de la UAE Cuerpo Oficial de Bomberos para la Vigencia 2026</v>
      </c>
    </row>
    <row r="235" spans="2:35" ht="70" customHeight="1" x14ac:dyDescent="0.35">
      <c r="B235" s="23">
        <v>20260195</v>
      </c>
      <c r="C235" s="99" t="s">
        <v>663</v>
      </c>
      <c r="D235" s="23" t="s">
        <v>92</v>
      </c>
      <c r="E235" s="23" t="s">
        <v>402</v>
      </c>
      <c r="F235" s="155" t="s">
        <v>101</v>
      </c>
      <c r="G235" s="156" t="s">
        <v>375</v>
      </c>
      <c r="H235" s="157">
        <v>4</v>
      </c>
      <c r="I235" s="157">
        <v>0</v>
      </c>
      <c r="J235" s="127">
        <v>62000000</v>
      </c>
      <c r="K235" s="88" t="s">
        <v>398</v>
      </c>
      <c r="L235" s="155" t="s">
        <v>154</v>
      </c>
      <c r="M235" s="158" t="s">
        <v>460</v>
      </c>
      <c r="N235" s="23" t="s">
        <v>330</v>
      </c>
      <c r="O235" s="151" t="s">
        <v>957</v>
      </c>
      <c r="P235" s="155" t="s">
        <v>161</v>
      </c>
      <c r="Q235" s="53" t="s">
        <v>664</v>
      </c>
      <c r="R235" s="158" t="s">
        <v>331</v>
      </c>
      <c r="S235" s="158" t="str">
        <f>MID(PAA[[#This Row],[Meta Proyecto de Inversión]],1,4)</f>
        <v>No a</v>
      </c>
      <c r="T235" s="158" t="str">
        <f>MID(PAA[[#This Row],[Meta Proyecto de Inversión]],6,1)</f>
        <v>l</v>
      </c>
      <c r="U235" s="159" t="str">
        <f>IFERROR(VLOOKUP(N235,TD!$B$50:$F$54,2,0)," ")</f>
        <v>NA</v>
      </c>
      <c r="V235" s="159" t="str">
        <f>IFERROR(VLOOKUP(N235,TD!$B$50:$F$54,3,0)," ")</f>
        <v>NA</v>
      </c>
      <c r="W235" s="159" t="str">
        <f>IFERROR(VLOOKUP(N235,TD!$B$50:$F$54,4,0)," ")</f>
        <v>NA</v>
      </c>
      <c r="X235" s="158" t="s">
        <v>335</v>
      </c>
      <c r="Y235" s="159" t="str">
        <f>IFERROR(VLOOKUP(X235,TD!$J$51:$K$64,2,0)," ")</f>
        <v>N/A</v>
      </c>
      <c r="Z235" s="160" t="str">
        <f>CONCATENATE(X235,"-",Y235)</f>
        <v>N/A-N/A</v>
      </c>
      <c r="AA235" s="162" t="s">
        <v>335</v>
      </c>
      <c r="AB235" s="159" t="str">
        <f>IFERROR(VLOOKUP(AA235,TD!$N$51:$O$66,2,0)," ")</f>
        <v>N/A</v>
      </c>
      <c r="AC235" s="160" t="str">
        <f>CONCATENATE(AA235,"_",AB235)</f>
        <v>N/A_N/A</v>
      </c>
      <c r="AD235" s="160" t="str">
        <f>CONCATENATE(Z235," ",AC235)</f>
        <v>N/A-N/A N/A_N/A</v>
      </c>
      <c r="AE235" s="159" t="str">
        <f>CONCATENATE(U235,V235,W235,X235,AA235)</f>
        <v>NANANAN/AN/A</v>
      </c>
      <c r="AF235" s="159" t="str">
        <f>IFERROR(VLOOKUP(AD235,TD!$J$66:$K$89,2,0)," ")</f>
        <v>N/A</v>
      </c>
      <c r="AG235" s="118" t="s">
        <v>332</v>
      </c>
      <c r="AH235" s="158" t="s">
        <v>193</v>
      </c>
      <c r="AI235" s="161" t="str">
        <f>CONCATENATE(PAA[[#This Row],[Id Interno]],"-",PAA[[#This Row],[tipo de Contrato (TH talento humano - B/S bienes y/o servicios)]],"-",S235,"-",T235,"-",PAA[[#This Row],[Objeto de la contratación]])</f>
        <v>20260195-BS-No a-l-SGH - Adquirir elementos de protección personal para prevenir la aparición de enfermedades ocupacionales en el oido, del personal operativo de la UAE Cuerpo Oficial de Bomberos de Bogotá</v>
      </c>
    </row>
    <row r="236" spans="2:35" ht="56" customHeight="1" x14ac:dyDescent="0.35">
      <c r="B236" s="23">
        <v>20260196</v>
      </c>
      <c r="C236" s="99" t="s">
        <v>511</v>
      </c>
      <c r="D236" s="23" t="s">
        <v>78</v>
      </c>
      <c r="E236" s="23" t="s">
        <v>402</v>
      </c>
      <c r="F236" s="155" t="s">
        <v>136</v>
      </c>
      <c r="G236" s="156" t="s">
        <v>373</v>
      </c>
      <c r="H236" s="157">
        <v>12</v>
      </c>
      <c r="I236" s="157">
        <v>0</v>
      </c>
      <c r="J236" s="127">
        <v>6689476699</v>
      </c>
      <c r="K236" s="88" t="s">
        <v>397</v>
      </c>
      <c r="L236" s="155" t="s">
        <v>157</v>
      </c>
      <c r="M236" s="158" t="s">
        <v>512</v>
      </c>
      <c r="N236" s="23" t="s">
        <v>198</v>
      </c>
      <c r="O236" s="151" t="s">
        <v>958</v>
      </c>
      <c r="P236" s="155" t="s">
        <v>348</v>
      </c>
      <c r="Q236" s="53">
        <v>78181500</v>
      </c>
      <c r="R236" s="158" t="s">
        <v>213</v>
      </c>
      <c r="S236" s="158" t="str">
        <f>MID(PAA[[#This Row],[Meta Proyecto de Inversión]],1,4)</f>
        <v>8173</v>
      </c>
      <c r="T236" s="158" t="str">
        <f>MID(PAA[[#This Row],[Meta Proyecto de Inversión]],6,1)</f>
        <v>4</v>
      </c>
      <c r="U236" s="159" t="str">
        <f>IFERROR(VLOOKUP(N236,TD!$B$50:$F$54,2,0)," ")</f>
        <v>O230117</v>
      </c>
      <c r="V236" s="159" t="str">
        <f>IFERROR(VLOOKUP(N236,TD!$B$50:$F$54,3,0)," ")</f>
        <v>4503</v>
      </c>
      <c r="W236" s="159">
        <f>IFERROR(VLOOKUP(N236,TD!$B$50:$F$54,4,0)," ")</f>
        <v>20240255</v>
      </c>
      <c r="X236" s="158" t="s">
        <v>176</v>
      </c>
      <c r="Y236" s="159" t="str">
        <f>IFERROR(VLOOKUP(X236,TD!$J$51:$K$64,2,0)," ")</f>
        <v>Servicio de mantenimiento, dotación (HEA´s y equipo menor) y adquisición de vehiculos   especializados para la atención de emergencias.</v>
      </c>
      <c r="Z236" s="160" t="str">
        <f>CONCATENATE(X236,"-",Y236)</f>
        <v>09-Servicio de mantenimiento, dotación (HEA´s y equipo menor) y adquisición de vehiculos   especializados para la atención de emergencias.</v>
      </c>
      <c r="AA236" s="162" t="s">
        <v>221</v>
      </c>
      <c r="AB236" s="159" t="str">
        <f>IFERROR(VLOOKUP(AA236,TD!$N$51:$O$66,2,0)," ")</f>
        <v>Servicio de atención a emergencias y desastres</v>
      </c>
      <c r="AC236" s="160" t="str">
        <f>CONCATENATE(AA236,"_",AB236)</f>
        <v>004_Servicio de atención a emergencias y desastres</v>
      </c>
      <c r="AD236" s="160" t="str">
        <f>CONCATENATE(Z236," ",AC236)</f>
        <v>09-Servicio de mantenimiento, dotación (HEA´s y equipo menor) y adquisición de vehiculos   especializados para la atención de emergencias. 004_Servicio de atención a emergencias y desastres</v>
      </c>
      <c r="AE236" s="159" t="str">
        <f>CONCATENATE(U236,V236,W236,X236,AA236)</f>
        <v>O23011745032024025509004</v>
      </c>
      <c r="AF236" s="159" t="str">
        <f>IFERROR(VLOOKUP(AD236,TD!$J$66:$K$89,2,0)," ")</f>
        <v>PM/0131/0109/45030040255</v>
      </c>
      <c r="AG236" s="118" t="s">
        <v>387</v>
      </c>
      <c r="AH236" s="158" t="s">
        <v>193</v>
      </c>
      <c r="AI236" s="161" t="str">
        <f>CONCATENATE(PAA[[#This Row],[Id Interno]],"-",PAA[[#This Row],[tipo de Contrato (TH talento humano - B/S bienes y/o servicios)]],"-",S236,"-",T236,"-",PAA[[#This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37" spans="2:35" ht="56" customHeight="1" x14ac:dyDescent="0.35">
      <c r="B237" s="23">
        <v>20260198</v>
      </c>
      <c r="C237" s="99" t="s">
        <v>833</v>
      </c>
      <c r="D237" s="23" t="s">
        <v>105</v>
      </c>
      <c r="E237" s="23" t="s">
        <v>363</v>
      </c>
      <c r="F237" s="155" t="s">
        <v>144</v>
      </c>
      <c r="G237" s="156" t="s">
        <v>373</v>
      </c>
      <c r="H237" s="157">
        <v>10</v>
      </c>
      <c r="I237" s="157">
        <v>0</v>
      </c>
      <c r="J237" s="127">
        <v>90000000</v>
      </c>
      <c r="K237" s="88" t="s">
        <v>398</v>
      </c>
      <c r="L237" s="155" t="s">
        <v>157</v>
      </c>
      <c r="M237" s="158" t="s">
        <v>512</v>
      </c>
      <c r="N237" s="23" t="s">
        <v>198</v>
      </c>
      <c r="O237" s="151" t="s">
        <v>958</v>
      </c>
      <c r="P237" s="155" t="s">
        <v>348</v>
      </c>
      <c r="Q237" s="53">
        <v>80111600</v>
      </c>
      <c r="R237" s="158" t="s">
        <v>213</v>
      </c>
      <c r="S237" s="158" t="str">
        <f>MID(PAA[[#This Row],[Meta Proyecto de Inversión]],1,4)</f>
        <v>8173</v>
      </c>
      <c r="T237" s="158" t="str">
        <f>MID(PAA[[#This Row],[Meta Proyecto de Inversión]],6,1)</f>
        <v>4</v>
      </c>
      <c r="U237" s="159" t="str">
        <f>IFERROR(VLOOKUP(N237,TD!$B$50:$F$54,2,0)," ")</f>
        <v>O230117</v>
      </c>
      <c r="V237" s="159" t="str">
        <f>IFERROR(VLOOKUP(N237,TD!$B$50:$F$54,3,0)," ")</f>
        <v>4503</v>
      </c>
      <c r="W237" s="159">
        <f>IFERROR(VLOOKUP(N237,TD!$B$50:$F$54,4,0)," ")</f>
        <v>20240255</v>
      </c>
      <c r="X237" s="158" t="s">
        <v>180</v>
      </c>
      <c r="Y237" s="159" t="str">
        <f>IFERROR(VLOOKUP(X237,TD!$J$51:$K$64,2,0)," ")</f>
        <v>Servicio de apoyo   logístico  en eventos operativos y/o emergencias.</v>
      </c>
      <c r="Z237" s="160" t="str">
        <f>CONCATENATE(X237,"-",Y237)</f>
        <v>12-Servicio de apoyo   logístico  en eventos operativos y/o emergencias.</v>
      </c>
      <c r="AA237" s="158" t="s">
        <v>221</v>
      </c>
      <c r="AB237" s="159" t="str">
        <f>IFERROR(VLOOKUP(AA237,TD!$N$51:$O$66,2,0)," ")</f>
        <v>Servicio de atención a emergencias y desastres</v>
      </c>
      <c r="AC237" s="160" t="str">
        <f>CONCATENATE(AA237,"_",AB237)</f>
        <v>004_Servicio de atención a emergencias y desastres</v>
      </c>
      <c r="AD237" s="160" t="str">
        <f>CONCATENATE(Z237," ",AC237)</f>
        <v>12-Servicio de apoyo   logístico  en eventos operativos y/o emergencias. 004_Servicio de atención a emergencias y desastres</v>
      </c>
      <c r="AE237" s="159" t="str">
        <f>CONCATENATE(U237,V237,W237,X237,AA237)</f>
        <v>O23011745032024025512004</v>
      </c>
      <c r="AF237" s="159" t="str">
        <f>IFERROR(VLOOKUP(AD237,TD!$J$66:$K$89,2,0)," ")</f>
        <v>PM/0131/0112/45030040255</v>
      </c>
      <c r="AG237" s="118" t="s">
        <v>385</v>
      </c>
      <c r="AH237" s="158" t="s">
        <v>193</v>
      </c>
      <c r="AI237" s="161" t="str">
        <f>CONCATENATE(PAA[[#This Row],[Id Interno]],"-",PAA[[#This Row],[tipo de Contrato (TH talento humano - B/S bienes y/o servicios)]],"-",S237,"-",T237,"-",PAA[[#This Row],[Objeto de la contratación]])</f>
        <v>20260198-TH-8173-4-Prestación de servicios profesionales apoyando el control legal de los procesos y acciones, especialmente la gestión contractual para el desarrollo de las estrategías de la Subdirección Logística - SBLG</v>
      </c>
    </row>
    <row r="238" spans="2:35" ht="56" x14ac:dyDescent="0.35">
      <c r="B238" s="23">
        <v>20260199</v>
      </c>
      <c r="C238" s="99" t="s">
        <v>834</v>
      </c>
      <c r="D238" s="23" t="s">
        <v>105</v>
      </c>
      <c r="E238" s="23" t="s">
        <v>363</v>
      </c>
      <c r="F238" s="155" t="s">
        <v>144</v>
      </c>
      <c r="G238" s="156" t="s">
        <v>373</v>
      </c>
      <c r="H238" s="157">
        <v>5</v>
      </c>
      <c r="I238" s="157">
        <v>0</v>
      </c>
      <c r="J238" s="127">
        <v>32500000</v>
      </c>
      <c r="K238" s="88" t="s">
        <v>398</v>
      </c>
      <c r="L238" s="155" t="s">
        <v>157</v>
      </c>
      <c r="M238" s="158" t="s">
        <v>512</v>
      </c>
      <c r="N238" s="23" t="s">
        <v>198</v>
      </c>
      <c r="O238" s="151" t="s">
        <v>958</v>
      </c>
      <c r="P238" s="155" t="s">
        <v>348</v>
      </c>
      <c r="Q238" s="53">
        <v>80111600</v>
      </c>
      <c r="R238" s="158" t="s">
        <v>213</v>
      </c>
      <c r="S238" s="158" t="str">
        <f>MID(PAA[[#This Row],[Meta Proyecto de Inversión]],1,4)</f>
        <v>8173</v>
      </c>
      <c r="T238" s="158" t="str">
        <f>MID(PAA[[#This Row],[Meta Proyecto de Inversión]],6,1)</f>
        <v>4</v>
      </c>
      <c r="U238" s="159" t="str">
        <f>IFERROR(VLOOKUP(N238,TD!$B$50:$F$54,2,0)," ")</f>
        <v>O230117</v>
      </c>
      <c r="V238" s="159" t="str">
        <f>IFERROR(VLOOKUP(N238,TD!$B$50:$F$54,3,0)," ")</f>
        <v>4503</v>
      </c>
      <c r="W238" s="159">
        <f>IFERROR(VLOOKUP(N238,TD!$B$50:$F$54,4,0)," ")</f>
        <v>20240255</v>
      </c>
      <c r="X238" s="158" t="s">
        <v>180</v>
      </c>
      <c r="Y238" s="159" t="str">
        <f>IFERROR(VLOOKUP(X238,TD!$J$51:$K$64,2,0)," ")</f>
        <v>Servicio de apoyo   logístico  en eventos operativos y/o emergencias.</v>
      </c>
      <c r="Z238" s="160" t="str">
        <f>CONCATENATE(X238,"-",Y238)</f>
        <v>12-Servicio de apoyo   logístico  en eventos operativos y/o emergencias.</v>
      </c>
      <c r="AA238" s="158" t="s">
        <v>221</v>
      </c>
      <c r="AB238" s="159" t="str">
        <f>IFERROR(VLOOKUP(AA238,TD!$N$51:$O$66,2,0)," ")</f>
        <v>Servicio de atención a emergencias y desastres</v>
      </c>
      <c r="AC238" s="160" t="str">
        <f>CONCATENATE(AA238,"_",AB238)</f>
        <v>004_Servicio de atención a emergencias y desastres</v>
      </c>
      <c r="AD238" s="160" t="str">
        <f>CONCATENATE(Z238," ",AC238)</f>
        <v>12-Servicio de apoyo   logístico  en eventos operativos y/o emergencias. 004_Servicio de atención a emergencias y desastres</v>
      </c>
      <c r="AE238" s="159" t="str">
        <f>CONCATENATE(U238,V238,W238,X238,AA238)</f>
        <v>O23011745032024025512004</v>
      </c>
      <c r="AF238" s="159" t="str">
        <f>IFERROR(VLOOKUP(AD238,TD!$J$66:$K$89,2,0)," ")</f>
        <v>PM/0131/0112/45030040255</v>
      </c>
      <c r="AG238" s="118" t="s">
        <v>385</v>
      </c>
      <c r="AH238" s="158" t="s">
        <v>193</v>
      </c>
      <c r="AI238" s="161" t="str">
        <f>CONCATENATE(PAA[[#This Row],[Id Interno]],"-",PAA[[#This Row],[tipo de Contrato (TH talento humano - B/S bienes y/o servicios)]],"-",S238,"-",T238,"-",PAA[[#This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39" spans="2:35" ht="56" x14ac:dyDescent="0.35">
      <c r="B239" s="23">
        <v>20260200</v>
      </c>
      <c r="C239" s="99" t="s">
        <v>927</v>
      </c>
      <c r="D239" s="23" t="s">
        <v>105</v>
      </c>
      <c r="E239" s="23" t="s">
        <v>363</v>
      </c>
      <c r="F239" s="155" t="s">
        <v>144</v>
      </c>
      <c r="G239" s="156" t="s">
        <v>373</v>
      </c>
      <c r="H239" s="157">
        <v>8</v>
      </c>
      <c r="I239" s="157">
        <v>0</v>
      </c>
      <c r="J239" s="127">
        <v>64000000</v>
      </c>
      <c r="K239" s="88" t="s">
        <v>398</v>
      </c>
      <c r="L239" s="155" t="s">
        <v>157</v>
      </c>
      <c r="M239" s="158" t="s">
        <v>512</v>
      </c>
      <c r="N239" s="23" t="s">
        <v>198</v>
      </c>
      <c r="O239" s="151" t="s">
        <v>958</v>
      </c>
      <c r="P239" s="155" t="s">
        <v>348</v>
      </c>
      <c r="Q239" s="53">
        <v>80111600</v>
      </c>
      <c r="R239" s="158" t="s">
        <v>213</v>
      </c>
      <c r="S239" s="158" t="str">
        <f>MID(PAA[[#This Row],[Meta Proyecto de Inversión]],1,4)</f>
        <v>8173</v>
      </c>
      <c r="T239" s="158" t="str">
        <f>MID(PAA[[#This Row],[Meta Proyecto de Inversión]],6,1)</f>
        <v>4</v>
      </c>
      <c r="U239" s="159" t="str">
        <f>IFERROR(VLOOKUP(N239,TD!$B$50:$F$54,2,0)," ")</f>
        <v>O230117</v>
      </c>
      <c r="V239" s="159" t="str">
        <f>IFERROR(VLOOKUP(N239,TD!$B$50:$F$54,3,0)," ")</f>
        <v>4503</v>
      </c>
      <c r="W239" s="159">
        <f>IFERROR(VLOOKUP(N239,TD!$B$50:$F$54,4,0)," ")</f>
        <v>20240255</v>
      </c>
      <c r="X239" s="158" t="s">
        <v>180</v>
      </c>
      <c r="Y239" s="159" t="str">
        <f>IFERROR(VLOOKUP(X239,TD!$J$51:$K$64,2,0)," ")</f>
        <v>Servicio de apoyo   logístico  en eventos operativos y/o emergencias.</v>
      </c>
      <c r="Z239" s="160" t="str">
        <f>CONCATENATE(X239,"-",Y239)</f>
        <v>12-Servicio de apoyo   logístico  en eventos operativos y/o emergencias.</v>
      </c>
      <c r="AA239" s="158" t="s">
        <v>221</v>
      </c>
      <c r="AB239" s="159" t="str">
        <f>IFERROR(VLOOKUP(AA239,TD!$N$51:$O$66,2,0)," ")</f>
        <v>Servicio de atención a emergencias y desastres</v>
      </c>
      <c r="AC239" s="160" t="str">
        <f>CONCATENATE(AA239,"_",AB239)</f>
        <v>004_Servicio de atención a emergencias y desastres</v>
      </c>
      <c r="AD239" s="160" t="str">
        <f>CONCATENATE(Z239," ",AC239)</f>
        <v>12-Servicio de apoyo   logístico  en eventos operativos y/o emergencias. 004_Servicio de atención a emergencias y desastres</v>
      </c>
      <c r="AE239" s="159" t="str">
        <f>CONCATENATE(U239,V239,W239,X239,AA239)</f>
        <v>O23011745032024025512004</v>
      </c>
      <c r="AF239" s="159" t="str">
        <f>IFERROR(VLOOKUP(AD239,TD!$J$66:$K$89,2,0)," ")</f>
        <v>PM/0131/0112/45030040255</v>
      </c>
      <c r="AG239" s="118" t="s">
        <v>385</v>
      </c>
      <c r="AH239" s="158" t="s">
        <v>193</v>
      </c>
      <c r="AI239" s="161" t="str">
        <f>CONCATENATE(PAA[[#This Row],[Id Interno]],"-",PAA[[#This Row],[tipo de Contrato (TH talento humano - B/S bienes y/o servicios)]],"-",S239,"-",T239,"-",PAA[[#This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40" spans="2:35" ht="56" customHeight="1" x14ac:dyDescent="0.35">
      <c r="B240" s="23">
        <v>20260201</v>
      </c>
      <c r="C240" s="99" t="s">
        <v>834</v>
      </c>
      <c r="D240" s="23" t="s">
        <v>105</v>
      </c>
      <c r="E240" s="23" t="s">
        <v>363</v>
      </c>
      <c r="F240" s="155" t="s">
        <v>144</v>
      </c>
      <c r="G240" s="156" t="s">
        <v>373</v>
      </c>
      <c r="H240" s="157">
        <v>5</v>
      </c>
      <c r="I240" s="157">
        <v>0</v>
      </c>
      <c r="J240" s="127">
        <v>35000000</v>
      </c>
      <c r="K240" s="88" t="s">
        <v>398</v>
      </c>
      <c r="L240" s="155" t="s">
        <v>157</v>
      </c>
      <c r="M240" s="158" t="s">
        <v>512</v>
      </c>
      <c r="N240" s="23" t="s">
        <v>198</v>
      </c>
      <c r="O240" s="151" t="s">
        <v>958</v>
      </c>
      <c r="P240" s="155" t="s">
        <v>348</v>
      </c>
      <c r="Q240" s="53">
        <v>80111600</v>
      </c>
      <c r="R240" s="158" t="s">
        <v>213</v>
      </c>
      <c r="S240" s="158" t="str">
        <f>MID(PAA[[#This Row],[Meta Proyecto de Inversión]],1,4)</f>
        <v>8173</v>
      </c>
      <c r="T240" s="158" t="str">
        <f>MID(PAA[[#This Row],[Meta Proyecto de Inversión]],6,1)</f>
        <v>4</v>
      </c>
      <c r="U240" s="159" t="str">
        <f>IFERROR(VLOOKUP(N240,TD!$B$50:$F$54,2,0)," ")</f>
        <v>O230117</v>
      </c>
      <c r="V240" s="159" t="str">
        <f>IFERROR(VLOOKUP(N240,TD!$B$50:$F$54,3,0)," ")</f>
        <v>4503</v>
      </c>
      <c r="W240" s="159">
        <f>IFERROR(VLOOKUP(N240,TD!$B$50:$F$54,4,0)," ")</f>
        <v>20240255</v>
      </c>
      <c r="X240" s="158" t="s">
        <v>180</v>
      </c>
      <c r="Y240" s="159" t="str">
        <f>IFERROR(VLOOKUP(X240,TD!$J$51:$K$64,2,0)," ")</f>
        <v>Servicio de apoyo   logístico  en eventos operativos y/o emergencias.</v>
      </c>
      <c r="Z240" s="160" t="str">
        <f>CONCATENATE(X240,"-",Y240)</f>
        <v>12-Servicio de apoyo   logístico  en eventos operativos y/o emergencias.</v>
      </c>
      <c r="AA240" s="158" t="s">
        <v>221</v>
      </c>
      <c r="AB240" s="159" t="str">
        <f>IFERROR(VLOOKUP(AA240,TD!$N$51:$O$66,2,0)," ")</f>
        <v>Servicio de atención a emergencias y desastres</v>
      </c>
      <c r="AC240" s="160" t="str">
        <f>CONCATENATE(AA240,"_",AB240)</f>
        <v>004_Servicio de atención a emergencias y desastres</v>
      </c>
      <c r="AD240" s="160" t="str">
        <f>CONCATENATE(Z240," ",AC240)</f>
        <v>12-Servicio de apoyo   logístico  en eventos operativos y/o emergencias. 004_Servicio de atención a emergencias y desastres</v>
      </c>
      <c r="AE240" s="159" t="str">
        <f>CONCATENATE(U240,V240,W240,X240,AA240)</f>
        <v>O23011745032024025512004</v>
      </c>
      <c r="AF240" s="159" t="str">
        <f>IFERROR(VLOOKUP(AD240,TD!$J$66:$K$89,2,0)," ")</f>
        <v>PM/0131/0112/45030040255</v>
      </c>
      <c r="AG240" s="118" t="s">
        <v>385</v>
      </c>
      <c r="AH240" s="158" t="s">
        <v>193</v>
      </c>
      <c r="AI240" s="161" t="str">
        <f>CONCATENATE(PAA[[#This Row],[Id Interno]],"-",PAA[[#This Row],[tipo de Contrato (TH talento humano - B/S bienes y/o servicios)]],"-",S240,"-",T240,"-",PAA[[#This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41" spans="2:35" ht="56" x14ac:dyDescent="0.35">
      <c r="B241" s="23">
        <v>20260202</v>
      </c>
      <c r="C241" s="99" t="s">
        <v>835</v>
      </c>
      <c r="D241" s="23" t="s">
        <v>105</v>
      </c>
      <c r="E241" s="23" t="s">
        <v>363</v>
      </c>
      <c r="F241" s="155" t="s">
        <v>144</v>
      </c>
      <c r="G241" s="156" t="s">
        <v>373</v>
      </c>
      <c r="H241" s="157">
        <v>9</v>
      </c>
      <c r="I241" s="157">
        <v>0</v>
      </c>
      <c r="J241" s="127">
        <v>72000000</v>
      </c>
      <c r="K241" s="88" t="s">
        <v>398</v>
      </c>
      <c r="L241" s="155" t="s">
        <v>157</v>
      </c>
      <c r="M241" s="158" t="s">
        <v>512</v>
      </c>
      <c r="N241" s="23" t="s">
        <v>198</v>
      </c>
      <c r="O241" s="151" t="s">
        <v>958</v>
      </c>
      <c r="P241" s="155" t="s">
        <v>348</v>
      </c>
      <c r="Q241" s="53">
        <v>80111600</v>
      </c>
      <c r="R241" s="158" t="s">
        <v>213</v>
      </c>
      <c r="S241" s="158" t="str">
        <f>MID(PAA[[#This Row],[Meta Proyecto de Inversión]],1,4)</f>
        <v>8173</v>
      </c>
      <c r="T241" s="158" t="str">
        <f>MID(PAA[[#This Row],[Meta Proyecto de Inversión]],6,1)</f>
        <v>4</v>
      </c>
      <c r="U241" s="159" t="str">
        <f>IFERROR(VLOOKUP(N241,TD!$B$50:$F$54,2,0)," ")</f>
        <v>O230117</v>
      </c>
      <c r="V241" s="159" t="str">
        <f>IFERROR(VLOOKUP(N241,TD!$B$50:$F$54,3,0)," ")</f>
        <v>4503</v>
      </c>
      <c r="W241" s="159">
        <f>IFERROR(VLOOKUP(N241,TD!$B$50:$F$54,4,0)," ")</f>
        <v>20240255</v>
      </c>
      <c r="X241" s="158" t="s">
        <v>180</v>
      </c>
      <c r="Y241" s="159" t="str">
        <f>IFERROR(VLOOKUP(X241,TD!$J$51:$K$64,2,0)," ")</f>
        <v>Servicio de apoyo   logístico  en eventos operativos y/o emergencias.</v>
      </c>
      <c r="Z241" s="160" t="str">
        <f>CONCATENATE(X241,"-",Y241)</f>
        <v>12-Servicio de apoyo   logístico  en eventos operativos y/o emergencias.</v>
      </c>
      <c r="AA241" s="158" t="s">
        <v>221</v>
      </c>
      <c r="AB241" s="159" t="str">
        <f>IFERROR(VLOOKUP(AA241,TD!$N$51:$O$66,2,0)," ")</f>
        <v>Servicio de atención a emergencias y desastres</v>
      </c>
      <c r="AC241" s="160" t="str">
        <f>CONCATENATE(AA241,"_",AB241)</f>
        <v>004_Servicio de atención a emergencias y desastres</v>
      </c>
      <c r="AD241" s="160" t="str">
        <f>CONCATENATE(Z241," ",AC241)</f>
        <v>12-Servicio de apoyo   logístico  en eventos operativos y/o emergencias. 004_Servicio de atención a emergencias y desastres</v>
      </c>
      <c r="AE241" s="159" t="str">
        <f>CONCATENATE(U241,V241,W241,X241,AA241)</f>
        <v>O23011745032024025512004</v>
      </c>
      <c r="AF241" s="159" t="str">
        <f>IFERROR(VLOOKUP(AD241,TD!$J$66:$K$89,2,0)," ")</f>
        <v>PM/0131/0112/45030040255</v>
      </c>
      <c r="AG241" s="118" t="s">
        <v>385</v>
      </c>
      <c r="AH241" s="158" t="s">
        <v>193</v>
      </c>
      <c r="AI241" s="161" t="str">
        <f>CONCATENATE(PAA[[#This Row],[Id Interno]],"-",PAA[[#This Row],[tipo de Contrato (TH talento humano - B/S bienes y/o servicios)]],"-",S241,"-",T241,"-",PAA[[#This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42" spans="2:35" ht="84" x14ac:dyDescent="0.35">
      <c r="B242" s="23">
        <v>20260203</v>
      </c>
      <c r="C242" s="99" t="s">
        <v>952</v>
      </c>
      <c r="D242" s="23" t="s">
        <v>105</v>
      </c>
      <c r="E242" s="23" t="s">
        <v>363</v>
      </c>
      <c r="F242" s="155" t="s">
        <v>144</v>
      </c>
      <c r="G242" s="156" t="s">
        <v>373</v>
      </c>
      <c r="H242" s="157">
        <v>9</v>
      </c>
      <c r="I242" s="157">
        <v>0</v>
      </c>
      <c r="J242" s="127">
        <v>45000000</v>
      </c>
      <c r="K242" s="88" t="s">
        <v>398</v>
      </c>
      <c r="L242" s="155" t="s">
        <v>157</v>
      </c>
      <c r="M242" s="158" t="s">
        <v>512</v>
      </c>
      <c r="N242" s="23" t="s">
        <v>198</v>
      </c>
      <c r="O242" s="151" t="s">
        <v>958</v>
      </c>
      <c r="P242" s="155" t="s">
        <v>348</v>
      </c>
      <c r="Q242" s="53">
        <v>80111600</v>
      </c>
      <c r="R242" s="158" t="s">
        <v>213</v>
      </c>
      <c r="S242" s="158" t="str">
        <f>MID(PAA[[#This Row],[Meta Proyecto de Inversión]],1,4)</f>
        <v>8173</v>
      </c>
      <c r="T242" s="158" t="str">
        <f>MID(PAA[[#This Row],[Meta Proyecto de Inversión]],6,1)</f>
        <v>4</v>
      </c>
      <c r="U242" s="159" t="str">
        <f>IFERROR(VLOOKUP(N242,TD!$B$50:$F$54,2,0)," ")</f>
        <v>O230117</v>
      </c>
      <c r="V242" s="159" t="str">
        <f>IFERROR(VLOOKUP(N242,TD!$B$50:$F$54,3,0)," ")</f>
        <v>4503</v>
      </c>
      <c r="W242" s="159">
        <f>IFERROR(VLOOKUP(N242,TD!$B$50:$F$54,4,0)," ")</f>
        <v>20240255</v>
      </c>
      <c r="X242" s="158" t="s">
        <v>180</v>
      </c>
      <c r="Y242" s="159" t="str">
        <f>IFERROR(VLOOKUP(X242,TD!$J$51:$K$64,2,0)," ")</f>
        <v>Servicio de apoyo   logístico  en eventos operativos y/o emergencias.</v>
      </c>
      <c r="Z242" s="160" t="str">
        <f>CONCATENATE(X242,"-",Y242)</f>
        <v>12-Servicio de apoyo   logístico  en eventos operativos y/o emergencias.</v>
      </c>
      <c r="AA242" s="158" t="s">
        <v>221</v>
      </c>
      <c r="AB242" s="159" t="str">
        <f>IFERROR(VLOOKUP(AA242,TD!$N$51:$O$66,2,0)," ")</f>
        <v>Servicio de atención a emergencias y desastres</v>
      </c>
      <c r="AC242" s="160" t="str">
        <f>CONCATENATE(AA242,"_",AB242)</f>
        <v>004_Servicio de atención a emergencias y desastres</v>
      </c>
      <c r="AD242" s="160" t="str">
        <f>CONCATENATE(Z242," ",AC242)</f>
        <v>12-Servicio de apoyo   logístico  en eventos operativos y/o emergencias. 004_Servicio de atención a emergencias y desastres</v>
      </c>
      <c r="AE242" s="159" t="str">
        <f>CONCATENATE(U242,V242,W242,X242,AA242)</f>
        <v>O23011745032024025512004</v>
      </c>
      <c r="AF242" s="159" t="str">
        <f>IFERROR(VLOOKUP(AD242,TD!$J$66:$K$89,2,0)," ")</f>
        <v>PM/0131/0112/45030040255</v>
      </c>
      <c r="AG242" s="118" t="s">
        <v>385</v>
      </c>
      <c r="AH242" s="158" t="s">
        <v>193</v>
      </c>
      <c r="AI242" s="161" t="str">
        <f>CONCATENATE(PAA[[#This Row],[Id Interno]],"-",PAA[[#This Row],[tipo de Contrato (TH talento humano - B/S bienes y/o servicios)]],"-",S242,"-",T242,"-",PAA[[#This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243" spans="2:35" ht="56" x14ac:dyDescent="0.35">
      <c r="B243" s="23">
        <v>20260204</v>
      </c>
      <c r="C243" s="99" t="s">
        <v>836</v>
      </c>
      <c r="D243" s="23" t="s">
        <v>105</v>
      </c>
      <c r="E243" s="23" t="s">
        <v>363</v>
      </c>
      <c r="F243" s="155" t="s">
        <v>144</v>
      </c>
      <c r="G243" s="156" t="s">
        <v>373</v>
      </c>
      <c r="H243" s="157">
        <v>11</v>
      </c>
      <c r="I243" s="157">
        <v>0</v>
      </c>
      <c r="J243" s="127">
        <v>120917000</v>
      </c>
      <c r="K243" s="88" t="s">
        <v>398</v>
      </c>
      <c r="L243" s="155" t="s">
        <v>157</v>
      </c>
      <c r="M243" s="158" t="s">
        <v>512</v>
      </c>
      <c r="N243" s="23" t="s">
        <v>198</v>
      </c>
      <c r="O243" s="151" t="s">
        <v>958</v>
      </c>
      <c r="P243" s="155" t="s">
        <v>348</v>
      </c>
      <c r="Q243" s="53">
        <v>80111600</v>
      </c>
      <c r="R243" s="158" t="s">
        <v>213</v>
      </c>
      <c r="S243" s="158" t="str">
        <f>MID(PAA[[#This Row],[Meta Proyecto de Inversión]],1,4)</f>
        <v>8173</v>
      </c>
      <c r="T243" s="158" t="str">
        <f>MID(PAA[[#This Row],[Meta Proyecto de Inversión]],6,1)</f>
        <v>4</v>
      </c>
      <c r="U243" s="159" t="str">
        <f>IFERROR(VLOOKUP(N243,TD!$B$50:$F$54,2,0)," ")</f>
        <v>O230117</v>
      </c>
      <c r="V243" s="159" t="str">
        <f>IFERROR(VLOOKUP(N243,TD!$B$50:$F$54,3,0)," ")</f>
        <v>4503</v>
      </c>
      <c r="W243" s="159">
        <f>IFERROR(VLOOKUP(N243,TD!$B$50:$F$54,4,0)," ")</f>
        <v>20240255</v>
      </c>
      <c r="X243" s="158" t="s">
        <v>180</v>
      </c>
      <c r="Y243" s="159" t="str">
        <f>IFERROR(VLOOKUP(X243,TD!$J$51:$K$64,2,0)," ")</f>
        <v>Servicio de apoyo   logístico  en eventos operativos y/o emergencias.</v>
      </c>
      <c r="Z243" s="160" t="str">
        <f>CONCATENATE(X243,"-",Y243)</f>
        <v>12-Servicio de apoyo   logístico  en eventos operativos y/o emergencias.</v>
      </c>
      <c r="AA243" s="158" t="s">
        <v>221</v>
      </c>
      <c r="AB243" s="159" t="str">
        <f>IFERROR(VLOOKUP(AA243,TD!$N$51:$O$66,2,0)," ")</f>
        <v>Servicio de atención a emergencias y desastres</v>
      </c>
      <c r="AC243" s="160" t="str">
        <f>CONCATENATE(AA243,"_",AB243)</f>
        <v>004_Servicio de atención a emergencias y desastres</v>
      </c>
      <c r="AD243" s="160" t="str">
        <f>CONCATENATE(Z243," ",AC243)</f>
        <v>12-Servicio de apoyo   logístico  en eventos operativos y/o emergencias. 004_Servicio de atención a emergencias y desastres</v>
      </c>
      <c r="AE243" s="159" t="str">
        <f>CONCATENATE(U243,V243,W243,X243,AA243)</f>
        <v>O23011745032024025512004</v>
      </c>
      <c r="AF243" s="159" t="str">
        <f>IFERROR(VLOOKUP(AD243,TD!$J$66:$K$89,2,0)," ")</f>
        <v>PM/0131/0112/45030040255</v>
      </c>
      <c r="AG243" s="118" t="s">
        <v>385</v>
      </c>
      <c r="AH243" s="158" t="s">
        <v>193</v>
      </c>
      <c r="AI243" s="161" t="str">
        <f>CONCATENATE(PAA[[#This Row],[Id Interno]],"-",PAA[[#This Row],[tipo de Contrato (TH talento humano - B/S bienes y/o servicios)]],"-",S243,"-",T243,"-",PAA[[#This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44" spans="2:35" ht="56" x14ac:dyDescent="0.35">
      <c r="B244" s="23">
        <v>20260205</v>
      </c>
      <c r="C244" s="99" t="s">
        <v>665</v>
      </c>
      <c r="D244" s="23" t="s">
        <v>105</v>
      </c>
      <c r="E244" s="23" t="s">
        <v>363</v>
      </c>
      <c r="F244" s="155" t="s">
        <v>144</v>
      </c>
      <c r="G244" s="156" t="s">
        <v>373</v>
      </c>
      <c r="H244" s="157">
        <v>9</v>
      </c>
      <c r="I244" s="157">
        <v>0</v>
      </c>
      <c r="J244" s="127">
        <v>40500000</v>
      </c>
      <c r="K244" s="88" t="s">
        <v>398</v>
      </c>
      <c r="L244" s="155" t="s">
        <v>157</v>
      </c>
      <c r="M244" s="158" t="s">
        <v>512</v>
      </c>
      <c r="N244" s="23" t="s">
        <v>198</v>
      </c>
      <c r="O244" s="151" t="s">
        <v>958</v>
      </c>
      <c r="P244" s="155" t="s">
        <v>348</v>
      </c>
      <c r="Q244" s="53">
        <v>80111600</v>
      </c>
      <c r="R244" s="158" t="s">
        <v>213</v>
      </c>
      <c r="S244" s="158" t="str">
        <f>MID(PAA[[#This Row],[Meta Proyecto de Inversión]],1,4)</f>
        <v>8173</v>
      </c>
      <c r="T244" s="158" t="str">
        <f>MID(PAA[[#This Row],[Meta Proyecto de Inversión]],6,1)</f>
        <v>4</v>
      </c>
      <c r="U244" s="159" t="str">
        <f>IFERROR(VLOOKUP(N244,TD!$B$50:$F$54,2,0)," ")</f>
        <v>O230117</v>
      </c>
      <c r="V244" s="159" t="str">
        <f>IFERROR(VLOOKUP(N244,TD!$B$50:$F$54,3,0)," ")</f>
        <v>4503</v>
      </c>
      <c r="W244" s="159">
        <f>IFERROR(VLOOKUP(N244,TD!$B$50:$F$54,4,0)," ")</f>
        <v>20240255</v>
      </c>
      <c r="X244" s="158" t="s">
        <v>180</v>
      </c>
      <c r="Y244" s="159" t="str">
        <f>IFERROR(VLOOKUP(X244,TD!$J$51:$K$64,2,0)," ")</f>
        <v>Servicio de apoyo   logístico  en eventos operativos y/o emergencias.</v>
      </c>
      <c r="Z244" s="160" t="str">
        <f>CONCATENATE(X244,"-",Y244)</f>
        <v>12-Servicio de apoyo   logístico  en eventos operativos y/o emergencias.</v>
      </c>
      <c r="AA244" s="158" t="s">
        <v>221</v>
      </c>
      <c r="AB244" s="159" t="str">
        <f>IFERROR(VLOOKUP(AA244,TD!$N$51:$O$66,2,0)," ")</f>
        <v>Servicio de atención a emergencias y desastres</v>
      </c>
      <c r="AC244" s="160" t="str">
        <f>CONCATENATE(AA244,"_",AB244)</f>
        <v>004_Servicio de atención a emergencias y desastres</v>
      </c>
      <c r="AD244" s="160" t="str">
        <f>CONCATENATE(Z244," ",AC244)</f>
        <v>12-Servicio de apoyo   logístico  en eventos operativos y/o emergencias. 004_Servicio de atención a emergencias y desastres</v>
      </c>
      <c r="AE244" s="159" t="str">
        <f>CONCATENATE(U244,V244,W244,X244,AA244)</f>
        <v>O23011745032024025512004</v>
      </c>
      <c r="AF244" s="159" t="str">
        <f>IFERROR(VLOOKUP(AD244,TD!$J$66:$K$89,2,0)," ")</f>
        <v>PM/0131/0112/45030040255</v>
      </c>
      <c r="AG244" s="118" t="s">
        <v>385</v>
      </c>
      <c r="AH244" s="158" t="s">
        <v>193</v>
      </c>
      <c r="AI244" s="161" t="str">
        <f>CONCATENATE(PAA[[#This Row],[Id Interno]],"-",PAA[[#This Row],[tipo de Contrato (TH talento humano - B/S bienes y/o servicios)]],"-",S244,"-",T244,"-",PAA[[#This Row],[Objeto de la contratación]])</f>
        <v>20260205-TH-8173-4-Prestar los servicios profesionales para la gestión, financiera de los proyectos y procesos para el fortalecimiento de las estrategías de la Subdirección Logística - SBLG.</v>
      </c>
    </row>
    <row r="245" spans="2:35" ht="84" customHeight="1" x14ac:dyDescent="0.3">
      <c r="B245" s="23">
        <v>20260206</v>
      </c>
      <c r="C245" s="146" t="s">
        <v>953</v>
      </c>
      <c r="D245" s="23" t="s">
        <v>105</v>
      </c>
      <c r="E245" s="23" t="s">
        <v>363</v>
      </c>
      <c r="F245" s="155" t="s">
        <v>144</v>
      </c>
      <c r="G245" s="156" t="s">
        <v>373</v>
      </c>
      <c r="H245" s="157">
        <v>7</v>
      </c>
      <c r="I245" s="157">
        <v>15</v>
      </c>
      <c r="J245" s="127">
        <v>45000000</v>
      </c>
      <c r="K245" s="88" t="s">
        <v>398</v>
      </c>
      <c r="L245" s="155" t="s">
        <v>157</v>
      </c>
      <c r="M245" s="158" t="s">
        <v>512</v>
      </c>
      <c r="N245" s="23" t="s">
        <v>198</v>
      </c>
      <c r="O245" s="151" t="s">
        <v>958</v>
      </c>
      <c r="P245" s="155" t="s">
        <v>348</v>
      </c>
      <c r="Q245" s="53">
        <v>80111600</v>
      </c>
      <c r="R245" s="158" t="s">
        <v>213</v>
      </c>
      <c r="S245" s="158" t="str">
        <f>MID(PAA[[#This Row],[Meta Proyecto de Inversión]],1,4)</f>
        <v>8173</v>
      </c>
      <c r="T245" s="158" t="str">
        <f>MID(PAA[[#This Row],[Meta Proyecto de Inversión]],6,1)</f>
        <v>4</v>
      </c>
      <c r="U245" s="159" t="str">
        <f>IFERROR(VLOOKUP(N245,TD!$B$50:$F$54,2,0)," ")</f>
        <v>O230117</v>
      </c>
      <c r="V245" s="159" t="str">
        <f>IFERROR(VLOOKUP(N245,TD!$B$50:$F$54,3,0)," ")</f>
        <v>4503</v>
      </c>
      <c r="W245" s="159">
        <f>IFERROR(VLOOKUP(N245,TD!$B$50:$F$54,4,0)," ")</f>
        <v>20240255</v>
      </c>
      <c r="X245" s="158" t="s">
        <v>180</v>
      </c>
      <c r="Y245" s="159" t="str">
        <f>IFERROR(VLOOKUP(X245,TD!$J$51:$K$64,2,0)," ")</f>
        <v>Servicio de apoyo   logístico  en eventos operativos y/o emergencias.</v>
      </c>
      <c r="Z245" s="160" t="str">
        <f>CONCATENATE(X245,"-",Y245)</f>
        <v>12-Servicio de apoyo   logístico  en eventos operativos y/o emergencias.</v>
      </c>
      <c r="AA245" s="158" t="s">
        <v>221</v>
      </c>
      <c r="AB245" s="159" t="str">
        <f>IFERROR(VLOOKUP(AA245,TD!$N$51:$O$66,2,0)," ")</f>
        <v>Servicio de atención a emergencias y desastres</v>
      </c>
      <c r="AC245" s="160" t="str">
        <f>CONCATENATE(AA245,"_",AB245)</f>
        <v>004_Servicio de atención a emergencias y desastres</v>
      </c>
      <c r="AD245" s="160" t="str">
        <f>CONCATENATE(Z245," ",AC245)</f>
        <v>12-Servicio de apoyo   logístico  en eventos operativos y/o emergencias. 004_Servicio de atención a emergencias y desastres</v>
      </c>
      <c r="AE245" s="159" t="str">
        <f>CONCATENATE(U245,V245,W245,X245,AA245)</f>
        <v>O23011745032024025512004</v>
      </c>
      <c r="AF245" s="159" t="str">
        <f>IFERROR(VLOOKUP(AD245,TD!$J$66:$K$89,2,0)," ")</f>
        <v>PM/0131/0112/45030040255</v>
      </c>
      <c r="AG245" s="118" t="s">
        <v>385</v>
      </c>
      <c r="AH245" s="158" t="s">
        <v>193</v>
      </c>
      <c r="AI245" s="161" t="str">
        <f>CONCATENATE(PAA[[#This Row],[Id Interno]],"-",PAA[[#This Row],[tipo de Contrato (TH talento humano - B/S bienes y/o servicios)]],"-",S245,"-",T245,"-",PAA[[#This Row],[Objeto de la contratación]])</f>
        <v>20260206-TH-8173-4-Prestación de servicios profesionales para apoyar la gestión financiera y presupuestal de los proyectos, planes y estrategias a cargo de la Subdirección Logística - SBLG</v>
      </c>
    </row>
    <row r="246" spans="2:35" ht="84" customHeight="1" x14ac:dyDescent="0.35">
      <c r="B246" s="23">
        <v>20260207</v>
      </c>
      <c r="C246" s="99" t="s">
        <v>666</v>
      </c>
      <c r="D246" s="23" t="s">
        <v>105</v>
      </c>
      <c r="E246" s="23" t="s">
        <v>363</v>
      </c>
      <c r="F246" s="155" t="s">
        <v>145</v>
      </c>
      <c r="G246" s="156" t="s">
        <v>373</v>
      </c>
      <c r="H246" s="157">
        <v>7</v>
      </c>
      <c r="I246" s="157">
        <v>15</v>
      </c>
      <c r="J246" s="127">
        <v>30000000</v>
      </c>
      <c r="K246" s="88" t="s">
        <v>398</v>
      </c>
      <c r="L246" s="155" t="s">
        <v>157</v>
      </c>
      <c r="M246" s="158" t="s">
        <v>512</v>
      </c>
      <c r="N246" s="23" t="s">
        <v>198</v>
      </c>
      <c r="O246" s="151" t="s">
        <v>958</v>
      </c>
      <c r="P246" s="155" t="s">
        <v>348</v>
      </c>
      <c r="Q246" s="53">
        <v>80111600</v>
      </c>
      <c r="R246" s="158" t="s">
        <v>213</v>
      </c>
      <c r="S246" s="158" t="str">
        <f>MID(PAA[[#This Row],[Meta Proyecto de Inversión]],1,4)</f>
        <v>8173</v>
      </c>
      <c r="T246" s="158" t="str">
        <f>MID(PAA[[#This Row],[Meta Proyecto de Inversión]],6,1)</f>
        <v>4</v>
      </c>
      <c r="U246" s="159" t="str">
        <f>IFERROR(VLOOKUP(N246,TD!$B$50:$F$54,2,0)," ")</f>
        <v>O230117</v>
      </c>
      <c r="V246" s="159" t="str">
        <f>IFERROR(VLOOKUP(N246,TD!$B$50:$F$54,3,0)," ")</f>
        <v>4503</v>
      </c>
      <c r="W246" s="159">
        <f>IFERROR(VLOOKUP(N246,TD!$B$50:$F$54,4,0)," ")</f>
        <v>20240255</v>
      </c>
      <c r="X246" s="158" t="s">
        <v>180</v>
      </c>
      <c r="Y246" s="159" t="str">
        <f>IFERROR(VLOOKUP(X246,TD!$J$51:$K$64,2,0)," ")</f>
        <v>Servicio de apoyo   logístico  en eventos operativos y/o emergencias.</v>
      </c>
      <c r="Z246" s="160" t="str">
        <f>CONCATENATE(X246,"-",Y246)</f>
        <v>12-Servicio de apoyo   logístico  en eventos operativos y/o emergencias.</v>
      </c>
      <c r="AA246" s="162" t="s">
        <v>221</v>
      </c>
      <c r="AB246" s="159" t="str">
        <f>IFERROR(VLOOKUP(AA246,TD!$N$51:$O$66,2,0)," ")</f>
        <v>Servicio de atención a emergencias y desastres</v>
      </c>
      <c r="AC246" s="160" t="str">
        <f>CONCATENATE(AA246,"_",AB246)</f>
        <v>004_Servicio de atención a emergencias y desastres</v>
      </c>
      <c r="AD246" s="160" t="str">
        <f>CONCATENATE(Z246," ",AC246)</f>
        <v>12-Servicio de apoyo   logístico  en eventos operativos y/o emergencias. 004_Servicio de atención a emergencias y desastres</v>
      </c>
      <c r="AE246" s="159" t="str">
        <f>CONCATENATE(U246,V246,W246,X246,AA246)</f>
        <v>O23011745032024025512004</v>
      </c>
      <c r="AF246" s="159" t="str">
        <f>IFERROR(VLOOKUP(AD246,TD!$J$66:$K$89,2,0)," ")</f>
        <v>PM/0131/0112/45030040255</v>
      </c>
      <c r="AG246" s="118" t="s">
        <v>385</v>
      </c>
      <c r="AH246" s="158" t="s">
        <v>193</v>
      </c>
      <c r="AI246" s="161" t="str">
        <f>CONCATENATE(PAA[[#This Row],[Id Interno]],"-",PAA[[#This Row],[tipo de Contrato (TH talento humano - B/S bienes y/o servicios)]],"-",S246,"-",T246,"-",PAA[[#This Row],[Objeto de la contratación]])</f>
        <v>20260207-TH-8173-4-Prestar servicios de apoyo técnico en asuntos administrativos, financieros, documentales y emisión de informes para el desarrollo de las estrategías de la Subdireccion Logística-SBLG</v>
      </c>
    </row>
    <row r="247" spans="2:35" ht="84" x14ac:dyDescent="0.35">
      <c r="B247" s="23">
        <v>20260208</v>
      </c>
      <c r="C247" s="99" t="s">
        <v>837</v>
      </c>
      <c r="D247" s="23" t="s">
        <v>105</v>
      </c>
      <c r="E247" s="23" t="s">
        <v>363</v>
      </c>
      <c r="F247" s="155" t="s">
        <v>144</v>
      </c>
      <c r="G247" s="156" t="s">
        <v>373</v>
      </c>
      <c r="H247" s="157">
        <v>10</v>
      </c>
      <c r="I247" s="157">
        <v>0</v>
      </c>
      <c r="J247" s="127">
        <v>68000000</v>
      </c>
      <c r="K247" s="88" t="s">
        <v>398</v>
      </c>
      <c r="L247" s="155" t="s">
        <v>157</v>
      </c>
      <c r="M247" s="158" t="s">
        <v>512</v>
      </c>
      <c r="N247" s="23" t="s">
        <v>198</v>
      </c>
      <c r="O247" s="151" t="s">
        <v>958</v>
      </c>
      <c r="P247" s="155" t="s">
        <v>348</v>
      </c>
      <c r="Q247" s="53">
        <v>80111600</v>
      </c>
      <c r="R247" s="158" t="s">
        <v>213</v>
      </c>
      <c r="S247" s="158" t="str">
        <f>MID(PAA[[#This Row],[Meta Proyecto de Inversión]],1,4)</f>
        <v>8173</v>
      </c>
      <c r="T247" s="158" t="str">
        <f>MID(PAA[[#This Row],[Meta Proyecto de Inversión]],6,1)</f>
        <v>4</v>
      </c>
      <c r="U247" s="159" t="str">
        <f>IFERROR(VLOOKUP(N247,TD!$B$50:$F$54,2,0)," ")</f>
        <v>O230117</v>
      </c>
      <c r="V247" s="159" t="str">
        <f>IFERROR(VLOOKUP(N247,TD!$B$50:$F$54,3,0)," ")</f>
        <v>4503</v>
      </c>
      <c r="W247" s="159">
        <f>IFERROR(VLOOKUP(N247,TD!$B$50:$F$54,4,0)," ")</f>
        <v>20240255</v>
      </c>
      <c r="X247" s="158" t="s">
        <v>180</v>
      </c>
      <c r="Y247" s="159" t="str">
        <f>IFERROR(VLOOKUP(X247,TD!$J$51:$K$64,2,0)," ")</f>
        <v>Servicio de apoyo   logístico  en eventos operativos y/o emergencias.</v>
      </c>
      <c r="Z247" s="160" t="str">
        <f>CONCATENATE(X247,"-",Y247)</f>
        <v>12-Servicio de apoyo   logístico  en eventos operativos y/o emergencias.</v>
      </c>
      <c r="AA247" s="158" t="s">
        <v>221</v>
      </c>
      <c r="AB247" s="159" t="str">
        <f>IFERROR(VLOOKUP(AA247,TD!$N$51:$O$66,2,0)," ")</f>
        <v>Servicio de atención a emergencias y desastres</v>
      </c>
      <c r="AC247" s="160" t="str">
        <f>CONCATENATE(AA247,"_",AB247)</f>
        <v>004_Servicio de atención a emergencias y desastres</v>
      </c>
      <c r="AD247" s="160" t="str">
        <f>CONCATENATE(Z247," ",AC247)</f>
        <v>12-Servicio de apoyo   logístico  en eventos operativos y/o emergencias. 004_Servicio de atención a emergencias y desastres</v>
      </c>
      <c r="AE247" s="159" t="str">
        <f>CONCATENATE(U247,V247,W247,X247,AA247)</f>
        <v>O23011745032024025512004</v>
      </c>
      <c r="AF247" s="159" t="str">
        <f>IFERROR(VLOOKUP(AD247,TD!$J$66:$K$89,2,0)," ")</f>
        <v>PM/0131/0112/45030040255</v>
      </c>
      <c r="AG247" s="118" t="s">
        <v>385</v>
      </c>
      <c r="AH247" s="158" t="s">
        <v>193</v>
      </c>
      <c r="AI247" s="161" t="str">
        <f>CONCATENATE(PAA[[#This Row],[Id Interno]],"-",PAA[[#This Row],[tipo de Contrato (TH talento humano - B/S bienes y/o servicios)]],"-",S247,"-",T247,"-",PAA[[#This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48" spans="2:35" ht="84" customHeight="1" x14ac:dyDescent="0.35">
      <c r="B248" s="23">
        <v>20260209</v>
      </c>
      <c r="C248" s="99" t="s">
        <v>536</v>
      </c>
      <c r="D248" s="23" t="s">
        <v>105</v>
      </c>
      <c r="E248" s="23" t="s">
        <v>363</v>
      </c>
      <c r="F248" s="155" t="s">
        <v>144</v>
      </c>
      <c r="G248" s="156" t="s">
        <v>373</v>
      </c>
      <c r="H248" s="157">
        <v>10</v>
      </c>
      <c r="I248" s="157">
        <v>0</v>
      </c>
      <c r="J248" s="127">
        <v>93000000</v>
      </c>
      <c r="K248" s="88" t="s">
        <v>398</v>
      </c>
      <c r="L248" s="155" t="s">
        <v>157</v>
      </c>
      <c r="M248" s="158" t="s">
        <v>512</v>
      </c>
      <c r="N248" s="23" t="s">
        <v>198</v>
      </c>
      <c r="O248" s="151" t="s">
        <v>958</v>
      </c>
      <c r="P248" s="155" t="s">
        <v>348</v>
      </c>
      <c r="Q248" s="53">
        <v>80111600</v>
      </c>
      <c r="R248" s="158" t="s">
        <v>213</v>
      </c>
      <c r="S248" s="158" t="str">
        <f>MID(PAA[[#This Row],[Meta Proyecto de Inversión]],1,4)</f>
        <v>8173</v>
      </c>
      <c r="T248" s="158" t="str">
        <f>MID(PAA[[#This Row],[Meta Proyecto de Inversión]],6,1)</f>
        <v>4</v>
      </c>
      <c r="U248" s="159" t="str">
        <f>IFERROR(VLOOKUP(N248,TD!$B$50:$F$54,2,0)," ")</f>
        <v>O230117</v>
      </c>
      <c r="V248" s="159" t="str">
        <f>IFERROR(VLOOKUP(N248,TD!$B$50:$F$54,3,0)," ")</f>
        <v>4503</v>
      </c>
      <c r="W248" s="159">
        <f>IFERROR(VLOOKUP(N248,TD!$B$50:$F$54,4,0)," ")</f>
        <v>20240255</v>
      </c>
      <c r="X248" s="158" t="s">
        <v>176</v>
      </c>
      <c r="Y248" s="159" t="str">
        <f>IFERROR(VLOOKUP(X248,TD!$J$51:$K$64,2,0)," ")</f>
        <v>Servicio de mantenimiento, dotación (HEA´s y equipo menor) y adquisición de vehiculos   especializados para la atención de emergencias.</v>
      </c>
      <c r="Z248" s="160" t="str">
        <f>CONCATENATE(X248,"-",Y248)</f>
        <v>09-Servicio de mantenimiento, dotación (HEA´s y equipo menor) y adquisición de vehiculos   especializados para la atención de emergencias.</v>
      </c>
      <c r="AA248" s="158" t="s">
        <v>221</v>
      </c>
      <c r="AB248" s="159" t="str">
        <f>IFERROR(VLOOKUP(AA248,TD!$N$51:$O$66,2,0)," ")</f>
        <v>Servicio de atención a emergencias y desastres</v>
      </c>
      <c r="AC248" s="160" t="str">
        <f>CONCATENATE(AA248,"_",AB248)</f>
        <v>004_Servicio de atención a emergencias y desastres</v>
      </c>
      <c r="AD248" s="160" t="str">
        <f>CONCATENATE(Z248," ",AC248)</f>
        <v>09-Servicio de mantenimiento, dotación (HEA´s y equipo menor) y adquisición de vehiculos   especializados para la atención de emergencias. 004_Servicio de atención a emergencias y desastres</v>
      </c>
      <c r="AE248" s="159" t="str">
        <f>CONCATENATE(U248,V248,W248,X248,AA248)</f>
        <v>O23011745032024025509004</v>
      </c>
      <c r="AF248" s="159" t="str">
        <f>IFERROR(VLOOKUP(AD248,TD!$J$66:$K$89,2,0)," ")</f>
        <v>PM/0131/0109/45030040255</v>
      </c>
      <c r="AG248" s="118" t="s">
        <v>385</v>
      </c>
      <c r="AH248" s="158" t="s">
        <v>193</v>
      </c>
      <c r="AI248" s="161" t="str">
        <f>CONCATENATE(PAA[[#This Row],[Id Interno]],"-",PAA[[#This Row],[tipo de Contrato (TH talento humano - B/S bienes y/o servicios)]],"-",S248,"-",T248,"-",PAA[[#This Row],[Objeto de la contratación]])</f>
        <v>20260209-TH-8173-4-Prestación de servicios profesionales para la gestión, seguimiento y control administrativo, técnico y operativo del proceso de mantenimiento del parque automotor a cargo de la Subdirección Logística - SBLG.</v>
      </c>
    </row>
    <row r="249" spans="2:35" ht="84" x14ac:dyDescent="0.35">
      <c r="B249" s="23">
        <v>20260210</v>
      </c>
      <c r="C249" s="99" t="s">
        <v>536</v>
      </c>
      <c r="D249" s="23" t="s">
        <v>105</v>
      </c>
      <c r="E249" s="23" t="s">
        <v>363</v>
      </c>
      <c r="F249" s="155" t="s">
        <v>144</v>
      </c>
      <c r="G249" s="156" t="s">
        <v>373</v>
      </c>
      <c r="H249" s="157">
        <v>9</v>
      </c>
      <c r="I249" s="157">
        <v>0</v>
      </c>
      <c r="J249" s="127">
        <v>72000000</v>
      </c>
      <c r="K249" s="88" t="s">
        <v>398</v>
      </c>
      <c r="L249" s="155" t="s">
        <v>157</v>
      </c>
      <c r="M249" s="158" t="s">
        <v>512</v>
      </c>
      <c r="N249" s="23" t="s">
        <v>198</v>
      </c>
      <c r="O249" s="151" t="s">
        <v>958</v>
      </c>
      <c r="P249" s="155" t="s">
        <v>348</v>
      </c>
      <c r="Q249" s="53">
        <v>80111600</v>
      </c>
      <c r="R249" s="158" t="s">
        <v>213</v>
      </c>
      <c r="S249" s="158" t="str">
        <f>MID(PAA[[#This Row],[Meta Proyecto de Inversión]],1,4)</f>
        <v>8173</v>
      </c>
      <c r="T249" s="158" t="str">
        <f>MID(PAA[[#This Row],[Meta Proyecto de Inversión]],6,1)</f>
        <v>4</v>
      </c>
      <c r="U249" s="159" t="str">
        <f>IFERROR(VLOOKUP(N249,TD!$B$50:$F$54,2,0)," ")</f>
        <v>O230117</v>
      </c>
      <c r="V249" s="159" t="str">
        <f>IFERROR(VLOOKUP(N249,TD!$B$50:$F$54,3,0)," ")</f>
        <v>4503</v>
      </c>
      <c r="W249" s="159">
        <f>IFERROR(VLOOKUP(N249,TD!$B$50:$F$54,4,0)," ")</f>
        <v>20240255</v>
      </c>
      <c r="X249" s="158" t="s">
        <v>176</v>
      </c>
      <c r="Y249" s="159" t="str">
        <f>IFERROR(VLOOKUP(X249,TD!$J$51:$K$64,2,0)," ")</f>
        <v>Servicio de mantenimiento, dotación (HEA´s y equipo menor) y adquisición de vehiculos   especializados para la atención de emergencias.</v>
      </c>
      <c r="Z249" s="160" t="str">
        <f>CONCATENATE(X249,"-",Y249)</f>
        <v>09-Servicio de mantenimiento, dotación (HEA´s y equipo menor) y adquisición de vehiculos   especializados para la atención de emergencias.</v>
      </c>
      <c r="AA249" s="158" t="s">
        <v>221</v>
      </c>
      <c r="AB249" s="159" t="str">
        <f>IFERROR(VLOOKUP(AA249,TD!$N$51:$O$66,2,0)," ")</f>
        <v>Servicio de atención a emergencias y desastres</v>
      </c>
      <c r="AC249" s="160" t="str">
        <f>CONCATENATE(AA249,"_",AB249)</f>
        <v>004_Servicio de atención a emergencias y desastres</v>
      </c>
      <c r="AD249" s="160" t="str">
        <f>CONCATENATE(Z249," ",AC249)</f>
        <v>09-Servicio de mantenimiento, dotación (HEA´s y equipo menor) y adquisición de vehiculos   especializados para la atención de emergencias. 004_Servicio de atención a emergencias y desastres</v>
      </c>
      <c r="AE249" s="159" t="str">
        <f>CONCATENATE(U249,V249,W249,X249,AA249)</f>
        <v>O23011745032024025509004</v>
      </c>
      <c r="AF249" s="159" t="str">
        <f>IFERROR(VLOOKUP(AD249,TD!$J$66:$K$89,2,0)," ")</f>
        <v>PM/0131/0109/45030040255</v>
      </c>
      <c r="AG249" s="118" t="s">
        <v>385</v>
      </c>
      <c r="AH249" s="158" t="s">
        <v>193</v>
      </c>
      <c r="AI249" s="161" t="str">
        <f>CONCATENATE(PAA[[#This Row],[Id Interno]],"-",PAA[[#This Row],[tipo de Contrato (TH talento humano - B/S bienes y/o servicios)]],"-",S249,"-",T249,"-",PAA[[#This Row],[Objeto de la contratación]])</f>
        <v>20260210-TH-8173-4-Prestación de servicios profesionales para la gestión, seguimiento y control administrativo, técnico y operativo del proceso de mantenimiento del parque automotor a cargo de la Subdirección Logística - SBLG.</v>
      </c>
    </row>
    <row r="250" spans="2:35" ht="84" x14ac:dyDescent="0.35">
      <c r="B250" s="23">
        <v>20260211</v>
      </c>
      <c r="C250" s="99" t="s">
        <v>838</v>
      </c>
      <c r="D250" s="23" t="s">
        <v>105</v>
      </c>
      <c r="E250" s="23" t="s">
        <v>363</v>
      </c>
      <c r="F250" s="155" t="s">
        <v>144</v>
      </c>
      <c r="G250" s="156" t="s">
        <v>373</v>
      </c>
      <c r="H250" s="157">
        <v>7</v>
      </c>
      <c r="I250" s="157">
        <v>0</v>
      </c>
      <c r="J250" s="127">
        <v>52500000</v>
      </c>
      <c r="K250" s="88" t="s">
        <v>398</v>
      </c>
      <c r="L250" s="155" t="s">
        <v>157</v>
      </c>
      <c r="M250" s="158" t="s">
        <v>512</v>
      </c>
      <c r="N250" s="23" t="s">
        <v>198</v>
      </c>
      <c r="O250" s="151" t="s">
        <v>958</v>
      </c>
      <c r="P250" s="155" t="s">
        <v>348</v>
      </c>
      <c r="Q250" s="53">
        <v>80111600</v>
      </c>
      <c r="R250" s="158" t="s">
        <v>213</v>
      </c>
      <c r="S250" s="158" t="str">
        <f>MID(PAA[[#This Row],[Meta Proyecto de Inversión]],1,4)</f>
        <v>8173</v>
      </c>
      <c r="T250" s="158" t="str">
        <f>MID(PAA[[#This Row],[Meta Proyecto de Inversión]],6,1)</f>
        <v>4</v>
      </c>
      <c r="U250" s="159" t="str">
        <f>IFERROR(VLOOKUP(N250,TD!$B$50:$F$54,2,0)," ")</f>
        <v>O230117</v>
      </c>
      <c r="V250" s="159" t="str">
        <f>IFERROR(VLOOKUP(N250,TD!$B$50:$F$54,3,0)," ")</f>
        <v>4503</v>
      </c>
      <c r="W250" s="159">
        <f>IFERROR(VLOOKUP(N250,TD!$B$50:$F$54,4,0)," ")</f>
        <v>20240255</v>
      </c>
      <c r="X250" s="158" t="s">
        <v>176</v>
      </c>
      <c r="Y250" s="159" t="str">
        <f>IFERROR(VLOOKUP(X250,TD!$J$51:$K$64,2,0)," ")</f>
        <v>Servicio de mantenimiento, dotación (HEA´s y equipo menor) y adquisición de vehiculos   especializados para la atención de emergencias.</v>
      </c>
      <c r="Z250" s="160" t="str">
        <f>CONCATENATE(X250,"-",Y250)</f>
        <v>09-Servicio de mantenimiento, dotación (HEA´s y equipo menor) y adquisición de vehiculos   especializados para la atención de emergencias.</v>
      </c>
      <c r="AA250" s="158" t="s">
        <v>221</v>
      </c>
      <c r="AB250" s="159" t="str">
        <f>IFERROR(VLOOKUP(AA250,TD!$N$51:$O$66,2,0)," ")</f>
        <v>Servicio de atención a emergencias y desastres</v>
      </c>
      <c r="AC250" s="160" t="str">
        <f>CONCATENATE(AA250,"_",AB250)</f>
        <v>004_Servicio de atención a emergencias y desastres</v>
      </c>
      <c r="AD250" s="160" t="str">
        <f>CONCATENATE(Z250," ",AC250)</f>
        <v>09-Servicio de mantenimiento, dotación (HEA´s y equipo menor) y adquisición de vehiculos   especializados para la atención de emergencias. 004_Servicio de atención a emergencias y desastres</v>
      </c>
      <c r="AE250" s="159" t="str">
        <f>CONCATENATE(U250,V250,W250,X250,AA250)</f>
        <v>O23011745032024025509004</v>
      </c>
      <c r="AF250" s="159" t="str">
        <f>IFERROR(VLOOKUP(AD250,TD!$J$66:$K$89,2,0)," ")</f>
        <v>PM/0131/0109/45030040255</v>
      </c>
      <c r="AG250" s="118" t="s">
        <v>385</v>
      </c>
      <c r="AH250" s="158" t="s">
        <v>193</v>
      </c>
      <c r="AI250" s="161" t="str">
        <f>CONCATENATE(PAA[[#This Row],[Id Interno]],"-",PAA[[#This Row],[tipo de Contrato (TH talento humano - B/S bienes y/o servicios)]],"-",S250,"-",T250,"-",PAA[[#This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51" spans="2:35" ht="84" x14ac:dyDescent="0.35">
      <c r="B251" s="23">
        <v>20260212</v>
      </c>
      <c r="C251" s="99" t="s">
        <v>839</v>
      </c>
      <c r="D251" s="23" t="s">
        <v>105</v>
      </c>
      <c r="E251" s="23" t="s">
        <v>363</v>
      </c>
      <c r="F251" s="155" t="s">
        <v>144</v>
      </c>
      <c r="G251" s="156" t="s">
        <v>373</v>
      </c>
      <c r="H251" s="157">
        <v>10</v>
      </c>
      <c r="I251" s="157">
        <v>0</v>
      </c>
      <c r="J251" s="127">
        <v>80000000</v>
      </c>
      <c r="K251" s="88" t="s">
        <v>398</v>
      </c>
      <c r="L251" s="155" t="s">
        <v>157</v>
      </c>
      <c r="M251" s="158" t="s">
        <v>512</v>
      </c>
      <c r="N251" s="23" t="s">
        <v>198</v>
      </c>
      <c r="O251" s="151" t="s">
        <v>958</v>
      </c>
      <c r="P251" s="155" t="s">
        <v>348</v>
      </c>
      <c r="Q251" s="53">
        <v>80111600</v>
      </c>
      <c r="R251" s="158" t="s">
        <v>213</v>
      </c>
      <c r="S251" s="158" t="str">
        <f>MID(PAA[[#This Row],[Meta Proyecto de Inversión]],1,4)</f>
        <v>8173</v>
      </c>
      <c r="T251" s="158" t="str">
        <f>MID(PAA[[#This Row],[Meta Proyecto de Inversión]],6,1)</f>
        <v>4</v>
      </c>
      <c r="U251" s="159" t="str">
        <f>IFERROR(VLOOKUP(N251,TD!$B$50:$F$54,2,0)," ")</f>
        <v>O230117</v>
      </c>
      <c r="V251" s="159" t="str">
        <f>IFERROR(VLOOKUP(N251,TD!$B$50:$F$54,3,0)," ")</f>
        <v>4503</v>
      </c>
      <c r="W251" s="159">
        <f>IFERROR(VLOOKUP(N251,TD!$B$50:$F$54,4,0)," ")</f>
        <v>20240255</v>
      </c>
      <c r="X251" s="158" t="s">
        <v>176</v>
      </c>
      <c r="Y251" s="159" t="str">
        <f>IFERROR(VLOOKUP(X251,TD!$J$51:$K$64,2,0)," ")</f>
        <v>Servicio de mantenimiento, dotación (HEA´s y equipo menor) y adquisición de vehiculos   especializados para la atención de emergencias.</v>
      </c>
      <c r="Z251" s="160" t="str">
        <f>CONCATENATE(X251,"-",Y251)</f>
        <v>09-Servicio de mantenimiento, dotación (HEA´s y equipo menor) y adquisición de vehiculos   especializados para la atención de emergencias.</v>
      </c>
      <c r="AA251" s="158" t="s">
        <v>221</v>
      </c>
      <c r="AB251" s="159" t="str">
        <f>IFERROR(VLOOKUP(AA251,TD!$N$51:$O$66,2,0)," ")</f>
        <v>Servicio de atención a emergencias y desastres</v>
      </c>
      <c r="AC251" s="160" t="str">
        <f>CONCATENATE(AA251,"_",AB251)</f>
        <v>004_Servicio de atención a emergencias y desastres</v>
      </c>
      <c r="AD251" s="160" t="str">
        <f>CONCATENATE(Z251," ",AC251)</f>
        <v>09-Servicio de mantenimiento, dotación (HEA´s y equipo menor) y adquisición de vehiculos   especializados para la atención de emergencias. 004_Servicio de atención a emergencias y desastres</v>
      </c>
      <c r="AE251" s="159" t="str">
        <f>CONCATENATE(U251,V251,W251,X251,AA251)</f>
        <v>O23011745032024025509004</v>
      </c>
      <c r="AF251" s="159" t="str">
        <f>IFERROR(VLOOKUP(AD251,TD!$J$66:$K$89,2,0)," ")</f>
        <v>PM/0131/0109/45030040255</v>
      </c>
      <c r="AG251" s="118" t="s">
        <v>385</v>
      </c>
      <c r="AH251" s="158" t="s">
        <v>193</v>
      </c>
      <c r="AI251" s="161" t="str">
        <f>CONCATENATE(PAA[[#This Row],[Id Interno]],"-",PAA[[#This Row],[tipo de Contrato (TH talento humano - B/S bienes y/o servicios)]],"-",S251,"-",T251,"-",PAA[[#This Row],[Objeto de la contratación]])</f>
        <v>20260212-TH-8173-4-Prestación de servicios profesionales para la gestión, seguimiento y control  técnico y operativo del proceso de mantenimiento del parque automotor a cargo de la Subdirección Logística - SBLG.</v>
      </c>
    </row>
    <row r="252" spans="2:35" ht="84" x14ac:dyDescent="0.35">
      <c r="B252" s="23">
        <v>20260213</v>
      </c>
      <c r="C252" s="99" t="s">
        <v>667</v>
      </c>
      <c r="D252" s="23" t="s">
        <v>105</v>
      </c>
      <c r="E252" s="23" t="s">
        <v>363</v>
      </c>
      <c r="F252" s="155" t="s">
        <v>144</v>
      </c>
      <c r="G252" s="156" t="s">
        <v>373</v>
      </c>
      <c r="H252" s="157">
        <v>9</v>
      </c>
      <c r="I252" s="157">
        <v>0</v>
      </c>
      <c r="J252" s="127">
        <v>40500000</v>
      </c>
      <c r="K252" s="88" t="s">
        <v>398</v>
      </c>
      <c r="L252" s="155" t="s">
        <v>157</v>
      </c>
      <c r="M252" s="158" t="s">
        <v>512</v>
      </c>
      <c r="N252" s="23" t="s">
        <v>198</v>
      </c>
      <c r="O252" s="151" t="s">
        <v>958</v>
      </c>
      <c r="P252" s="155" t="s">
        <v>348</v>
      </c>
      <c r="Q252" s="53">
        <v>80111600</v>
      </c>
      <c r="R252" s="158" t="s">
        <v>213</v>
      </c>
      <c r="S252" s="158" t="str">
        <f>MID(PAA[[#This Row],[Meta Proyecto de Inversión]],1,4)</f>
        <v>8173</v>
      </c>
      <c r="T252" s="158" t="str">
        <f>MID(PAA[[#This Row],[Meta Proyecto de Inversión]],6,1)</f>
        <v>4</v>
      </c>
      <c r="U252" s="159" t="str">
        <f>IFERROR(VLOOKUP(N252,TD!$B$50:$F$54,2,0)," ")</f>
        <v>O230117</v>
      </c>
      <c r="V252" s="159" t="str">
        <f>IFERROR(VLOOKUP(N252,TD!$B$50:$F$54,3,0)," ")</f>
        <v>4503</v>
      </c>
      <c r="W252" s="159">
        <f>IFERROR(VLOOKUP(N252,TD!$B$50:$F$54,4,0)," ")</f>
        <v>20240255</v>
      </c>
      <c r="X252" s="158" t="s">
        <v>176</v>
      </c>
      <c r="Y252" s="159" t="str">
        <f>IFERROR(VLOOKUP(X252,TD!$J$51:$K$64,2,0)," ")</f>
        <v>Servicio de mantenimiento, dotación (HEA´s y equipo menor) y adquisición de vehiculos   especializados para la atención de emergencias.</v>
      </c>
      <c r="Z252" s="160" t="str">
        <f>CONCATENATE(X252,"-",Y252)</f>
        <v>09-Servicio de mantenimiento, dotación (HEA´s y equipo menor) y adquisición de vehiculos   especializados para la atención de emergencias.</v>
      </c>
      <c r="AA252" s="158" t="s">
        <v>221</v>
      </c>
      <c r="AB252" s="159" t="str">
        <f>IFERROR(VLOOKUP(AA252,TD!$N$51:$O$66,2,0)," ")</f>
        <v>Servicio de atención a emergencias y desastres</v>
      </c>
      <c r="AC252" s="160" t="str">
        <f>CONCATENATE(AA252,"_",AB252)</f>
        <v>004_Servicio de atención a emergencias y desastres</v>
      </c>
      <c r="AD252" s="160" t="str">
        <f>CONCATENATE(Z252," ",AC252)</f>
        <v>09-Servicio de mantenimiento, dotación (HEA´s y equipo menor) y adquisición de vehiculos   especializados para la atención de emergencias. 004_Servicio de atención a emergencias y desastres</v>
      </c>
      <c r="AE252" s="159" t="str">
        <f>CONCATENATE(U252,V252,W252,X252,AA252)</f>
        <v>O23011745032024025509004</v>
      </c>
      <c r="AF252" s="159" t="str">
        <f>IFERROR(VLOOKUP(AD252,TD!$J$66:$K$89,2,0)," ")</f>
        <v>PM/0131/0109/45030040255</v>
      </c>
      <c r="AG252" s="118" t="s">
        <v>385</v>
      </c>
      <c r="AH252" s="158" t="s">
        <v>193</v>
      </c>
      <c r="AI252" s="161" t="str">
        <f>CONCATENATE(PAA[[#This Row],[Id Interno]],"-",PAA[[#This Row],[tipo de Contrato (TH talento humano - B/S bienes y/o servicios)]],"-",S252,"-",T252,"-",PAA[[#This Row],[Objeto de la contratación]])</f>
        <v>20260213-TH-8173-4-Prestar servicios profesionales en las actividades administrativas y financieras que requieran los procesos para el desarrollo de las estrategías de la Subdirección Logística- SBLG</v>
      </c>
    </row>
    <row r="253" spans="2:35" ht="56" x14ac:dyDescent="0.35">
      <c r="B253" s="23">
        <v>20260214</v>
      </c>
      <c r="C253" s="99" t="s">
        <v>954</v>
      </c>
      <c r="D253" s="23" t="s">
        <v>105</v>
      </c>
      <c r="E253" s="23" t="s">
        <v>363</v>
      </c>
      <c r="F253" s="155" t="s">
        <v>145</v>
      </c>
      <c r="G253" s="156" t="s">
        <v>373</v>
      </c>
      <c r="H253" s="157">
        <v>5</v>
      </c>
      <c r="I253" s="157">
        <v>0</v>
      </c>
      <c r="J253" s="127">
        <v>16400000</v>
      </c>
      <c r="K253" s="88" t="s">
        <v>398</v>
      </c>
      <c r="L253" s="155" t="s">
        <v>157</v>
      </c>
      <c r="M253" s="158" t="s">
        <v>512</v>
      </c>
      <c r="N253" s="23" t="s">
        <v>198</v>
      </c>
      <c r="O253" s="151" t="s">
        <v>958</v>
      </c>
      <c r="P253" s="155" t="s">
        <v>348</v>
      </c>
      <c r="Q253" s="53">
        <v>80111600</v>
      </c>
      <c r="R253" s="158" t="s">
        <v>213</v>
      </c>
      <c r="S253" s="158" t="str">
        <f>MID(PAA[[#This Row],[Meta Proyecto de Inversión]],1,4)</f>
        <v>8173</v>
      </c>
      <c r="T253" s="158" t="str">
        <f>MID(PAA[[#This Row],[Meta Proyecto de Inversión]],6,1)</f>
        <v>4</v>
      </c>
      <c r="U253" s="159" t="str">
        <f>IFERROR(VLOOKUP(N253,TD!$B$50:$F$54,2,0)," ")</f>
        <v>O230117</v>
      </c>
      <c r="V253" s="159" t="str">
        <f>IFERROR(VLOOKUP(N253,TD!$B$50:$F$54,3,0)," ")</f>
        <v>4503</v>
      </c>
      <c r="W253" s="159">
        <f>IFERROR(VLOOKUP(N253,TD!$B$50:$F$54,4,0)," ")</f>
        <v>20240255</v>
      </c>
      <c r="X253" s="158" t="s">
        <v>176</v>
      </c>
      <c r="Y253" s="159" t="str">
        <f>IFERROR(VLOOKUP(X253,TD!$J$51:$K$64,2,0)," ")</f>
        <v>Servicio de mantenimiento, dotación (HEA´s y equipo menor) y adquisición de vehiculos   especializados para la atención de emergencias.</v>
      </c>
      <c r="Z253" s="160" t="str">
        <f>CONCATENATE(X253,"-",Y253)</f>
        <v>09-Servicio de mantenimiento, dotación (HEA´s y equipo menor) y adquisición de vehiculos   especializados para la atención de emergencias.</v>
      </c>
      <c r="AA253" s="158" t="s">
        <v>221</v>
      </c>
      <c r="AB253" s="159" t="str">
        <f>IFERROR(VLOOKUP(AA253,TD!$N$51:$O$66,2,0)," ")</f>
        <v>Servicio de atención a emergencias y desastres</v>
      </c>
      <c r="AC253" s="160" t="str">
        <f>CONCATENATE(AA253,"_",AB253)</f>
        <v>004_Servicio de atención a emergencias y desastres</v>
      </c>
      <c r="AD253" s="160" t="str">
        <f>CONCATENATE(Z253," ",AC253)</f>
        <v>09-Servicio de mantenimiento, dotación (HEA´s y equipo menor) y adquisición de vehiculos   especializados para la atención de emergencias. 004_Servicio de atención a emergencias y desastres</v>
      </c>
      <c r="AE253" s="159" t="str">
        <f>CONCATENATE(U253,V253,W253,X253,AA253)</f>
        <v>O23011745032024025509004</v>
      </c>
      <c r="AF253" s="159" t="str">
        <f>IFERROR(VLOOKUP(AD253,TD!$J$66:$K$89,2,0)," ")</f>
        <v>PM/0131/0109/45030040255</v>
      </c>
      <c r="AG253" s="118" t="s">
        <v>385</v>
      </c>
      <c r="AH253" s="158" t="s">
        <v>193</v>
      </c>
      <c r="AI253" s="161" t="str">
        <f>CONCATENATE(PAA[[#This Row],[Id Interno]],"-",PAA[[#This Row],[tipo de Contrato (TH talento humano - B/S bienes y/o servicios)]],"-",S253,"-",T253,"-",PAA[[#This Row],[Objeto de la contratación]])</f>
        <v>20260214-TH-8173-4-Prestar servicios de apoyo a la gestión en el manejo de las herramientas tecnológicas en la recepción diligenciamiento y trámite asociadas a la mesa logística. – SBLG</v>
      </c>
    </row>
    <row r="254" spans="2:35" ht="56" x14ac:dyDescent="0.35">
      <c r="B254" s="23">
        <v>20260215</v>
      </c>
      <c r="C254" s="99" t="s">
        <v>840</v>
      </c>
      <c r="D254" s="23" t="s">
        <v>105</v>
      </c>
      <c r="E254" s="23" t="s">
        <v>363</v>
      </c>
      <c r="F254" s="155" t="s">
        <v>145</v>
      </c>
      <c r="G254" s="156" t="s">
        <v>373</v>
      </c>
      <c r="H254" s="157">
        <v>8</v>
      </c>
      <c r="I254" s="157">
        <v>0</v>
      </c>
      <c r="J254" s="127">
        <v>28800000</v>
      </c>
      <c r="K254" s="88" t="s">
        <v>398</v>
      </c>
      <c r="L254" s="155" t="s">
        <v>157</v>
      </c>
      <c r="M254" s="158" t="s">
        <v>512</v>
      </c>
      <c r="N254" s="23" t="s">
        <v>198</v>
      </c>
      <c r="O254" s="151" t="s">
        <v>958</v>
      </c>
      <c r="P254" s="155" t="s">
        <v>348</v>
      </c>
      <c r="Q254" s="53">
        <v>80111600</v>
      </c>
      <c r="R254" s="158" t="s">
        <v>213</v>
      </c>
      <c r="S254" s="158" t="str">
        <f>MID(PAA[[#This Row],[Meta Proyecto de Inversión]],1,4)</f>
        <v>8173</v>
      </c>
      <c r="T254" s="158" t="str">
        <f>MID(PAA[[#This Row],[Meta Proyecto de Inversión]],6,1)</f>
        <v>4</v>
      </c>
      <c r="U254" s="159" t="str">
        <f>IFERROR(VLOOKUP(N254,TD!$B$50:$F$54,2,0)," ")</f>
        <v>O230117</v>
      </c>
      <c r="V254" s="159" t="str">
        <f>IFERROR(VLOOKUP(N254,TD!$B$50:$F$54,3,0)," ")</f>
        <v>4503</v>
      </c>
      <c r="W254" s="159">
        <f>IFERROR(VLOOKUP(N254,TD!$B$50:$F$54,4,0)," ")</f>
        <v>20240255</v>
      </c>
      <c r="X254" s="158" t="s">
        <v>176</v>
      </c>
      <c r="Y254" s="159" t="str">
        <f>IFERROR(VLOOKUP(X254,TD!$J$51:$K$64,2,0)," ")</f>
        <v>Servicio de mantenimiento, dotación (HEA´s y equipo menor) y adquisición de vehiculos   especializados para la atención de emergencias.</v>
      </c>
      <c r="Z254" s="160" t="str">
        <f>CONCATENATE(X254,"-",Y254)</f>
        <v>09-Servicio de mantenimiento, dotación (HEA´s y equipo menor) y adquisición de vehiculos   especializados para la atención de emergencias.</v>
      </c>
      <c r="AA254" s="158" t="s">
        <v>221</v>
      </c>
      <c r="AB254" s="159" t="str">
        <f>IFERROR(VLOOKUP(AA254,TD!$N$51:$O$66,2,0)," ")</f>
        <v>Servicio de atención a emergencias y desastres</v>
      </c>
      <c r="AC254" s="160" t="str">
        <f>CONCATENATE(AA254,"_",AB254)</f>
        <v>004_Servicio de atención a emergencias y desastres</v>
      </c>
      <c r="AD254" s="160" t="str">
        <f>CONCATENATE(Z254," ",AC254)</f>
        <v>09-Servicio de mantenimiento, dotación (HEA´s y equipo menor) y adquisición de vehiculos   especializados para la atención de emergencias. 004_Servicio de atención a emergencias y desastres</v>
      </c>
      <c r="AE254" s="159" t="str">
        <f>CONCATENATE(U254,V254,W254,X254,AA254)</f>
        <v>O23011745032024025509004</v>
      </c>
      <c r="AF254" s="159" t="str">
        <f>IFERROR(VLOOKUP(AD254,TD!$J$66:$K$89,2,0)," ")</f>
        <v>PM/0131/0109/45030040255</v>
      </c>
      <c r="AG254" s="118" t="s">
        <v>385</v>
      </c>
      <c r="AH254" s="158" t="s">
        <v>193</v>
      </c>
      <c r="AI254" s="161" t="str">
        <f>CONCATENATE(PAA[[#This Row],[Id Interno]],"-",PAA[[#This Row],[tipo de Contrato (TH talento humano - B/S bienes y/o servicios)]],"-",S254,"-",T254,"-",PAA[[#This Row],[Objeto de la contratación]])</f>
        <v>20260215-TH-8173-4-Prestar servicios de apoyo técnico en la gestión documental, administrando y diligenciando las bases de datos, y demás documentos para el desarrollo de las estrategias de la Subdirección logística. -SBLG</v>
      </c>
    </row>
    <row r="255" spans="2:35" ht="70" x14ac:dyDescent="0.35">
      <c r="B255" s="23">
        <v>20260216</v>
      </c>
      <c r="C255" s="99" t="s">
        <v>537</v>
      </c>
      <c r="D255" s="23" t="s">
        <v>105</v>
      </c>
      <c r="E255" s="23" t="s">
        <v>363</v>
      </c>
      <c r="F255" s="155" t="s">
        <v>145</v>
      </c>
      <c r="G255" s="156" t="s">
        <v>373</v>
      </c>
      <c r="H255" s="157">
        <v>9</v>
      </c>
      <c r="I255" s="157">
        <v>0</v>
      </c>
      <c r="J255" s="127">
        <v>32400000</v>
      </c>
      <c r="K255" s="88" t="s">
        <v>398</v>
      </c>
      <c r="L255" s="155" t="s">
        <v>157</v>
      </c>
      <c r="M255" s="158" t="s">
        <v>512</v>
      </c>
      <c r="N255" s="23" t="s">
        <v>198</v>
      </c>
      <c r="O255" s="151" t="s">
        <v>958</v>
      </c>
      <c r="P255" s="155" t="s">
        <v>348</v>
      </c>
      <c r="Q255" s="53">
        <v>80111600</v>
      </c>
      <c r="R255" s="158" t="s">
        <v>213</v>
      </c>
      <c r="S255" s="158" t="str">
        <f>MID(PAA[[#This Row],[Meta Proyecto de Inversión]],1,4)</f>
        <v>8173</v>
      </c>
      <c r="T255" s="158" t="str">
        <f>MID(PAA[[#This Row],[Meta Proyecto de Inversión]],6,1)</f>
        <v>4</v>
      </c>
      <c r="U255" s="159" t="str">
        <f>IFERROR(VLOOKUP(N255,TD!$B$50:$F$54,2,0)," ")</f>
        <v>O230117</v>
      </c>
      <c r="V255" s="159" t="str">
        <f>IFERROR(VLOOKUP(N255,TD!$B$50:$F$54,3,0)," ")</f>
        <v>4503</v>
      </c>
      <c r="W255" s="159">
        <f>IFERROR(VLOOKUP(N255,TD!$B$50:$F$54,4,0)," ")</f>
        <v>20240255</v>
      </c>
      <c r="X255" s="158" t="s">
        <v>176</v>
      </c>
      <c r="Y255" s="159" t="str">
        <f>IFERROR(VLOOKUP(X255,TD!$J$51:$K$64,2,0)," ")</f>
        <v>Servicio de mantenimiento, dotación (HEA´s y equipo menor) y adquisición de vehiculos   especializados para la atención de emergencias.</v>
      </c>
      <c r="Z255" s="160" t="str">
        <f>CONCATENATE(X255,"-",Y255)</f>
        <v>09-Servicio de mantenimiento, dotación (HEA´s y equipo menor) y adquisición de vehiculos   especializados para la atención de emergencias.</v>
      </c>
      <c r="AA255" s="158" t="s">
        <v>221</v>
      </c>
      <c r="AB255" s="159" t="str">
        <f>IFERROR(VLOOKUP(AA255,TD!$N$51:$O$66,2,0)," ")</f>
        <v>Servicio de atención a emergencias y desastres</v>
      </c>
      <c r="AC255" s="160" t="str">
        <f>CONCATENATE(AA255,"_",AB255)</f>
        <v>004_Servicio de atención a emergencias y desastres</v>
      </c>
      <c r="AD255" s="160" t="str">
        <f>CONCATENATE(Z255," ",AC255)</f>
        <v>09-Servicio de mantenimiento, dotación (HEA´s y equipo menor) y adquisición de vehiculos   especializados para la atención de emergencias. 004_Servicio de atención a emergencias y desastres</v>
      </c>
      <c r="AE255" s="159" t="str">
        <f>CONCATENATE(U255,V255,W255,X255,AA255)</f>
        <v>O23011745032024025509004</v>
      </c>
      <c r="AF255" s="159" t="str">
        <f>IFERROR(VLOOKUP(AD255,TD!$J$66:$K$89,2,0)," ")</f>
        <v>PM/0131/0109/45030040255</v>
      </c>
      <c r="AG255" s="118" t="s">
        <v>385</v>
      </c>
      <c r="AH255" s="158" t="s">
        <v>193</v>
      </c>
      <c r="AI255" s="161" t="str">
        <f>CONCATENATE(PAA[[#This Row],[Id Interno]],"-",PAA[[#This Row],[tipo de Contrato (TH talento humano - B/S bienes y/o servicios)]],"-",S255,"-",T255,"-",PAA[[#This Row],[Objeto de la contratación]])</f>
        <v>20260216-TH-8173-4-Prestar servicio de apoyo a la gestión para asistir a la Subdirección Logística en el seguimiento técnico y administrativo de los mantenimientos requeridos en la Subdirección Logística - SBLG</v>
      </c>
    </row>
    <row r="256" spans="2:35" ht="56" x14ac:dyDescent="0.35">
      <c r="B256" s="23">
        <v>20260217</v>
      </c>
      <c r="C256" s="99" t="s">
        <v>841</v>
      </c>
      <c r="D256" s="23" t="s">
        <v>105</v>
      </c>
      <c r="E256" s="23" t="s">
        <v>363</v>
      </c>
      <c r="F256" s="155" t="s">
        <v>144</v>
      </c>
      <c r="G256" s="156" t="s">
        <v>373</v>
      </c>
      <c r="H256" s="157">
        <v>11</v>
      </c>
      <c r="I256" s="157">
        <v>0</v>
      </c>
      <c r="J256" s="127">
        <v>99000000</v>
      </c>
      <c r="K256" s="88" t="s">
        <v>398</v>
      </c>
      <c r="L256" s="155" t="s">
        <v>157</v>
      </c>
      <c r="M256" s="158" t="s">
        <v>512</v>
      </c>
      <c r="N256" s="23" t="s">
        <v>198</v>
      </c>
      <c r="O256" s="151" t="s">
        <v>958</v>
      </c>
      <c r="P256" s="155" t="s">
        <v>161</v>
      </c>
      <c r="Q256" s="53">
        <v>80111600</v>
      </c>
      <c r="R256" s="158" t="s">
        <v>213</v>
      </c>
      <c r="S256" s="158" t="str">
        <f>MID(PAA[[#This Row],[Meta Proyecto de Inversión]],1,4)</f>
        <v>8173</v>
      </c>
      <c r="T256" s="158" t="str">
        <f>MID(PAA[[#This Row],[Meta Proyecto de Inversión]],6,1)</f>
        <v>4</v>
      </c>
      <c r="U256" s="159" t="str">
        <f>IFERROR(VLOOKUP(N256,TD!$B$50:$F$54,2,0)," ")</f>
        <v>O230117</v>
      </c>
      <c r="V256" s="159" t="str">
        <f>IFERROR(VLOOKUP(N256,TD!$B$50:$F$54,3,0)," ")</f>
        <v>4503</v>
      </c>
      <c r="W256" s="159">
        <f>IFERROR(VLOOKUP(N256,TD!$B$50:$F$54,4,0)," ")</f>
        <v>20240255</v>
      </c>
      <c r="X256" s="158" t="s">
        <v>180</v>
      </c>
      <c r="Y256" s="159" t="str">
        <f>IFERROR(VLOOKUP(X256,TD!$J$51:$K$64,2,0)," ")</f>
        <v>Servicio de apoyo   logístico  en eventos operativos y/o emergencias.</v>
      </c>
      <c r="Z256" s="160" t="str">
        <f>CONCATENATE(X256,"-",Y256)</f>
        <v>12-Servicio de apoyo   logístico  en eventos operativos y/o emergencias.</v>
      </c>
      <c r="AA256" s="158" t="s">
        <v>221</v>
      </c>
      <c r="AB256" s="159" t="str">
        <f>IFERROR(VLOOKUP(AA256,TD!$N$51:$O$66,2,0)," ")</f>
        <v>Servicio de atención a emergencias y desastres</v>
      </c>
      <c r="AC256" s="160" t="str">
        <f>CONCATENATE(AA256,"_",AB256)</f>
        <v>004_Servicio de atención a emergencias y desastres</v>
      </c>
      <c r="AD256" s="160" t="str">
        <f>CONCATENATE(Z256," ",AC256)</f>
        <v>12-Servicio de apoyo   logístico  en eventos operativos y/o emergencias. 004_Servicio de atención a emergencias y desastres</v>
      </c>
      <c r="AE256" s="159" t="str">
        <f>CONCATENATE(U256,V256,W256,X256,AA256)</f>
        <v>O23011745032024025512004</v>
      </c>
      <c r="AF256" s="159" t="str">
        <f>IFERROR(VLOOKUP(AD256,TD!$J$66:$K$89,2,0)," ")</f>
        <v>PM/0131/0112/45030040255</v>
      </c>
      <c r="AG256" s="118" t="s">
        <v>385</v>
      </c>
      <c r="AH256" s="158" t="s">
        <v>193</v>
      </c>
      <c r="AI256" s="161" t="str">
        <f>CONCATENATE(PAA[[#This Row],[Id Interno]],"-",PAA[[#This Row],[tipo de Contrato (TH talento humano - B/S bienes y/o servicios)]],"-",S256,"-",T256,"-",PAA[[#This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257" spans="2:35" ht="140" x14ac:dyDescent="0.35">
      <c r="B257" s="23">
        <v>20260218</v>
      </c>
      <c r="C257" s="99" t="s">
        <v>842</v>
      </c>
      <c r="D257" s="23" t="s">
        <v>105</v>
      </c>
      <c r="E257" s="23" t="s">
        <v>363</v>
      </c>
      <c r="F257" s="155" t="s">
        <v>145</v>
      </c>
      <c r="G257" s="156" t="s">
        <v>373</v>
      </c>
      <c r="H257" s="157">
        <v>4</v>
      </c>
      <c r="I257" s="157">
        <v>0</v>
      </c>
      <c r="J257" s="127">
        <v>13120000</v>
      </c>
      <c r="K257" s="88" t="s">
        <v>398</v>
      </c>
      <c r="L257" s="155" t="s">
        <v>157</v>
      </c>
      <c r="M257" s="158" t="s">
        <v>512</v>
      </c>
      <c r="N257" s="23" t="s">
        <v>198</v>
      </c>
      <c r="O257" s="151" t="s">
        <v>958</v>
      </c>
      <c r="P257" s="155" t="s">
        <v>348</v>
      </c>
      <c r="Q257" s="53">
        <v>80111600</v>
      </c>
      <c r="R257" s="158" t="s">
        <v>213</v>
      </c>
      <c r="S257" s="158" t="str">
        <f>MID(PAA[[#This Row],[Meta Proyecto de Inversión]],1,4)</f>
        <v>8173</v>
      </c>
      <c r="T257" s="158" t="str">
        <f>MID(PAA[[#This Row],[Meta Proyecto de Inversión]],6,1)</f>
        <v>4</v>
      </c>
      <c r="U257" s="159" t="str">
        <f>IFERROR(VLOOKUP(N257,TD!$B$50:$F$54,2,0)," ")</f>
        <v>O230117</v>
      </c>
      <c r="V257" s="159" t="str">
        <f>IFERROR(VLOOKUP(N257,TD!$B$50:$F$54,3,0)," ")</f>
        <v>4503</v>
      </c>
      <c r="W257" s="159">
        <f>IFERROR(VLOOKUP(N257,TD!$B$50:$F$54,4,0)," ")</f>
        <v>20240255</v>
      </c>
      <c r="X257" s="158" t="s">
        <v>180</v>
      </c>
      <c r="Y257" s="159" t="str">
        <f>IFERROR(VLOOKUP(X257,TD!$J$51:$K$64,2,0)," ")</f>
        <v>Servicio de apoyo   logístico  en eventos operativos y/o emergencias.</v>
      </c>
      <c r="Z257" s="160" t="str">
        <f>CONCATENATE(X257,"-",Y257)</f>
        <v>12-Servicio de apoyo   logístico  en eventos operativos y/o emergencias.</v>
      </c>
      <c r="AA257" s="158" t="s">
        <v>221</v>
      </c>
      <c r="AB257" s="159" t="str">
        <f>IFERROR(VLOOKUP(AA257,TD!$N$51:$O$66,2,0)," ")</f>
        <v>Servicio de atención a emergencias y desastres</v>
      </c>
      <c r="AC257" s="160" t="str">
        <f>CONCATENATE(AA257,"_",AB257)</f>
        <v>004_Servicio de atención a emergencias y desastres</v>
      </c>
      <c r="AD257" s="160" t="str">
        <f>CONCATENATE(Z257," ",AC257)</f>
        <v>12-Servicio de apoyo   logístico  en eventos operativos y/o emergencias. 004_Servicio de atención a emergencias y desastres</v>
      </c>
      <c r="AE257" s="159" t="str">
        <f>CONCATENATE(U257,V257,W257,X257,AA257)</f>
        <v>O23011745032024025512004</v>
      </c>
      <c r="AF257" s="159" t="str">
        <f>IFERROR(VLOOKUP(AD257,TD!$J$66:$K$89,2,0)," ")</f>
        <v>PM/0131/0112/45030040255</v>
      </c>
      <c r="AG257" s="118" t="s">
        <v>385</v>
      </c>
      <c r="AH257" s="158" t="s">
        <v>193</v>
      </c>
      <c r="AI257" s="161" t="str">
        <f>CONCATENATE(PAA[[#This Row],[Id Interno]],"-",PAA[[#This Row],[tipo de Contrato (TH talento humano - B/S bienes y/o servicios)]],"-",S257,"-",T257,"-",PAA[[#This Row],[Objeto de la contratación]])</f>
        <v>20260218-TH-8173-4-Prestar servicios de apoyo a la gestión en actividades administrativas y documentales para el desarrollo de las estrategías de la Subdirección Logística - SBLG</v>
      </c>
    </row>
    <row r="258" spans="2:35" ht="56" x14ac:dyDescent="0.35">
      <c r="B258" s="23">
        <v>20260219</v>
      </c>
      <c r="C258" s="99" t="s">
        <v>843</v>
      </c>
      <c r="D258" s="23" t="s">
        <v>105</v>
      </c>
      <c r="E258" s="23" t="s">
        <v>363</v>
      </c>
      <c r="F258" s="155" t="s">
        <v>144</v>
      </c>
      <c r="G258" s="156" t="s">
        <v>373</v>
      </c>
      <c r="H258" s="157">
        <v>8</v>
      </c>
      <c r="I258" s="157">
        <v>0</v>
      </c>
      <c r="J258" s="127">
        <v>36000000</v>
      </c>
      <c r="K258" s="88" t="s">
        <v>398</v>
      </c>
      <c r="L258" s="155" t="s">
        <v>157</v>
      </c>
      <c r="M258" s="158" t="s">
        <v>512</v>
      </c>
      <c r="N258" s="23" t="s">
        <v>198</v>
      </c>
      <c r="O258" s="151" t="s">
        <v>958</v>
      </c>
      <c r="P258" s="155" t="s">
        <v>348</v>
      </c>
      <c r="Q258" s="53">
        <v>80111600</v>
      </c>
      <c r="R258" s="158" t="s">
        <v>213</v>
      </c>
      <c r="S258" s="158" t="str">
        <f>MID(PAA[[#This Row],[Meta Proyecto de Inversión]],1,4)</f>
        <v>8173</v>
      </c>
      <c r="T258" s="158" t="str">
        <f>MID(PAA[[#This Row],[Meta Proyecto de Inversión]],6,1)</f>
        <v>4</v>
      </c>
      <c r="U258" s="159" t="str">
        <f>IFERROR(VLOOKUP(N258,TD!$B$50:$F$54,2,0)," ")</f>
        <v>O230117</v>
      </c>
      <c r="V258" s="159" t="str">
        <f>IFERROR(VLOOKUP(N258,TD!$B$50:$F$54,3,0)," ")</f>
        <v>4503</v>
      </c>
      <c r="W258" s="159">
        <f>IFERROR(VLOOKUP(N258,TD!$B$50:$F$54,4,0)," ")</f>
        <v>20240255</v>
      </c>
      <c r="X258" s="158" t="s">
        <v>180</v>
      </c>
      <c r="Y258" s="159" t="str">
        <f>IFERROR(VLOOKUP(X258,TD!$J$51:$K$64,2,0)," ")</f>
        <v>Servicio de apoyo   logístico  en eventos operativos y/o emergencias.</v>
      </c>
      <c r="Z258" s="160" t="str">
        <f>CONCATENATE(X258,"-",Y258)</f>
        <v>12-Servicio de apoyo   logístico  en eventos operativos y/o emergencias.</v>
      </c>
      <c r="AA258" s="158" t="s">
        <v>221</v>
      </c>
      <c r="AB258" s="159" t="str">
        <f>IFERROR(VLOOKUP(AA258,TD!$N$51:$O$66,2,0)," ")</f>
        <v>Servicio de atención a emergencias y desastres</v>
      </c>
      <c r="AC258" s="160" t="str">
        <f>CONCATENATE(AA258,"_",AB258)</f>
        <v>004_Servicio de atención a emergencias y desastres</v>
      </c>
      <c r="AD258" s="160" t="str">
        <f>CONCATENATE(Z258," ",AC258)</f>
        <v>12-Servicio de apoyo   logístico  en eventos operativos y/o emergencias. 004_Servicio de atención a emergencias y desastres</v>
      </c>
      <c r="AE258" s="159" t="str">
        <f>CONCATENATE(U258,V258,W258,X258,AA258)</f>
        <v>O23011745032024025512004</v>
      </c>
      <c r="AF258" s="159" t="str">
        <f>IFERROR(VLOOKUP(AD258,TD!$J$66:$K$89,2,0)," ")</f>
        <v>PM/0131/0112/45030040255</v>
      </c>
      <c r="AG258" s="118" t="s">
        <v>385</v>
      </c>
      <c r="AH258" s="158" t="s">
        <v>193</v>
      </c>
      <c r="AI258" s="161" t="str">
        <f>CONCATENATE(PAA[[#This Row],[Id Interno]],"-",PAA[[#This Row],[tipo de Contrato (TH talento humano - B/S bienes y/o servicios)]],"-",S258,"-",T258,"-",PAA[[#This Row],[Objeto de la contratación]])</f>
        <v>20260219-TH-8173-4-Prestar servicios profesionales de caracter tecnologico apoyando la estructuración, elaboración, manejo y optimización de las herramientas tecnológicas a cargo de la Subdirección Logística – SBLG.</v>
      </c>
    </row>
    <row r="259" spans="2:35" ht="70" x14ac:dyDescent="0.35">
      <c r="B259" s="23">
        <v>20260220</v>
      </c>
      <c r="C259" s="99" t="s">
        <v>844</v>
      </c>
      <c r="D259" s="23" t="s">
        <v>105</v>
      </c>
      <c r="E259" s="23" t="s">
        <v>363</v>
      </c>
      <c r="F259" s="155" t="s">
        <v>145</v>
      </c>
      <c r="G259" s="156" t="s">
        <v>373</v>
      </c>
      <c r="H259" s="157">
        <v>5</v>
      </c>
      <c r="I259" s="157">
        <v>0</v>
      </c>
      <c r="J259" s="127">
        <v>20600000</v>
      </c>
      <c r="K259" s="88" t="s">
        <v>398</v>
      </c>
      <c r="L259" s="155" t="s">
        <v>157</v>
      </c>
      <c r="M259" s="158" t="s">
        <v>512</v>
      </c>
      <c r="N259" s="23" t="s">
        <v>198</v>
      </c>
      <c r="O259" s="151" t="s">
        <v>958</v>
      </c>
      <c r="P259" s="155" t="s">
        <v>348</v>
      </c>
      <c r="Q259" s="53">
        <v>80111600</v>
      </c>
      <c r="R259" s="158" t="s">
        <v>213</v>
      </c>
      <c r="S259" s="158" t="str">
        <f>MID(PAA[[#This Row],[Meta Proyecto de Inversión]],1,4)</f>
        <v>8173</v>
      </c>
      <c r="T259" s="158" t="str">
        <f>MID(PAA[[#This Row],[Meta Proyecto de Inversión]],6,1)</f>
        <v>4</v>
      </c>
      <c r="U259" s="159" t="str">
        <f>IFERROR(VLOOKUP(N259,TD!$B$50:$F$54,2,0)," ")</f>
        <v>O230117</v>
      </c>
      <c r="V259" s="159" t="str">
        <f>IFERROR(VLOOKUP(N259,TD!$B$50:$F$54,3,0)," ")</f>
        <v>4503</v>
      </c>
      <c r="W259" s="159">
        <f>IFERROR(VLOOKUP(N259,TD!$B$50:$F$54,4,0)," ")</f>
        <v>20240255</v>
      </c>
      <c r="X259" s="158" t="s">
        <v>180</v>
      </c>
      <c r="Y259" s="159" t="str">
        <f>IFERROR(VLOOKUP(X259,TD!$J$51:$K$64,2,0)," ")</f>
        <v>Servicio de apoyo   logístico  en eventos operativos y/o emergencias.</v>
      </c>
      <c r="Z259" s="160" t="str">
        <f>CONCATENATE(X259,"-",Y259)</f>
        <v>12-Servicio de apoyo   logístico  en eventos operativos y/o emergencias.</v>
      </c>
      <c r="AA259" s="158" t="s">
        <v>221</v>
      </c>
      <c r="AB259" s="159" t="str">
        <f>IFERROR(VLOOKUP(AA259,TD!$N$51:$O$66,2,0)," ")</f>
        <v>Servicio de atención a emergencias y desastres</v>
      </c>
      <c r="AC259" s="160" t="str">
        <f>CONCATENATE(AA259,"_",AB259)</f>
        <v>004_Servicio de atención a emergencias y desastres</v>
      </c>
      <c r="AD259" s="160" t="str">
        <f>CONCATENATE(Z259," ",AC259)</f>
        <v>12-Servicio de apoyo   logístico  en eventos operativos y/o emergencias. 004_Servicio de atención a emergencias y desastres</v>
      </c>
      <c r="AE259" s="159" t="str">
        <f>CONCATENATE(U259,V259,W259,X259,AA259)</f>
        <v>O23011745032024025512004</v>
      </c>
      <c r="AF259" s="159" t="str">
        <f>IFERROR(VLOOKUP(AD259,TD!$J$66:$K$89,2,0)," ")</f>
        <v>PM/0131/0112/45030040255</v>
      </c>
      <c r="AG259" s="118" t="s">
        <v>385</v>
      </c>
      <c r="AH259" s="158" t="s">
        <v>193</v>
      </c>
      <c r="AI259" s="161" t="str">
        <f>CONCATENATE(PAA[[#This Row],[Id Interno]],"-",PAA[[#This Row],[tipo de Contrato (TH talento humano - B/S bienes y/o servicios)]],"-",S259,"-",T259,"-",PAA[[#This Row],[Objeto de la contratación]])</f>
        <v>20260220-TH-8173-4-Prestar servicios como conductor para apoyar en la gestiónes tecnicas y operativas para la Subdirección Logistica- SBLG.</v>
      </c>
    </row>
    <row r="260" spans="2:35" ht="84" x14ac:dyDescent="0.35">
      <c r="B260" s="23">
        <v>20260221</v>
      </c>
      <c r="C260" s="99" t="s">
        <v>844</v>
      </c>
      <c r="D260" s="23" t="s">
        <v>105</v>
      </c>
      <c r="E260" s="23" t="s">
        <v>363</v>
      </c>
      <c r="F260" s="155" t="s">
        <v>145</v>
      </c>
      <c r="G260" s="156" t="s">
        <v>373</v>
      </c>
      <c r="H260" s="157">
        <v>8</v>
      </c>
      <c r="I260" s="157">
        <v>0</v>
      </c>
      <c r="J260" s="127">
        <v>28000000</v>
      </c>
      <c r="K260" s="88" t="s">
        <v>398</v>
      </c>
      <c r="L260" s="155" t="s">
        <v>157</v>
      </c>
      <c r="M260" s="158" t="s">
        <v>512</v>
      </c>
      <c r="N260" s="23" t="s">
        <v>198</v>
      </c>
      <c r="O260" s="151" t="s">
        <v>958</v>
      </c>
      <c r="P260" s="155" t="s">
        <v>348</v>
      </c>
      <c r="Q260" s="53">
        <v>80111600</v>
      </c>
      <c r="R260" s="158" t="s">
        <v>213</v>
      </c>
      <c r="S260" s="158" t="str">
        <f>MID(PAA[[#This Row],[Meta Proyecto de Inversión]],1,4)</f>
        <v>8173</v>
      </c>
      <c r="T260" s="158" t="str">
        <f>MID(PAA[[#This Row],[Meta Proyecto de Inversión]],6,1)</f>
        <v>4</v>
      </c>
      <c r="U260" s="159" t="str">
        <f>IFERROR(VLOOKUP(N260,TD!$B$50:$F$54,2,0)," ")</f>
        <v>O230117</v>
      </c>
      <c r="V260" s="159" t="str">
        <f>IFERROR(VLOOKUP(N260,TD!$B$50:$F$54,3,0)," ")</f>
        <v>4503</v>
      </c>
      <c r="W260" s="159">
        <f>IFERROR(VLOOKUP(N260,TD!$B$50:$F$54,4,0)," ")</f>
        <v>20240255</v>
      </c>
      <c r="X260" s="158" t="s">
        <v>180</v>
      </c>
      <c r="Y260" s="159" t="str">
        <f>IFERROR(VLOOKUP(X260,TD!$J$51:$K$64,2,0)," ")</f>
        <v>Servicio de apoyo   logístico  en eventos operativos y/o emergencias.</v>
      </c>
      <c r="Z260" s="160" t="str">
        <f>CONCATENATE(X260,"-",Y260)</f>
        <v>12-Servicio de apoyo   logístico  en eventos operativos y/o emergencias.</v>
      </c>
      <c r="AA260" s="158" t="s">
        <v>221</v>
      </c>
      <c r="AB260" s="159" t="str">
        <f>IFERROR(VLOOKUP(AA260,TD!$N$51:$O$66,2,0)," ")</f>
        <v>Servicio de atención a emergencias y desastres</v>
      </c>
      <c r="AC260" s="160" t="str">
        <f>CONCATENATE(AA260,"_",AB260)</f>
        <v>004_Servicio de atención a emergencias y desastres</v>
      </c>
      <c r="AD260" s="160" t="str">
        <f>CONCATENATE(Z260," ",AC260)</f>
        <v>12-Servicio de apoyo   logístico  en eventos operativos y/o emergencias. 004_Servicio de atención a emergencias y desastres</v>
      </c>
      <c r="AE260" s="159" t="str">
        <f>CONCATENATE(U260,V260,W260,X260,AA260)</f>
        <v>O23011745032024025512004</v>
      </c>
      <c r="AF260" s="159" t="str">
        <f>IFERROR(VLOOKUP(AD260,TD!$J$66:$K$89,2,0)," ")</f>
        <v>PM/0131/0112/45030040255</v>
      </c>
      <c r="AG260" s="118" t="s">
        <v>385</v>
      </c>
      <c r="AH260" s="158" t="s">
        <v>193</v>
      </c>
      <c r="AI260" s="161" t="str">
        <f>CONCATENATE(PAA[[#This Row],[Id Interno]],"-",PAA[[#This Row],[tipo de Contrato (TH talento humano - B/S bienes y/o servicios)]],"-",S260,"-",T260,"-",PAA[[#This Row],[Objeto de la contratación]])</f>
        <v>20260221-TH-8173-4-Prestar servicios como conductor para apoyar en la gestiónes tecnicas y operativas para la Subdirección Logistica- SBLG.</v>
      </c>
    </row>
    <row r="261" spans="2:35" ht="70" x14ac:dyDescent="0.35">
      <c r="B261" s="23">
        <v>20260222</v>
      </c>
      <c r="C261" s="99" t="s">
        <v>845</v>
      </c>
      <c r="D261" s="23" t="s">
        <v>105</v>
      </c>
      <c r="E261" s="23" t="s">
        <v>363</v>
      </c>
      <c r="F261" s="155" t="s">
        <v>144</v>
      </c>
      <c r="G261" s="156" t="s">
        <v>373</v>
      </c>
      <c r="H261" s="157">
        <v>10</v>
      </c>
      <c r="I261" s="157">
        <v>0</v>
      </c>
      <c r="J261" s="127">
        <v>55000000</v>
      </c>
      <c r="K261" s="88" t="s">
        <v>398</v>
      </c>
      <c r="L261" s="155" t="s">
        <v>157</v>
      </c>
      <c r="M261" s="158" t="s">
        <v>512</v>
      </c>
      <c r="N261" s="23" t="s">
        <v>198</v>
      </c>
      <c r="O261" s="151" t="s">
        <v>958</v>
      </c>
      <c r="P261" s="155" t="s">
        <v>348</v>
      </c>
      <c r="Q261" s="53">
        <v>80111600</v>
      </c>
      <c r="R261" s="158" t="s">
        <v>213</v>
      </c>
      <c r="S261" s="158" t="str">
        <f>MID(PAA[[#This Row],[Meta Proyecto de Inversión]],1,4)</f>
        <v>8173</v>
      </c>
      <c r="T261" s="158" t="str">
        <f>MID(PAA[[#This Row],[Meta Proyecto de Inversión]],6,1)</f>
        <v>4</v>
      </c>
      <c r="U261" s="159" t="str">
        <f>IFERROR(VLOOKUP(N261,TD!$B$50:$F$54,2,0)," ")</f>
        <v>O230117</v>
      </c>
      <c r="V261" s="159" t="str">
        <f>IFERROR(VLOOKUP(N261,TD!$B$50:$F$54,3,0)," ")</f>
        <v>4503</v>
      </c>
      <c r="W261" s="159">
        <f>IFERROR(VLOOKUP(N261,TD!$B$50:$F$54,4,0)," ")</f>
        <v>20240255</v>
      </c>
      <c r="X261" s="158" t="s">
        <v>180</v>
      </c>
      <c r="Y261" s="159" t="str">
        <f>IFERROR(VLOOKUP(X261,TD!$J$51:$K$64,2,0)," ")</f>
        <v>Servicio de apoyo   logístico  en eventos operativos y/o emergencias.</v>
      </c>
      <c r="Z261" s="160" t="str">
        <f>CONCATENATE(X261,"-",Y261)</f>
        <v>12-Servicio de apoyo   logístico  en eventos operativos y/o emergencias.</v>
      </c>
      <c r="AA261" s="158" t="s">
        <v>221</v>
      </c>
      <c r="AB261" s="159" t="str">
        <f>IFERROR(VLOOKUP(AA261,TD!$N$51:$O$66,2,0)," ")</f>
        <v>Servicio de atención a emergencias y desastres</v>
      </c>
      <c r="AC261" s="160" t="str">
        <f>CONCATENATE(AA261,"_",AB261)</f>
        <v>004_Servicio de atención a emergencias y desastres</v>
      </c>
      <c r="AD261" s="160" t="str">
        <f>CONCATENATE(Z261," ",AC261)</f>
        <v>12-Servicio de apoyo   logístico  en eventos operativos y/o emergencias. 004_Servicio de atención a emergencias y desastres</v>
      </c>
      <c r="AE261" s="159" t="str">
        <f>CONCATENATE(U261,V261,W261,X261,AA261)</f>
        <v>O23011745032024025512004</v>
      </c>
      <c r="AF261" s="159" t="str">
        <f>IFERROR(VLOOKUP(AD261,TD!$J$66:$K$89,2,0)," ")</f>
        <v>PM/0131/0112/45030040255</v>
      </c>
      <c r="AG261" s="118" t="s">
        <v>385</v>
      </c>
      <c r="AH261" s="158" t="s">
        <v>193</v>
      </c>
      <c r="AI261" s="161" t="str">
        <f>CONCATENATE(PAA[[#This Row],[Id Interno]],"-",PAA[[#This Row],[tipo de Contrato (TH talento humano - B/S bienes y/o servicios)]],"-",S261,"-",T261,"-",PAA[[#This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62" spans="2:35" ht="84" x14ac:dyDescent="0.35">
      <c r="B262" s="23">
        <v>20260223</v>
      </c>
      <c r="C262" s="99" t="s">
        <v>846</v>
      </c>
      <c r="D262" s="23" t="s">
        <v>105</v>
      </c>
      <c r="E262" s="23" t="s">
        <v>363</v>
      </c>
      <c r="F262" s="155" t="s">
        <v>144</v>
      </c>
      <c r="G262" s="156" t="s">
        <v>373</v>
      </c>
      <c r="H262" s="157">
        <v>6</v>
      </c>
      <c r="I262" s="157">
        <v>0</v>
      </c>
      <c r="J262" s="127">
        <v>33000000</v>
      </c>
      <c r="K262" s="88" t="s">
        <v>398</v>
      </c>
      <c r="L262" s="155" t="s">
        <v>157</v>
      </c>
      <c r="M262" s="158" t="s">
        <v>512</v>
      </c>
      <c r="N262" s="23" t="s">
        <v>198</v>
      </c>
      <c r="O262" s="151" t="s">
        <v>958</v>
      </c>
      <c r="P262" s="155" t="s">
        <v>348</v>
      </c>
      <c r="Q262" s="53">
        <v>80111600</v>
      </c>
      <c r="R262" s="158" t="s">
        <v>213</v>
      </c>
      <c r="S262" s="158" t="str">
        <f>MID(PAA[[#This Row],[Meta Proyecto de Inversión]],1,4)</f>
        <v>8173</v>
      </c>
      <c r="T262" s="158" t="str">
        <f>MID(PAA[[#This Row],[Meta Proyecto de Inversión]],6,1)</f>
        <v>4</v>
      </c>
      <c r="U262" s="159" t="str">
        <f>IFERROR(VLOOKUP(N262,TD!$B$50:$F$54,2,0)," ")</f>
        <v>O230117</v>
      </c>
      <c r="V262" s="159" t="str">
        <f>IFERROR(VLOOKUP(N262,TD!$B$50:$F$54,3,0)," ")</f>
        <v>4503</v>
      </c>
      <c r="W262" s="159">
        <f>IFERROR(VLOOKUP(N262,TD!$B$50:$F$54,4,0)," ")</f>
        <v>20240255</v>
      </c>
      <c r="X262" s="158" t="s">
        <v>180</v>
      </c>
      <c r="Y262" s="159" t="str">
        <f>IFERROR(VLOOKUP(X262,TD!$J$51:$K$64,2,0)," ")</f>
        <v>Servicio de apoyo   logístico  en eventos operativos y/o emergencias.</v>
      </c>
      <c r="Z262" s="160" t="str">
        <f>CONCATENATE(X262,"-",Y262)</f>
        <v>12-Servicio de apoyo   logístico  en eventos operativos y/o emergencias.</v>
      </c>
      <c r="AA262" s="158" t="s">
        <v>221</v>
      </c>
      <c r="AB262" s="159" t="str">
        <f>IFERROR(VLOOKUP(AA262,TD!$N$51:$O$66,2,0)," ")</f>
        <v>Servicio de atención a emergencias y desastres</v>
      </c>
      <c r="AC262" s="160" t="str">
        <f>CONCATENATE(AA262,"_",AB262)</f>
        <v>004_Servicio de atención a emergencias y desastres</v>
      </c>
      <c r="AD262" s="160" t="str">
        <f>CONCATENATE(Z262," ",AC262)</f>
        <v>12-Servicio de apoyo   logístico  en eventos operativos y/o emergencias. 004_Servicio de atención a emergencias y desastres</v>
      </c>
      <c r="AE262" s="159" t="str">
        <f>CONCATENATE(U262,V262,W262,X262,AA262)</f>
        <v>O23011745032024025512004</v>
      </c>
      <c r="AF262" s="159" t="str">
        <f>IFERROR(VLOOKUP(AD262,TD!$J$66:$K$89,2,0)," ")</f>
        <v>PM/0131/0112/45030040255</v>
      </c>
      <c r="AG262" s="118" t="s">
        <v>385</v>
      </c>
      <c r="AH262" s="158" t="s">
        <v>193</v>
      </c>
      <c r="AI262" s="161" t="str">
        <f>CONCATENATE(PAA[[#This Row],[Id Interno]],"-",PAA[[#This Row],[tipo de Contrato (TH talento humano - B/S bienes y/o servicios)]],"-",S262,"-",T262,"-",PAA[[#This Row],[Objeto de la contratación]])</f>
        <v>20260223-TH-8173-4-Prestar servicios profesionales para apoyar en las actividades administrativas y tecnicas de los elementos e inventario a cargo Subdirección Logistica  – SBLG.</v>
      </c>
    </row>
    <row r="263" spans="2:35" ht="84" x14ac:dyDescent="0.35">
      <c r="B263" s="23">
        <v>20260224</v>
      </c>
      <c r="C263" s="99" t="s">
        <v>668</v>
      </c>
      <c r="D263" s="23" t="s">
        <v>105</v>
      </c>
      <c r="E263" s="23" t="s">
        <v>363</v>
      </c>
      <c r="F263" s="155" t="s">
        <v>144</v>
      </c>
      <c r="G263" s="156" t="s">
        <v>373</v>
      </c>
      <c r="H263" s="157">
        <v>9</v>
      </c>
      <c r="I263" s="157">
        <v>0</v>
      </c>
      <c r="J263" s="127">
        <v>45000000</v>
      </c>
      <c r="K263" s="88" t="s">
        <v>398</v>
      </c>
      <c r="L263" s="155" t="s">
        <v>157</v>
      </c>
      <c r="M263" s="158" t="s">
        <v>512</v>
      </c>
      <c r="N263" s="23" t="s">
        <v>198</v>
      </c>
      <c r="O263" s="151" t="s">
        <v>958</v>
      </c>
      <c r="P263" s="155" t="s">
        <v>348</v>
      </c>
      <c r="Q263" s="53">
        <v>80111600</v>
      </c>
      <c r="R263" s="158" t="s">
        <v>213</v>
      </c>
      <c r="S263" s="158" t="str">
        <f>MID(PAA[[#This Row],[Meta Proyecto de Inversión]],1,4)</f>
        <v>8173</v>
      </c>
      <c r="T263" s="158" t="str">
        <f>MID(PAA[[#This Row],[Meta Proyecto de Inversión]],6,1)</f>
        <v>4</v>
      </c>
      <c r="U263" s="159" t="str">
        <f>IFERROR(VLOOKUP(N263,TD!$B$50:$F$54,2,0)," ")</f>
        <v>O230117</v>
      </c>
      <c r="V263" s="159" t="str">
        <f>IFERROR(VLOOKUP(N263,TD!$B$50:$F$54,3,0)," ")</f>
        <v>4503</v>
      </c>
      <c r="W263" s="159">
        <f>IFERROR(VLOOKUP(N263,TD!$B$50:$F$54,4,0)," ")</f>
        <v>20240255</v>
      </c>
      <c r="X263" s="158" t="s">
        <v>180</v>
      </c>
      <c r="Y263" s="159" t="str">
        <f>IFERROR(VLOOKUP(X263,TD!$J$51:$K$64,2,0)," ")</f>
        <v>Servicio de apoyo   logístico  en eventos operativos y/o emergencias.</v>
      </c>
      <c r="Z263" s="160" t="str">
        <f>CONCATENATE(X263,"-",Y263)</f>
        <v>12-Servicio de apoyo   logístico  en eventos operativos y/o emergencias.</v>
      </c>
      <c r="AA263" s="158" t="s">
        <v>221</v>
      </c>
      <c r="AB263" s="159" t="str">
        <f>IFERROR(VLOOKUP(AA263,TD!$N$51:$O$66,2,0)," ")</f>
        <v>Servicio de atención a emergencias y desastres</v>
      </c>
      <c r="AC263" s="160" t="str">
        <f>CONCATENATE(AA263,"_",AB263)</f>
        <v>004_Servicio de atención a emergencias y desastres</v>
      </c>
      <c r="AD263" s="160" t="str">
        <f>CONCATENATE(Z263," ",AC263)</f>
        <v>12-Servicio de apoyo   logístico  en eventos operativos y/o emergencias. 004_Servicio de atención a emergencias y desastres</v>
      </c>
      <c r="AE263" s="159" t="str">
        <f>CONCATENATE(U263,V263,W263,X263,AA263)</f>
        <v>O23011745032024025512004</v>
      </c>
      <c r="AF263" s="159" t="str">
        <f>IFERROR(VLOOKUP(AD263,TD!$J$66:$K$89,2,0)," ")</f>
        <v>PM/0131/0112/45030040255</v>
      </c>
      <c r="AG263" s="118" t="s">
        <v>385</v>
      </c>
      <c r="AH263" s="158" t="s">
        <v>193</v>
      </c>
      <c r="AI263" s="161" t="str">
        <f>CONCATENATE(PAA[[#This Row],[Id Interno]],"-",PAA[[#This Row],[tipo de Contrato (TH talento humano - B/S bienes y/o servicios)]],"-",S263,"-",T263,"-",PAA[[#This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64" spans="2:35" ht="84" x14ac:dyDescent="0.35">
      <c r="B264" s="23">
        <v>20260225</v>
      </c>
      <c r="C264" s="99" t="s">
        <v>669</v>
      </c>
      <c r="D264" s="23" t="s">
        <v>105</v>
      </c>
      <c r="E264" s="23" t="s">
        <v>363</v>
      </c>
      <c r="F264" s="155" t="s">
        <v>145</v>
      </c>
      <c r="G264" s="156" t="s">
        <v>373</v>
      </c>
      <c r="H264" s="157">
        <v>9</v>
      </c>
      <c r="I264" s="157">
        <v>0</v>
      </c>
      <c r="J264" s="127">
        <v>29565000</v>
      </c>
      <c r="K264" s="88" t="s">
        <v>398</v>
      </c>
      <c r="L264" s="155" t="s">
        <v>157</v>
      </c>
      <c r="M264" s="158" t="s">
        <v>512</v>
      </c>
      <c r="N264" s="23" t="s">
        <v>198</v>
      </c>
      <c r="O264" s="151" t="s">
        <v>958</v>
      </c>
      <c r="P264" s="155" t="s">
        <v>348</v>
      </c>
      <c r="Q264" s="53">
        <v>80111600</v>
      </c>
      <c r="R264" s="158" t="s">
        <v>213</v>
      </c>
      <c r="S264" s="158" t="str">
        <f>MID(PAA[[#This Row],[Meta Proyecto de Inversión]],1,4)</f>
        <v>8173</v>
      </c>
      <c r="T264" s="158" t="str">
        <f>MID(PAA[[#This Row],[Meta Proyecto de Inversión]],6,1)</f>
        <v>4</v>
      </c>
      <c r="U264" s="159" t="str">
        <f>IFERROR(VLOOKUP(N264,TD!$B$50:$F$54,2,0)," ")</f>
        <v>O230117</v>
      </c>
      <c r="V264" s="159" t="str">
        <f>IFERROR(VLOOKUP(N264,TD!$B$50:$F$54,3,0)," ")</f>
        <v>4503</v>
      </c>
      <c r="W264" s="159">
        <f>IFERROR(VLOOKUP(N264,TD!$B$50:$F$54,4,0)," ")</f>
        <v>20240255</v>
      </c>
      <c r="X264" s="158" t="s">
        <v>180</v>
      </c>
      <c r="Y264" s="159" t="str">
        <f>IFERROR(VLOOKUP(X264,TD!$J$51:$K$64,2,0)," ")</f>
        <v>Servicio de apoyo   logístico  en eventos operativos y/o emergencias.</v>
      </c>
      <c r="Z264" s="160" t="str">
        <f>CONCATENATE(X264,"-",Y264)</f>
        <v>12-Servicio de apoyo   logístico  en eventos operativos y/o emergencias.</v>
      </c>
      <c r="AA264" s="158" t="s">
        <v>221</v>
      </c>
      <c r="AB264" s="159" t="str">
        <f>IFERROR(VLOOKUP(AA264,TD!$N$51:$O$66,2,0)," ")</f>
        <v>Servicio de atención a emergencias y desastres</v>
      </c>
      <c r="AC264" s="160" t="str">
        <f>CONCATENATE(AA264,"_",AB264)</f>
        <v>004_Servicio de atención a emergencias y desastres</v>
      </c>
      <c r="AD264" s="160" t="str">
        <f>CONCATENATE(Z264," ",AC264)</f>
        <v>12-Servicio de apoyo   logístico  en eventos operativos y/o emergencias. 004_Servicio de atención a emergencias y desastres</v>
      </c>
      <c r="AE264" s="159" t="str">
        <f>CONCATENATE(U264,V264,W264,X264,AA264)</f>
        <v>O23011745032024025512004</v>
      </c>
      <c r="AF264" s="159" t="str">
        <f>IFERROR(VLOOKUP(AD264,TD!$J$66:$K$89,2,0)," ")</f>
        <v>PM/0131/0112/45030040255</v>
      </c>
      <c r="AG264" s="118" t="s">
        <v>385</v>
      </c>
      <c r="AH264" s="158" t="s">
        <v>193</v>
      </c>
      <c r="AI264" s="161" t="str">
        <f>CONCATENATE(PAA[[#This Row],[Id Interno]],"-",PAA[[#This Row],[tipo de Contrato (TH talento humano - B/S bienes y/o servicios)]],"-",S264,"-",T264,"-",PAA[[#This Row],[Objeto de la contratación]])</f>
        <v>20260225-TH-8173-4-Prestar servicios de apoyo a la gestión en las actividades de soporte operacional para el desarrollo de las estrategías de la Subdirección Logística. SBLG</v>
      </c>
    </row>
    <row r="265" spans="2:35" ht="112" x14ac:dyDescent="0.35">
      <c r="B265" s="23">
        <v>20260226</v>
      </c>
      <c r="C265" s="99" t="s">
        <v>669</v>
      </c>
      <c r="D265" s="23" t="s">
        <v>105</v>
      </c>
      <c r="E265" s="23" t="s">
        <v>363</v>
      </c>
      <c r="F265" s="155" t="s">
        <v>145</v>
      </c>
      <c r="G265" s="156" t="s">
        <v>373</v>
      </c>
      <c r="H265" s="157">
        <v>10</v>
      </c>
      <c r="I265" s="157">
        <v>0</v>
      </c>
      <c r="J265" s="127">
        <v>32800000</v>
      </c>
      <c r="K265" s="88" t="s">
        <v>398</v>
      </c>
      <c r="L265" s="155" t="s">
        <v>157</v>
      </c>
      <c r="M265" s="158" t="s">
        <v>512</v>
      </c>
      <c r="N265" s="23" t="s">
        <v>198</v>
      </c>
      <c r="O265" s="151" t="s">
        <v>958</v>
      </c>
      <c r="P265" s="155" t="s">
        <v>348</v>
      </c>
      <c r="Q265" s="53">
        <v>80111600</v>
      </c>
      <c r="R265" s="158" t="s">
        <v>213</v>
      </c>
      <c r="S265" s="158" t="str">
        <f>MID(PAA[[#This Row],[Meta Proyecto de Inversión]],1,4)</f>
        <v>8173</v>
      </c>
      <c r="T265" s="158" t="str">
        <f>MID(PAA[[#This Row],[Meta Proyecto de Inversión]],6,1)</f>
        <v>4</v>
      </c>
      <c r="U265" s="159" t="str">
        <f>IFERROR(VLOOKUP(N265,TD!$B$50:$F$54,2,0)," ")</f>
        <v>O230117</v>
      </c>
      <c r="V265" s="159" t="str">
        <f>IFERROR(VLOOKUP(N265,TD!$B$50:$F$54,3,0)," ")</f>
        <v>4503</v>
      </c>
      <c r="W265" s="159">
        <f>IFERROR(VLOOKUP(N265,TD!$B$50:$F$54,4,0)," ")</f>
        <v>20240255</v>
      </c>
      <c r="X265" s="158" t="s">
        <v>180</v>
      </c>
      <c r="Y265" s="159" t="str">
        <f>IFERROR(VLOOKUP(X265,TD!$J$51:$K$64,2,0)," ")</f>
        <v>Servicio de apoyo   logístico  en eventos operativos y/o emergencias.</v>
      </c>
      <c r="Z265" s="160" t="str">
        <f>CONCATENATE(X265,"-",Y265)</f>
        <v>12-Servicio de apoyo   logístico  en eventos operativos y/o emergencias.</v>
      </c>
      <c r="AA265" s="158" t="s">
        <v>221</v>
      </c>
      <c r="AB265" s="159" t="str">
        <f>IFERROR(VLOOKUP(AA265,TD!$N$51:$O$66,2,0)," ")</f>
        <v>Servicio de atención a emergencias y desastres</v>
      </c>
      <c r="AC265" s="160" t="str">
        <f>CONCATENATE(AA265,"_",AB265)</f>
        <v>004_Servicio de atención a emergencias y desastres</v>
      </c>
      <c r="AD265" s="160" t="str">
        <f>CONCATENATE(Z265," ",AC265)</f>
        <v>12-Servicio de apoyo   logístico  en eventos operativos y/o emergencias. 004_Servicio de atención a emergencias y desastres</v>
      </c>
      <c r="AE265" s="159" t="str">
        <f>CONCATENATE(U265,V265,W265,X265,AA265)</f>
        <v>O23011745032024025512004</v>
      </c>
      <c r="AF265" s="159" t="str">
        <f>IFERROR(VLOOKUP(AD265,TD!$J$66:$K$89,2,0)," ")</f>
        <v>PM/0131/0112/45030040255</v>
      </c>
      <c r="AG265" s="118" t="s">
        <v>385</v>
      </c>
      <c r="AH265" s="158" t="s">
        <v>193</v>
      </c>
      <c r="AI265" s="161" t="str">
        <f>CONCATENATE(PAA[[#This Row],[Id Interno]],"-",PAA[[#This Row],[tipo de Contrato (TH talento humano - B/S bienes y/o servicios)]],"-",S265,"-",T265,"-",PAA[[#This Row],[Objeto de la contratación]])</f>
        <v>20260226-TH-8173-4-Prestar servicios de apoyo a la gestión en las actividades de soporte operacional para el desarrollo de las estrategías de la Subdirección Logística. SBLG</v>
      </c>
    </row>
    <row r="266" spans="2:35" ht="84" x14ac:dyDescent="0.35">
      <c r="B266" s="23">
        <v>20260227</v>
      </c>
      <c r="C266" s="99" t="s">
        <v>669</v>
      </c>
      <c r="D266" s="23" t="s">
        <v>105</v>
      </c>
      <c r="E266" s="23" t="s">
        <v>363</v>
      </c>
      <c r="F266" s="155" t="s">
        <v>145</v>
      </c>
      <c r="G266" s="156" t="s">
        <v>373</v>
      </c>
      <c r="H266" s="157">
        <v>10</v>
      </c>
      <c r="I266" s="157">
        <v>0</v>
      </c>
      <c r="J266" s="127">
        <v>32850000</v>
      </c>
      <c r="K266" s="88" t="s">
        <v>398</v>
      </c>
      <c r="L266" s="155" t="s">
        <v>157</v>
      </c>
      <c r="M266" s="158" t="s">
        <v>512</v>
      </c>
      <c r="N266" s="23" t="s">
        <v>198</v>
      </c>
      <c r="O266" s="151" t="s">
        <v>958</v>
      </c>
      <c r="P266" s="155" t="s">
        <v>348</v>
      </c>
      <c r="Q266" s="53">
        <v>80111600</v>
      </c>
      <c r="R266" s="158" t="s">
        <v>213</v>
      </c>
      <c r="S266" s="158" t="str">
        <f>MID(PAA[[#This Row],[Meta Proyecto de Inversión]],1,4)</f>
        <v>8173</v>
      </c>
      <c r="T266" s="158" t="str">
        <f>MID(PAA[[#This Row],[Meta Proyecto de Inversión]],6,1)</f>
        <v>4</v>
      </c>
      <c r="U266" s="159" t="str">
        <f>IFERROR(VLOOKUP(N266,TD!$B$50:$F$54,2,0)," ")</f>
        <v>O230117</v>
      </c>
      <c r="V266" s="159" t="str">
        <f>IFERROR(VLOOKUP(N266,TD!$B$50:$F$54,3,0)," ")</f>
        <v>4503</v>
      </c>
      <c r="W266" s="159">
        <f>IFERROR(VLOOKUP(N266,TD!$B$50:$F$54,4,0)," ")</f>
        <v>20240255</v>
      </c>
      <c r="X266" s="158" t="s">
        <v>180</v>
      </c>
      <c r="Y266" s="159" t="str">
        <f>IFERROR(VLOOKUP(X266,TD!$J$51:$K$64,2,0)," ")</f>
        <v>Servicio de apoyo   logístico  en eventos operativos y/o emergencias.</v>
      </c>
      <c r="Z266" s="160" t="str">
        <f>CONCATENATE(X266,"-",Y266)</f>
        <v>12-Servicio de apoyo   logístico  en eventos operativos y/o emergencias.</v>
      </c>
      <c r="AA266" s="158" t="s">
        <v>221</v>
      </c>
      <c r="AB266" s="159" t="str">
        <f>IFERROR(VLOOKUP(AA266,TD!$N$51:$O$66,2,0)," ")</f>
        <v>Servicio de atención a emergencias y desastres</v>
      </c>
      <c r="AC266" s="160" t="str">
        <f>CONCATENATE(AA266,"_",AB266)</f>
        <v>004_Servicio de atención a emergencias y desastres</v>
      </c>
      <c r="AD266" s="160" t="str">
        <f>CONCATENATE(Z266," ",AC266)</f>
        <v>12-Servicio de apoyo   logístico  en eventos operativos y/o emergencias. 004_Servicio de atención a emergencias y desastres</v>
      </c>
      <c r="AE266" s="159" t="str">
        <f>CONCATENATE(U266,V266,W266,X266,AA266)</f>
        <v>O23011745032024025512004</v>
      </c>
      <c r="AF266" s="159" t="str">
        <f>IFERROR(VLOOKUP(AD266,TD!$J$66:$K$89,2,0)," ")</f>
        <v>PM/0131/0112/45030040255</v>
      </c>
      <c r="AG266" s="118" t="s">
        <v>385</v>
      </c>
      <c r="AH266" s="158" t="s">
        <v>193</v>
      </c>
      <c r="AI266" s="161" t="str">
        <f>CONCATENATE(PAA[[#This Row],[Id Interno]],"-",PAA[[#This Row],[tipo de Contrato (TH talento humano - B/S bienes y/o servicios)]],"-",S266,"-",T266,"-",PAA[[#This Row],[Objeto de la contratación]])</f>
        <v>20260227-TH-8173-4-Prestar servicios de apoyo a la gestión en las actividades de soporte operacional para el desarrollo de las estrategías de la Subdirección Logística. SBLG</v>
      </c>
    </row>
    <row r="267" spans="2:35" ht="84" x14ac:dyDescent="0.35">
      <c r="B267" s="23">
        <v>20260228</v>
      </c>
      <c r="C267" s="99" t="s">
        <v>669</v>
      </c>
      <c r="D267" s="23" t="s">
        <v>105</v>
      </c>
      <c r="E267" s="23" t="s">
        <v>363</v>
      </c>
      <c r="F267" s="155" t="s">
        <v>145</v>
      </c>
      <c r="G267" s="156" t="s">
        <v>373</v>
      </c>
      <c r="H267" s="157">
        <v>10</v>
      </c>
      <c r="I267" s="157">
        <v>0</v>
      </c>
      <c r="J267" s="127">
        <v>32800000</v>
      </c>
      <c r="K267" s="88" t="s">
        <v>398</v>
      </c>
      <c r="L267" s="155" t="s">
        <v>157</v>
      </c>
      <c r="M267" s="158" t="s">
        <v>512</v>
      </c>
      <c r="N267" s="23" t="s">
        <v>198</v>
      </c>
      <c r="O267" s="151" t="s">
        <v>958</v>
      </c>
      <c r="P267" s="155" t="s">
        <v>348</v>
      </c>
      <c r="Q267" s="53">
        <v>80111600</v>
      </c>
      <c r="R267" s="158" t="s">
        <v>213</v>
      </c>
      <c r="S267" s="158" t="str">
        <f>MID(PAA[[#This Row],[Meta Proyecto de Inversión]],1,4)</f>
        <v>8173</v>
      </c>
      <c r="T267" s="158" t="str">
        <f>MID(PAA[[#This Row],[Meta Proyecto de Inversión]],6,1)</f>
        <v>4</v>
      </c>
      <c r="U267" s="159" t="str">
        <f>IFERROR(VLOOKUP(N267,TD!$B$50:$F$54,2,0)," ")</f>
        <v>O230117</v>
      </c>
      <c r="V267" s="159" t="str">
        <f>IFERROR(VLOOKUP(N267,TD!$B$50:$F$54,3,0)," ")</f>
        <v>4503</v>
      </c>
      <c r="W267" s="159">
        <f>IFERROR(VLOOKUP(N267,TD!$B$50:$F$54,4,0)," ")</f>
        <v>20240255</v>
      </c>
      <c r="X267" s="158" t="s">
        <v>180</v>
      </c>
      <c r="Y267" s="159" t="str">
        <f>IFERROR(VLOOKUP(X267,TD!$J$51:$K$64,2,0)," ")</f>
        <v>Servicio de apoyo   logístico  en eventos operativos y/o emergencias.</v>
      </c>
      <c r="Z267" s="160" t="str">
        <f>CONCATENATE(X267,"-",Y267)</f>
        <v>12-Servicio de apoyo   logístico  en eventos operativos y/o emergencias.</v>
      </c>
      <c r="AA267" s="158" t="s">
        <v>221</v>
      </c>
      <c r="AB267" s="159" t="str">
        <f>IFERROR(VLOOKUP(AA267,TD!$N$51:$O$66,2,0)," ")</f>
        <v>Servicio de atención a emergencias y desastres</v>
      </c>
      <c r="AC267" s="160" t="str">
        <f>CONCATENATE(AA267,"_",AB267)</f>
        <v>004_Servicio de atención a emergencias y desastres</v>
      </c>
      <c r="AD267" s="160" t="str">
        <f>CONCATENATE(Z267," ",AC267)</f>
        <v>12-Servicio de apoyo   logístico  en eventos operativos y/o emergencias. 004_Servicio de atención a emergencias y desastres</v>
      </c>
      <c r="AE267" s="159" t="str">
        <f>CONCATENATE(U267,V267,W267,X267,AA267)</f>
        <v>O23011745032024025512004</v>
      </c>
      <c r="AF267" s="159" t="str">
        <f>IFERROR(VLOOKUP(AD267,TD!$J$66:$K$89,2,0)," ")</f>
        <v>PM/0131/0112/45030040255</v>
      </c>
      <c r="AG267" s="118" t="s">
        <v>385</v>
      </c>
      <c r="AH267" s="158" t="s">
        <v>193</v>
      </c>
      <c r="AI267" s="161" t="str">
        <f>CONCATENATE(PAA[[#This Row],[Id Interno]],"-",PAA[[#This Row],[tipo de Contrato (TH talento humano - B/S bienes y/o servicios)]],"-",S267,"-",T267,"-",PAA[[#This Row],[Objeto de la contratación]])</f>
        <v>20260228-TH-8173-4-Prestar servicios de apoyo a la gestión en las actividades de soporte operacional para el desarrollo de las estrategías de la Subdirección Logística. SBLG</v>
      </c>
    </row>
    <row r="268" spans="2:35" ht="84" x14ac:dyDescent="0.35">
      <c r="B268" s="23">
        <v>20260229</v>
      </c>
      <c r="C268" s="99" t="s">
        <v>842</v>
      </c>
      <c r="D268" s="23" t="s">
        <v>105</v>
      </c>
      <c r="E268" s="23" t="s">
        <v>363</v>
      </c>
      <c r="F268" s="155" t="s">
        <v>145</v>
      </c>
      <c r="G268" s="156" t="s">
        <v>373</v>
      </c>
      <c r="H268" s="157">
        <v>8</v>
      </c>
      <c r="I268" s="157">
        <v>0</v>
      </c>
      <c r="J268" s="127">
        <v>32000000</v>
      </c>
      <c r="K268" s="88" t="s">
        <v>398</v>
      </c>
      <c r="L268" s="155" t="s">
        <v>157</v>
      </c>
      <c r="M268" s="158" t="s">
        <v>512</v>
      </c>
      <c r="N268" s="23" t="s">
        <v>198</v>
      </c>
      <c r="O268" s="151" t="s">
        <v>958</v>
      </c>
      <c r="P268" s="155" t="s">
        <v>348</v>
      </c>
      <c r="Q268" s="53">
        <v>80111600</v>
      </c>
      <c r="R268" s="158" t="s">
        <v>213</v>
      </c>
      <c r="S268" s="158" t="str">
        <f>MID(PAA[[#This Row],[Meta Proyecto de Inversión]],1,4)</f>
        <v>8173</v>
      </c>
      <c r="T268" s="158" t="str">
        <f>MID(PAA[[#This Row],[Meta Proyecto de Inversión]],6,1)</f>
        <v>4</v>
      </c>
      <c r="U268" s="159" t="str">
        <f>IFERROR(VLOOKUP(N268,TD!$B$50:$F$54,2,0)," ")</f>
        <v>O230117</v>
      </c>
      <c r="V268" s="159" t="str">
        <f>IFERROR(VLOOKUP(N268,TD!$B$50:$F$54,3,0)," ")</f>
        <v>4503</v>
      </c>
      <c r="W268" s="159">
        <f>IFERROR(VLOOKUP(N268,TD!$B$50:$F$54,4,0)," ")</f>
        <v>20240255</v>
      </c>
      <c r="X268" s="158" t="s">
        <v>180</v>
      </c>
      <c r="Y268" s="159" t="str">
        <f>IFERROR(VLOOKUP(X268,TD!$J$51:$K$64,2,0)," ")</f>
        <v>Servicio de apoyo   logístico  en eventos operativos y/o emergencias.</v>
      </c>
      <c r="Z268" s="160" t="str">
        <f>CONCATENATE(X268,"-",Y268)</f>
        <v>12-Servicio de apoyo   logístico  en eventos operativos y/o emergencias.</v>
      </c>
      <c r="AA268" s="158" t="s">
        <v>221</v>
      </c>
      <c r="AB268" s="159" t="str">
        <f>IFERROR(VLOOKUP(AA268,TD!$N$51:$O$66,2,0)," ")</f>
        <v>Servicio de atención a emergencias y desastres</v>
      </c>
      <c r="AC268" s="160" t="str">
        <f>CONCATENATE(AA268,"_",AB268)</f>
        <v>004_Servicio de atención a emergencias y desastres</v>
      </c>
      <c r="AD268" s="160" t="str">
        <f>CONCATENATE(Z268," ",AC268)</f>
        <v>12-Servicio de apoyo   logístico  en eventos operativos y/o emergencias. 004_Servicio de atención a emergencias y desastres</v>
      </c>
      <c r="AE268" s="159" t="str">
        <f>CONCATENATE(U268,V268,W268,X268,AA268)</f>
        <v>O23011745032024025512004</v>
      </c>
      <c r="AF268" s="159" t="str">
        <f>IFERROR(VLOOKUP(AD268,TD!$J$66:$K$89,2,0)," ")</f>
        <v>PM/0131/0112/45030040255</v>
      </c>
      <c r="AG268" s="118" t="s">
        <v>385</v>
      </c>
      <c r="AH268" s="158" t="s">
        <v>193</v>
      </c>
      <c r="AI268" s="161" t="str">
        <f>CONCATENATE(PAA[[#This Row],[Id Interno]],"-",PAA[[#This Row],[tipo de Contrato (TH talento humano - B/S bienes y/o servicios)]],"-",S268,"-",T268,"-",PAA[[#This Row],[Objeto de la contratación]])</f>
        <v>20260229-TH-8173-4-Prestar servicios de apoyo a la gestión en actividades administrativas y documentales para el desarrollo de las estrategías de la Subdirección Logística - SBLG</v>
      </c>
    </row>
    <row r="269" spans="2:35" ht="56" x14ac:dyDescent="0.35">
      <c r="B269" s="23">
        <v>20260230</v>
      </c>
      <c r="C269" s="99" t="s">
        <v>847</v>
      </c>
      <c r="D269" s="23" t="s">
        <v>105</v>
      </c>
      <c r="E269" s="23" t="s">
        <v>363</v>
      </c>
      <c r="F269" s="155" t="s">
        <v>144</v>
      </c>
      <c r="G269" s="156" t="s">
        <v>373</v>
      </c>
      <c r="H269" s="157">
        <v>9</v>
      </c>
      <c r="I269" s="157">
        <v>0</v>
      </c>
      <c r="J269" s="127">
        <v>81000000</v>
      </c>
      <c r="K269" s="88" t="s">
        <v>398</v>
      </c>
      <c r="L269" s="155" t="s">
        <v>157</v>
      </c>
      <c r="M269" s="158" t="s">
        <v>512</v>
      </c>
      <c r="N269" s="23" t="s">
        <v>198</v>
      </c>
      <c r="O269" s="151" t="s">
        <v>958</v>
      </c>
      <c r="P269" s="155" t="s">
        <v>348</v>
      </c>
      <c r="Q269" s="53">
        <v>80111600</v>
      </c>
      <c r="R269" s="158" t="s">
        <v>213</v>
      </c>
      <c r="S269" s="158" t="str">
        <f>MID(PAA[[#This Row],[Meta Proyecto de Inversión]],1,4)</f>
        <v>8173</v>
      </c>
      <c r="T269" s="158" t="str">
        <f>MID(PAA[[#This Row],[Meta Proyecto de Inversión]],6,1)</f>
        <v>4</v>
      </c>
      <c r="U269" s="159" t="str">
        <f>IFERROR(VLOOKUP(N269,TD!$B$50:$F$54,2,0)," ")</f>
        <v>O230117</v>
      </c>
      <c r="V269" s="159" t="str">
        <f>IFERROR(VLOOKUP(N269,TD!$B$50:$F$54,3,0)," ")</f>
        <v>4503</v>
      </c>
      <c r="W269" s="159">
        <f>IFERROR(VLOOKUP(N269,TD!$B$50:$F$54,4,0)," ")</f>
        <v>20240255</v>
      </c>
      <c r="X269" s="158" t="s">
        <v>180</v>
      </c>
      <c r="Y269" s="159" t="str">
        <f>IFERROR(VLOOKUP(X269,TD!$J$51:$K$64,2,0)," ")</f>
        <v>Servicio de apoyo   logístico  en eventos operativos y/o emergencias.</v>
      </c>
      <c r="Z269" s="160" t="str">
        <f>CONCATENATE(X269,"-",Y269)</f>
        <v>12-Servicio de apoyo   logístico  en eventos operativos y/o emergencias.</v>
      </c>
      <c r="AA269" s="158" t="s">
        <v>221</v>
      </c>
      <c r="AB269" s="159" t="str">
        <f>IFERROR(VLOOKUP(AA269,TD!$N$51:$O$66,2,0)," ")</f>
        <v>Servicio de atención a emergencias y desastres</v>
      </c>
      <c r="AC269" s="160" t="str">
        <f>CONCATENATE(AA269,"_",AB269)</f>
        <v>004_Servicio de atención a emergencias y desastres</v>
      </c>
      <c r="AD269" s="160" t="str">
        <f>CONCATENATE(Z269," ",AC269)</f>
        <v>12-Servicio de apoyo   logístico  en eventos operativos y/o emergencias. 004_Servicio de atención a emergencias y desastres</v>
      </c>
      <c r="AE269" s="159" t="str">
        <f>CONCATENATE(U269,V269,W269,X269,AA269)</f>
        <v>O23011745032024025512004</v>
      </c>
      <c r="AF269" s="159" t="str">
        <f>IFERROR(VLOOKUP(AD269,TD!$J$66:$K$89,2,0)," ")</f>
        <v>PM/0131/0112/45030040255</v>
      </c>
      <c r="AG269" s="118" t="s">
        <v>385</v>
      </c>
      <c r="AH269" s="158" t="s">
        <v>193</v>
      </c>
      <c r="AI269" s="161" t="str">
        <f>CONCATENATE(PAA[[#This Row],[Id Interno]],"-",PAA[[#This Row],[tipo de Contrato (TH talento humano - B/S bienes y/o servicios)]],"-",S269,"-",T269,"-",PAA[[#This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70" spans="2:35" ht="56.15" customHeight="1" x14ac:dyDescent="0.35">
      <c r="B270" s="23">
        <v>20260231</v>
      </c>
      <c r="C270" s="99" t="s">
        <v>848</v>
      </c>
      <c r="D270" s="23" t="s">
        <v>105</v>
      </c>
      <c r="E270" s="23" t="s">
        <v>363</v>
      </c>
      <c r="F270" s="155" t="s">
        <v>145</v>
      </c>
      <c r="G270" s="156" t="s">
        <v>373</v>
      </c>
      <c r="H270" s="157">
        <v>6</v>
      </c>
      <c r="I270" s="157">
        <v>0</v>
      </c>
      <c r="J270" s="127">
        <v>21600000</v>
      </c>
      <c r="K270" s="88" t="s">
        <v>398</v>
      </c>
      <c r="L270" s="155" t="s">
        <v>157</v>
      </c>
      <c r="M270" s="158" t="s">
        <v>512</v>
      </c>
      <c r="N270" s="23" t="s">
        <v>198</v>
      </c>
      <c r="O270" s="151" t="s">
        <v>958</v>
      </c>
      <c r="P270" s="155" t="s">
        <v>348</v>
      </c>
      <c r="Q270" s="53">
        <v>80111600</v>
      </c>
      <c r="R270" s="158" t="s">
        <v>213</v>
      </c>
      <c r="S270" s="158" t="str">
        <f>MID(PAA[[#This Row],[Meta Proyecto de Inversión]],1,4)</f>
        <v>8173</v>
      </c>
      <c r="T270" s="158" t="str">
        <f>MID(PAA[[#This Row],[Meta Proyecto de Inversión]],6,1)</f>
        <v>4</v>
      </c>
      <c r="U270" s="159" t="str">
        <f>IFERROR(VLOOKUP(N270,TD!$B$50:$F$54,2,0)," ")</f>
        <v>O230117</v>
      </c>
      <c r="V270" s="159" t="str">
        <f>IFERROR(VLOOKUP(N270,TD!$B$50:$F$54,3,0)," ")</f>
        <v>4503</v>
      </c>
      <c r="W270" s="159">
        <f>IFERROR(VLOOKUP(N270,TD!$B$50:$F$54,4,0)," ")</f>
        <v>20240255</v>
      </c>
      <c r="X270" s="158" t="s">
        <v>180</v>
      </c>
      <c r="Y270" s="159" t="str">
        <f>IFERROR(VLOOKUP(X270,TD!$J$51:$K$64,2,0)," ")</f>
        <v>Servicio de apoyo   logístico  en eventos operativos y/o emergencias.</v>
      </c>
      <c r="Z270" s="160" t="str">
        <f>CONCATENATE(X270,"-",Y270)</f>
        <v>12-Servicio de apoyo   logístico  en eventos operativos y/o emergencias.</v>
      </c>
      <c r="AA270" s="158" t="s">
        <v>221</v>
      </c>
      <c r="AB270" s="159" t="str">
        <f>IFERROR(VLOOKUP(AA270,TD!$N$51:$O$66,2,0)," ")</f>
        <v>Servicio de atención a emergencias y desastres</v>
      </c>
      <c r="AC270" s="160" t="str">
        <f>CONCATENATE(AA270,"_",AB270)</f>
        <v>004_Servicio de atención a emergencias y desastres</v>
      </c>
      <c r="AD270" s="160" t="str">
        <f>CONCATENATE(Z270," ",AC270)</f>
        <v>12-Servicio de apoyo   logístico  en eventos operativos y/o emergencias. 004_Servicio de atención a emergencias y desastres</v>
      </c>
      <c r="AE270" s="159" t="str">
        <f>CONCATENATE(U270,V270,W270,X270,AA270)</f>
        <v>O23011745032024025512004</v>
      </c>
      <c r="AF270" s="159" t="str">
        <f>IFERROR(VLOOKUP(AD270,TD!$J$66:$K$89,2,0)," ")</f>
        <v>PM/0131/0112/45030040255</v>
      </c>
      <c r="AG270" s="118" t="s">
        <v>385</v>
      </c>
      <c r="AH270" s="158" t="s">
        <v>193</v>
      </c>
      <c r="AI270" s="161" t="str">
        <f>CONCATENATE(PAA[[#This Row],[Id Interno]],"-",PAA[[#This Row],[tipo de Contrato (TH talento humano - B/S bienes y/o servicios)]],"-",S270,"-",T270,"-",PAA[[#This Row],[Objeto de la contratación]])</f>
        <v>20260231-TH-8173-4-Prestar servicios de apoyo a la gestión para el seguimiento y control de los suministros y consumibles  necesarios para la oportuna disponibilidad en la atención de emergencias -SBLG</v>
      </c>
    </row>
    <row r="271" spans="2:35" ht="56" x14ac:dyDescent="0.35">
      <c r="B271" s="23">
        <v>20260232</v>
      </c>
      <c r="C271" s="99" t="s">
        <v>849</v>
      </c>
      <c r="D271" s="23" t="s">
        <v>105</v>
      </c>
      <c r="E271" s="23" t="s">
        <v>363</v>
      </c>
      <c r="F271" s="155" t="s">
        <v>144</v>
      </c>
      <c r="G271" s="156" t="s">
        <v>373</v>
      </c>
      <c r="H271" s="157">
        <v>6</v>
      </c>
      <c r="I271" s="157">
        <v>0</v>
      </c>
      <c r="J271" s="127">
        <v>35000000</v>
      </c>
      <c r="K271" s="88" t="s">
        <v>398</v>
      </c>
      <c r="L271" s="155" t="s">
        <v>157</v>
      </c>
      <c r="M271" s="158" t="s">
        <v>512</v>
      </c>
      <c r="N271" s="23" t="s">
        <v>198</v>
      </c>
      <c r="O271" s="151" t="s">
        <v>958</v>
      </c>
      <c r="P271" s="155" t="s">
        <v>348</v>
      </c>
      <c r="Q271" s="53">
        <v>80111600</v>
      </c>
      <c r="R271" s="158" t="s">
        <v>213</v>
      </c>
      <c r="S271" s="158" t="str">
        <f>MID(PAA[[#This Row],[Meta Proyecto de Inversión]],1,4)</f>
        <v>8173</v>
      </c>
      <c r="T271" s="158" t="str">
        <f>MID(PAA[[#This Row],[Meta Proyecto de Inversión]],6,1)</f>
        <v>4</v>
      </c>
      <c r="U271" s="159" t="str">
        <f>IFERROR(VLOOKUP(N271,TD!$B$50:$F$54,2,0)," ")</f>
        <v>O230117</v>
      </c>
      <c r="V271" s="159" t="str">
        <f>IFERROR(VLOOKUP(N271,TD!$B$50:$F$54,3,0)," ")</f>
        <v>4503</v>
      </c>
      <c r="W271" s="159">
        <f>IFERROR(VLOOKUP(N271,TD!$B$50:$F$54,4,0)," ")</f>
        <v>20240255</v>
      </c>
      <c r="X271" s="158" t="s">
        <v>180</v>
      </c>
      <c r="Y271" s="159" t="str">
        <f>IFERROR(VLOOKUP(X271,TD!$J$51:$K$64,2,0)," ")</f>
        <v>Servicio de apoyo   logístico  en eventos operativos y/o emergencias.</v>
      </c>
      <c r="Z271" s="160" t="str">
        <f>CONCATENATE(X271,"-",Y271)</f>
        <v>12-Servicio de apoyo   logístico  en eventos operativos y/o emergencias.</v>
      </c>
      <c r="AA271" s="158" t="s">
        <v>221</v>
      </c>
      <c r="AB271" s="159" t="str">
        <f>IFERROR(VLOOKUP(AA271,TD!$N$51:$O$66,2,0)," ")</f>
        <v>Servicio de atención a emergencias y desastres</v>
      </c>
      <c r="AC271" s="160" t="str">
        <f>CONCATENATE(AA271,"_",AB271)</f>
        <v>004_Servicio de atención a emergencias y desastres</v>
      </c>
      <c r="AD271" s="160" t="str">
        <f>CONCATENATE(Z271," ",AC271)</f>
        <v>12-Servicio de apoyo   logístico  en eventos operativos y/o emergencias. 004_Servicio de atención a emergencias y desastres</v>
      </c>
      <c r="AE271" s="159" t="str">
        <f>CONCATENATE(U271,V271,W271,X271,AA271)</f>
        <v>O23011745032024025512004</v>
      </c>
      <c r="AF271" s="159" t="str">
        <f>IFERROR(VLOOKUP(AD271,TD!$J$66:$K$89,2,0)," ")</f>
        <v>PM/0131/0112/45030040255</v>
      </c>
      <c r="AG271" s="118" t="s">
        <v>385</v>
      </c>
      <c r="AH271" s="158" t="s">
        <v>193</v>
      </c>
      <c r="AI271" s="161" t="str">
        <f>CONCATENATE(PAA[[#This Row],[Id Interno]],"-",PAA[[#This Row],[tipo de Contrato (TH talento humano - B/S bienes y/o servicios)]],"-",S271,"-",T271,"-",PAA[[#This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272" spans="2:35" ht="56" x14ac:dyDescent="0.35">
      <c r="B272" s="23">
        <v>20260233</v>
      </c>
      <c r="C272" s="99" t="s">
        <v>850</v>
      </c>
      <c r="D272" s="23" t="s">
        <v>105</v>
      </c>
      <c r="E272" s="23" t="s">
        <v>363</v>
      </c>
      <c r="F272" s="155" t="s">
        <v>144</v>
      </c>
      <c r="G272" s="156" t="s">
        <v>373</v>
      </c>
      <c r="H272" s="157">
        <v>8</v>
      </c>
      <c r="I272" s="157">
        <v>0</v>
      </c>
      <c r="J272" s="127">
        <v>52000000</v>
      </c>
      <c r="K272" s="88" t="s">
        <v>398</v>
      </c>
      <c r="L272" s="155" t="s">
        <v>157</v>
      </c>
      <c r="M272" s="158" t="s">
        <v>512</v>
      </c>
      <c r="N272" s="23" t="s">
        <v>198</v>
      </c>
      <c r="O272" s="151" t="s">
        <v>958</v>
      </c>
      <c r="P272" s="155" t="s">
        <v>348</v>
      </c>
      <c r="Q272" s="53">
        <v>80111600</v>
      </c>
      <c r="R272" s="158" t="s">
        <v>213</v>
      </c>
      <c r="S272" s="158" t="str">
        <f>MID(PAA[[#This Row],[Meta Proyecto de Inversión]],1,4)</f>
        <v>8173</v>
      </c>
      <c r="T272" s="158" t="str">
        <f>MID(PAA[[#This Row],[Meta Proyecto de Inversión]],6,1)</f>
        <v>4</v>
      </c>
      <c r="U272" s="159" t="str">
        <f>IFERROR(VLOOKUP(N272,TD!$B$50:$F$54,2,0)," ")</f>
        <v>O230117</v>
      </c>
      <c r="V272" s="159" t="str">
        <f>IFERROR(VLOOKUP(N272,TD!$B$50:$F$54,3,0)," ")</f>
        <v>4503</v>
      </c>
      <c r="W272" s="159">
        <f>IFERROR(VLOOKUP(N272,TD!$B$50:$F$54,4,0)," ")</f>
        <v>20240255</v>
      </c>
      <c r="X272" s="158" t="s">
        <v>180</v>
      </c>
      <c r="Y272" s="159" t="str">
        <f>IFERROR(VLOOKUP(X272,TD!$J$51:$K$64,2,0)," ")</f>
        <v>Servicio de apoyo   logístico  en eventos operativos y/o emergencias.</v>
      </c>
      <c r="Z272" s="160" t="str">
        <f>CONCATENATE(X272,"-",Y272)</f>
        <v>12-Servicio de apoyo   logístico  en eventos operativos y/o emergencias.</v>
      </c>
      <c r="AA272" s="158" t="s">
        <v>221</v>
      </c>
      <c r="AB272" s="159" t="str">
        <f>IFERROR(VLOOKUP(AA272,TD!$N$51:$O$66,2,0)," ")</f>
        <v>Servicio de atención a emergencias y desastres</v>
      </c>
      <c r="AC272" s="160" t="str">
        <f>CONCATENATE(AA272,"_",AB272)</f>
        <v>004_Servicio de atención a emergencias y desastres</v>
      </c>
      <c r="AD272" s="160" t="str">
        <f>CONCATENATE(Z272," ",AC272)</f>
        <v>12-Servicio de apoyo   logístico  en eventos operativos y/o emergencias. 004_Servicio de atención a emergencias y desastres</v>
      </c>
      <c r="AE272" s="159" t="str">
        <f>CONCATENATE(U272,V272,W272,X272,AA272)</f>
        <v>O23011745032024025512004</v>
      </c>
      <c r="AF272" s="159" t="str">
        <f>IFERROR(VLOOKUP(AD272,TD!$J$66:$K$89,2,0)," ")</f>
        <v>PM/0131/0112/45030040255</v>
      </c>
      <c r="AG272" s="118" t="s">
        <v>385</v>
      </c>
      <c r="AH272" s="158" t="s">
        <v>193</v>
      </c>
      <c r="AI272" s="161" t="str">
        <f>CONCATENATE(PAA[[#This Row],[Id Interno]],"-",PAA[[#This Row],[tipo de Contrato (TH talento humano - B/S bienes y/o servicios)]],"-",S272,"-",T272,"-",PAA[[#This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73" spans="2:35" ht="56" x14ac:dyDescent="0.35">
      <c r="B273" s="23">
        <v>20260234</v>
      </c>
      <c r="C273" s="99" t="s">
        <v>670</v>
      </c>
      <c r="D273" s="23" t="s">
        <v>105</v>
      </c>
      <c r="E273" s="23" t="s">
        <v>363</v>
      </c>
      <c r="F273" s="155" t="s">
        <v>144</v>
      </c>
      <c r="G273" s="156" t="s">
        <v>373</v>
      </c>
      <c r="H273" s="157">
        <v>10</v>
      </c>
      <c r="I273" s="157">
        <v>0</v>
      </c>
      <c r="J273" s="127">
        <v>90000000</v>
      </c>
      <c r="K273" s="88" t="s">
        <v>398</v>
      </c>
      <c r="L273" s="155" t="s">
        <v>157</v>
      </c>
      <c r="M273" s="158" t="s">
        <v>512</v>
      </c>
      <c r="N273" s="23" t="s">
        <v>198</v>
      </c>
      <c r="O273" s="151" t="s">
        <v>958</v>
      </c>
      <c r="P273" s="155" t="s">
        <v>348</v>
      </c>
      <c r="Q273" s="53">
        <v>80111600</v>
      </c>
      <c r="R273" s="158" t="s">
        <v>213</v>
      </c>
      <c r="S273" s="158" t="str">
        <f>MID(PAA[[#This Row],[Meta Proyecto de Inversión]],1,4)</f>
        <v>8173</v>
      </c>
      <c r="T273" s="158" t="str">
        <f>MID(PAA[[#This Row],[Meta Proyecto de Inversión]],6,1)</f>
        <v>4</v>
      </c>
      <c r="U273" s="159" t="str">
        <f>IFERROR(VLOOKUP(N273,TD!$B$50:$F$54,2,0)," ")</f>
        <v>O230117</v>
      </c>
      <c r="V273" s="159" t="str">
        <f>IFERROR(VLOOKUP(N273,TD!$B$50:$F$54,3,0)," ")</f>
        <v>4503</v>
      </c>
      <c r="W273" s="159">
        <f>IFERROR(VLOOKUP(N273,TD!$B$50:$F$54,4,0)," ")</f>
        <v>20240255</v>
      </c>
      <c r="X273" s="158" t="s">
        <v>176</v>
      </c>
      <c r="Y273" s="159" t="str">
        <f>IFERROR(VLOOKUP(X273,TD!$J$51:$K$64,2,0)," ")</f>
        <v>Servicio de mantenimiento, dotación (HEA´s y equipo menor) y adquisición de vehiculos   especializados para la atención de emergencias.</v>
      </c>
      <c r="Z273" s="160" t="str">
        <f>CONCATENATE(X273,"-",Y273)</f>
        <v>09-Servicio de mantenimiento, dotación (HEA´s y equipo menor) y adquisición de vehiculos   especializados para la atención de emergencias.</v>
      </c>
      <c r="AA273" s="158" t="s">
        <v>221</v>
      </c>
      <c r="AB273" s="159" t="str">
        <f>IFERROR(VLOOKUP(AA273,TD!$N$51:$O$66,2,0)," ")</f>
        <v>Servicio de atención a emergencias y desastres</v>
      </c>
      <c r="AC273" s="160" t="str">
        <f>CONCATENATE(AA273,"_",AB273)</f>
        <v>004_Servicio de atención a emergencias y desastres</v>
      </c>
      <c r="AD273" s="160" t="str">
        <f>CONCATENATE(Z273," ",AC273)</f>
        <v>09-Servicio de mantenimiento, dotación (HEA´s y equipo menor) y adquisición de vehiculos   especializados para la atención de emergencias. 004_Servicio de atención a emergencias y desastres</v>
      </c>
      <c r="AE273" s="159" t="str">
        <f>CONCATENATE(U273,V273,W273,X273,AA273)</f>
        <v>O23011745032024025509004</v>
      </c>
      <c r="AF273" s="159" t="str">
        <f>IFERROR(VLOOKUP(AD273,TD!$J$66:$K$89,2,0)," ")</f>
        <v>PM/0131/0109/45030040255</v>
      </c>
      <c r="AG273" s="118" t="s">
        <v>385</v>
      </c>
      <c r="AH273" s="158" t="s">
        <v>193</v>
      </c>
      <c r="AI273" s="161" t="str">
        <f>CONCATENATE(PAA[[#This Row],[Id Interno]],"-",PAA[[#This Row],[tipo de Contrato (TH talento humano - B/S bienes y/o servicios)]],"-",S273,"-",T273,"-",PAA[[#This Row],[Objeto de la contratación]])</f>
        <v>20260234-TH-8173-4-Prestación de servicios profesionales para la gestión, seguimiento y control administrativo, técnico y operativo del equipo menor a cargo de la Subdirección Logística. SBLG.</v>
      </c>
    </row>
    <row r="274" spans="2:35" ht="56" x14ac:dyDescent="0.35">
      <c r="B274" s="23">
        <v>20260235</v>
      </c>
      <c r="C274" s="99" t="s">
        <v>851</v>
      </c>
      <c r="D274" s="23" t="s">
        <v>105</v>
      </c>
      <c r="E274" s="23" t="s">
        <v>363</v>
      </c>
      <c r="F274" s="155" t="s">
        <v>145</v>
      </c>
      <c r="G274" s="156" t="s">
        <v>373</v>
      </c>
      <c r="H274" s="157">
        <v>10</v>
      </c>
      <c r="I274" s="157">
        <v>0</v>
      </c>
      <c r="J274" s="127">
        <v>36000000</v>
      </c>
      <c r="K274" s="88" t="s">
        <v>398</v>
      </c>
      <c r="L274" s="155" t="s">
        <v>157</v>
      </c>
      <c r="M274" s="158" t="s">
        <v>512</v>
      </c>
      <c r="N274" s="23" t="s">
        <v>198</v>
      </c>
      <c r="O274" s="151" t="s">
        <v>958</v>
      </c>
      <c r="P274" s="155" t="s">
        <v>348</v>
      </c>
      <c r="Q274" s="53">
        <v>80111600</v>
      </c>
      <c r="R274" s="158" t="s">
        <v>213</v>
      </c>
      <c r="S274" s="158" t="str">
        <f>MID(PAA[[#This Row],[Meta Proyecto de Inversión]],1,4)</f>
        <v>8173</v>
      </c>
      <c r="T274" s="158" t="str">
        <f>MID(PAA[[#This Row],[Meta Proyecto de Inversión]],6,1)</f>
        <v>4</v>
      </c>
      <c r="U274" s="159" t="str">
        <f>IFERROR(VLOOKUP(N274,TD!$B$50:$F$54,2,0)," ")</f>
        <v>O230117</v>
      </c>
      <c r="V274" s="159" t="str">
        <f>IFERROR(VLOOKUP(N274,TD!$B$50:$F$54,3,0)," ")</f>
        <v>4503</v>
      </c>
      <c r="W274" s="159">
        <f>IFERROR(VLOOKUP(N274,TD!$B$50:$F$54,4,0)," ")</f>
        <v>20240255</v>
      </c>
      <c r="X274" s="158" t="s">
        <v>176</v>
      </c>
      <c r="Y274" s="159" t="str">
        <f>IFERROR(VLOOKUP(X274,TD!$J$51:$K$64,2,0)," ")</f>
        <v>Servicio de mantenimiento, dotación (HEA´s y equipo menor) y adquisición de vehiculos   especializados para la atención de emergencias.</v>
      </c>
      <c r="Z274" s="160" t="str">
        <f>CONCATENATE(X274,"-",Y274)</f>
        <v>09-Servicio de mantenimiento, dotación (HEA´s y equipo menor) y adquisición de vehiculos   especializados para la atención de emergencias.</v>
      </c>
      <c r="AA274" s="158" t="s">
        <v>221</v>
      </c>
      <c r="AB274" s="159" t="str">
        <f>IFERROR(VLOOKUP(AA274,TD!$N$51:$O$66,2,0)," ")</f>
        <v>Servicio de atención a emergencias y desastres</v>
      </c>
      <c r="AC274" s="160" t="str">
        <f>CONCATENATE(AA274,"_",AB274)</f>
        <v>004_Servicio de atención a emergencias y desastres</v>
      </c>
      <c r="AD274" s="160" t="str">
        <f>CONCATENATE(Z274," ",AC274)</f>
        <v>09-Servicio de mantenimiento, dotación (HEA´s y equipo menor) y adquisición de vehiculos   especializados para la atención de emergencias. 004_Servicio de atención a emergencias y desastres</v>
      </c>
      <c r="AE274" s="159" t="str">
        <f>CONCATENATE(U274,V274,W274,X274,AA274)</f>
        <v>O23011745032024025509004</v>
      </c>
      <c r="AF274" s="159" t="str">
        <f>IFERROR(VLOOKUP(AD274,TD!$J$66:$K$89,2,0)," ")</f>
        <v>PM/0131/0109/45030040255</v>
      </c>
      <c r="AG274" s="118" t="s">
        <v>385</v>
      </c>
      <c r="AH274" s="158" t="s">
        <v>193</v>
      </c>
      <c r="AI274" s="161" t="str">
        <f>CONCATENATE(PAA[[#This Row],[Id Interno]],"-",PAA[[#This Row],[tipo de Contrato (TH talento humano - B/S bienes y/o servicios)]],"-",S274,"-",T274,"-",PAA[[#This Row],[Objeto de la contratación]])</f>
        <v>20260235-TH-8173-4-Prestar servicio de apoyo a la gestión para asistir a la Subdirección Logística en el seguimiento técnico y administrativo de los mantenimientos minimos requeridos en la Subdirección Logística - SBLG</v>
      </c>
    </row>
    <row r="275" spans="2:35" ht="56" x14ac:dyDescent="0.35">
      <c r="B275" s="23">
        <v>20260236</v>
      </c>
      <c r="C275" s="99" t="s">
        <v>851</v>
      </c>
      <c r="D275" s="23" t="s">
        <v>105</v>
      </c>
      <c r="E275" s="23" t="s">
        <v>363</v>
      </c>
      <c r="F275" s="155" t="s">
        <v>145</v>
      </c>
      <c r="G275" s="156" t="s">
        <v>373</v>
      </c>
      <c r="H275" s="157">
        <v>9</v>
      </c>
      <c r="I275" s="157">
        <v>0</v>
      </c>
      <c r="J275" s="127">
        <v>32400000</v>
      </c>
      <c r="K275" s="88" t="s">
        <v>398</v>
      </c>
      <c r="L275" s="155" t="s">
        <v>157</v>
      </c>
      <c r="M275" s="158" t="s">
        <v>512</v>
      </c>
      <c r="N275" s="23" t="s">
        <v>198</v>
      </c>
      <c r="O275" s="151" t="s">
        <v>958</v>
      </c>
      <c r="P275" s="155" t="s">
        <v>348</v>
      </c>
      <c r="Q275" s="53">
        <v>80111600</v>
      </c>
      <c r="R275" s="158" t="s">
        <v>213</v>
      </c>
      <c r="S275" s="158" t="str">
        <f>MID(PAA[[#This Row],[Meta Proyecto de Inversión]],1,4)</f>
        <v>8173</v>
      </c>
      <c r="T275" s="158" t="str">
        <f>MID(PAA[[#This Row],[Meta Proyecto de Inversión]],6,1)</f>
        <v>4</v>
      </c>
      <c r="U275" s="159" t="str">
        <f>IFERROR(VLOOKUP(N275,TD!$B$50:$F$54,2,0)," ")</f>
        <v>O230117</v>
      </c>
      <c r="V275" s="159" t="str">
        <f>IFERROR(VLOOKUP(N275,TD!$B$50:$F$54,3,0)," ")</f>
        <v>4503</v>
      </c>
      <c r="W275" s="159">
        <f>IFERROR(VLOOKUP(N275,TD!$B$50:$F$54,4,0)," ")</f>
        <v>20240255</v>
      </c>
      <c r="X275" s="158" t="s">
        <v>176</v>
      </c>
      <c r="Y275" s="159" t="str">
        <f>IFERROR(VLOOKUP(X275,TD!$J$51:$K$64,2,0)," ")</f>
        <v>Servicio de mantenimiento, dotación (HEA´s y equipo menor) y adquisición de vehiculos   especializados para la atención de emergencias.</v>
      </c>
      <c r="Z275" s="160" t="str">
        <f>CONCATENATE(X275,"-",Y275)</f>
        <v>09-Servicio de mantenimiento, dotación (HEA´s y equipo menor) y adquisición de vehiculos   especializados para la atención de emergencias.</v>
      </c>
      <c r="AA275" s="158" t="s">
        <v>221</v>
      </c>
      <c r="AB275" s="159" t="str">
        <f>IFERROR(VLOOKUP(AA275,TD!$N$51:$O$66,2,0)," ")</f>
        <v>Servicio de atención a emergencias y desastres</v>
      </c>
      <c r="AC275" s="160" t="str">
        <f>CONCATENATE(AA275,"_",AB275)</f>
        <v>004_Servicio de atención a emergencias y desastres</v>
      </c>
      <c r="AD275" s="160" t="str">
        <f>CONCATENATE(Z275," ",AC275)</f>
        <v>09-Servicio de mantenimiento, dotación (HEA´s y equipo menor) y adquisición de vehiculos   especializados para la atención de emergencias. 004_Servicio de atención a emergencias y desastres</v>
      </c>
      <c r="AE275" s="159" t="str">
        <f>CONCATENATE(U275,V275,W275,X275,AA275)</f>
        <v>O23011745032024025509004</v>
      </c>
      <c r="AF275" s="159" t="str">
        <f>IFERROR(VLOOKUP(AD275,TD!$J$66:$K$89,2,0)," ")</f>
        <v>PM/0131/0109/45030040255</v>
      </c>
      <c r="AG275" s="118" t="s">
        <v>385</v>
      </c>
      <c r="AH275" s="158" t="s">
        <v>193</v>
      </c>
      <c r="AI275" s="161" t="str">
        <f>CONCATENATE(PAA[[#This Row],[Id Interno]],"-",PAA[[#This Row],[tipo de Contrato (TH talento humano - B/S bienes y/o servicios)]],"-",S275,"-",T275,"-",PAA[[#This Row],[Objeto de la contratación]])</f>
        <v>20260236-TH-8173-4-Prestar servicio de apoyo a la gestión para asistir a la Subdirección Logística en el seguimiento técnico y administrativo de los mantenimientos minimos requeridos en la Subdirección Logística - SBLG</v>
      </c>
    </row>
    <row r="276" spans="2:35" ht="56" x14ac:dyDescent="0.35">
      <c r="B276" s="23">
        <v>20260237</v>
      </c>
      <c r="C276" s="99" t="s">
        <v>538</v>
      </c>
      <c r="D276" s="23" t="s">
        <v>105</v>
      </c>
      <c r="E276" s="23" t="s">
        <v>363</v>
      </c>
      <c r="F276" s="155" t="s">
        <v>144</v>
      </c>
      <c r="G276" s="156" t="s">
        <v>373</v>
      </c>
      <c r="H276" s="157">
        <v>6</v>
      </c>
      <c r="I276" s="157">
        <v>0</v>
      </c>
      <c r="J276" s="127">
        <v>42000000</v>
      </c>
      <c r="K276" s="88" t="s">
        <v>398</v>
      </c>
      <c r="L276" s="155" t="s">
        <v>157</v>
      </c>
      <c r="M276" s="158" t="s">
        <v>512</v>
      </c>
      <c r="N276" s="23" t="s">
        <v>198</v>
      </c>
      <c r="O276" s="151" t="s">
        <v>958</v>
      </c>
      <c r="P276" s="155" t="s">
        <v>348</v>
      </c>
      <c r="Q276" s="53">
        <v>80111600</v>
      </c>
      <c r="R276" s="158" t="s">
        <v>213</v>
      </c>
      <c r="S276" s="158" t="str">
        <f>MID(PAA[[#This Row],[Meta Proyecto de Inversión]],1,4)</f>
        <v>8173</v>
      </c>
      <c r="T276" s="158" t="str">
        <f>MID(PAA[[#This Row],[Meta Proyecto de Inversión]],6,1)</f>
        <v>4</v>
      </c>
      <c r="U276" s="159" t="str">
        <f>IFERROR(VLOOKUP(N276,TD!$B$50:$F$54,2,0)," ")</f>
        <v>O230117</v>
      </c>
      <c r="V276" s="159" t="str">
        <f>IFERROR(VLOOKUP(N276,TD!$B$50:$F$54,3,0)," ")</f>
        <v>4503</v>
      </c>
      <c r="W276" s="159">
        <f>IFERROR(VLOOKUP(N276,TD!$B$50:$F$54,4,0)," ")</f>
        <v>20240255</v>
      </c>
      <c r="X276" s="158" t="s">
        <v>176</v>
      </c>
      <c r="Y276" s="159" t="str">
        <f>IFERROR(VLOOKUP(X276,TD!$J$51:$K$64,2,0)," ")</f>
        <v>Servicio de mantenimiento, dotación (HEA´s y equipo menor) y adquisición de vehiculos   especializados para la atención de emergencias.</v>
      </c>
      <c r="Z276" s="160" t="str">
        <f>CONCATENATE(X276,"-",Y276)</f>
        <v>09-Servicio de mantenimiento, dotación (HEA´s y equipo menor) y adquisición de vehiculos   especializados para la atención de emergencias.</v>
      </c>
      <c r="AA276" s="158" t="s">
        <v>221</v>
      </c>
      <c r="AB276" s="159" t="str">
        <f>IFERROR(VLOOKUP(AA276,TD!$N$51:$O$66,2,0)," ")</f>
        <v>Servicio de atención a emergencias y desastres</v>
      </c>
      <c r="AC276" s="160" t="str">
        <f>CONCATENATE(AA276,"_",AB276)</f>
        <v>004_Servicio de atención a emergencias y desastres</v>
      </c>
      <c r="AD276" s="160" t="str">
        <f>CONCATENATE(Z276," ",AC276)</f>
        <v>09-Servicio de mantenimiento, dotación (HEA´s y equipo menor) y adquisición de vehiculos   especializados para la atención de emergencias. 004_Servicio de atención a emergencias y desastres</v>
      </c>
      <c r="AE276" s="159" t="str">
        <f>CONCATENATE(U276,V276,W276,X276,AA276)</f>
        <v>O23011745032024025509004</v>
      </c>
      <c r="AF276" s="159" t="str">
        <f>IFERROR(VLOOKUP(AD276,TD!$J$66:$K$89,2,0)," ")</f>
        <v>PM/0131/0109/45030040255</v>
      </c>
      <c r="AG276" s="118" t="s">
        <v>385</v>
      </c>
      <c r="AH276" s="158" t="s">
        <v>193</v>
      </c>
      <c r="AI276" s="161" t="str">
        <f>CONCATENATE(PAA[[#This Row],[Id Interno]],"-",PAA[[#This Row],[tipo de Contrato (TH talento humano - B/S bienes y/o servicios)]],"-",S276,"-",T276,"-",PAA[[#This Row],[Objeto de la contratación]])</f>
        <v>20260237-TH-8173-4-Prestación de servicios profesionales para realizar el seguimiento y monitoreo a los diferentes procesos y procedimientos del equipo menor a cargo de la Subdirección Logística - SBLG</v>
      </c>
    </row>
    <row r="277" spans="2:35" ht="56" x14ac:dyDescent="0.35">
      <c r="B277" s="23">
        <v>20260238</v>
      </c>
      <c r="C277" s="99" t="s">
        <v>852</v>
      </c>
      <c r="D277" s="23" t="s">
        <v>105</v>
      </c>
      <c r="E277" s="23" t="s">
        <v>363</v>
      </c>
      <c r="F277" s="155" t="s">
        <v>145</v>
      </c>
      <c r="G277" s="156" t="s">
        <v>373</v>
      </c>
      <c r="H277" s="157">
        <v>9</v>
      </c>
      <c r="I277" s="157">
        <v>0</v>
      </c>
      <c r="J277" s="127">
        <v>32400000</v>
      </c>
      <c r="K277" s="88" t="s">
        <v>398</v>
      </c>
      <c r="L277" s="155" t="s">
        <v>157</v>
      </c>
      <c r="M277" s="158" t="s">
        <v>512</v>
      </c>
      <c r="N277" s="23" t="s">
        <v>198</v>
      </c>
      <c r="O277" s="151" t="s">
        <v>958</v>
      </c>
      <c r="P277" s="155" t="s">
        <v>348</v>
      </c>
      <c r="Q277" s="53">
        <v>80111600</v>
      </c>
      <c r="R277" s="158" t="s">
        <v>213</v>
      </c>
      <c r="S277" s="158" t="str">
        <f>MID(PAA[[#This Row],[Meta Proyecto de Inversión]],1,4)</f>
        <v>8173</v>
      </c>
      <c r="T277" s="158" t="str">
        <f>MID(PAA[[#This Row],[Meta Proyecto de Inversión]],6,1)</f>
        <v>4</v>
      </c>
      <c r="U277" s="159" t="str">
        <f>IFERROR(VLOOKUP(N277,TD!$B$50:$F$54,2,0)," ")</f>
        <v>O230117</v>
      </c>
      <c r="V277" s="159" t="str">
        <f>IFERROR(VLOOKUP(N277,TD!$B$50:$F$54,3,0)," ")</f>
        <v>4503</v>
      </c>
      <c r="W277" s="159">
        <f>IFERROR(VLOOKUP(N277,TD!$B$50:$F$54,4,0)," ")</f>
        <v>20240255</v>
      </c>
      <c r="X277" s="158" t="s">
        <v>176</v>
      </c>
      <c r="Y277" s="159" t="str">
        <f>IFERROR(VLOOKUP(X277,TD!$J$51:$K$64,2,0)," ")</f>
        <v>Servicio de mantenimiento, dotación (HEA´s y equipo menor) y adquisición de vehiculos   especializados para la atención de emergencias.</v>
      </c>
      <c r="Z277" s="160" t="str">
        <f>CONCATENATE(X277,"-",Y277)</f>
        <v>09-Servicio de mantenimiento, dotación (HEA´s y equipo menor) y adquisición de vehiculos   especializados para la atención de emergencias.</v>
      </c>
      <c r="AA277" s="158" t="s">
        <v>221</v>
      </c>
      <c r="AB277" s="159" t="str">
        <f>IFERROR(VLOOKUP(AA277,TD!$N$51:$O$66,2,0)," ")</f>
        <v>Servicio de atención a emergencias y desastres</v>
      </c>
      <c r="AC277" s="160" t="str">
        <f>CONCATENATE(AA277,"_",AB277)</f>
        <v>004_Servicio de atención a emergencias y desastres</v>
      </c>
      <c r="AD277" s="160" t="str">
        <f>CONCATENATE(Z277," ",AC277)</f>
        <v>09-Servicio de mantenimiento, dotación (HEA´s y equipo menor) y adquisición de vehiculos   especializados para la atención de emergencias. 004_Servicio de atención a emergencias y desastres</v>
      </c>
      <c r="AE277" s="159" t="str">
        <f>CONCATENATE(U277,V277,W277,X277,AA277)</f>
        <v>O23011745032024025509004</v>
      </c>
      <c r="AF277" s="159" t="str">
        <f>IFERROR(VLOOKUP(AD277,TD!$J$66:$K$89,2,0)," ")</f>
        <v>PM/0131/0109/45030040255</v>
      </c>
      <c r="AG277" s="118" t="s">
        <v>385</v>
      </c>
      <c r="AH277" s="158" t="s">
        <v>193</v>
      </c>
      <c r="AI277" s="161" t="str">
        <f>CONCATENATE(PAA[[#This Row],[Id Interno]],"-",PAA[[#This Row],[tipo de Contrato (TH talento humano - B/S bienes y/o servicios)]],"-",S277,"-",T277,"-",PAA[[#This Row],[Objeto de la contratación]])</f>
        <v>20260238-TH-8173-4-Prestar servicios de apoyo a la gestión en actividades administrativas y documentales en el procedimiento de equipo menor desarrollo de las estrategías de la Subdirección Logística - SBLG - SBLG</v>
      </c>
    </row>
    <row r="278" spans="2:35" ht="56" x14ac:dyDescent="0.35">
      <c r="B278" s="23">
        <v>20260239</v>
      </c>
      <c r="C278" s="99" t="s">
        <v>538</v>
      </c>
      <c r="D278" s="23" t="s">
        <v>105</v>
      </c>
      <c r="E278" s="23" t="s">
        <v>363</v>
      </c>
      <c r="F278" s="155" t="s">
        <v>144</v>
      </c>
      <c r="G278" s="156" t="s">
        <v>373</v>
      </c>
      <c r="H278" s="157">
        <v>9</v>
      </c>
      <c r="I278" s="157">
        <v>0</v>
      </c>
      <c r="J278" s="127">
        <v>49500000</v>
      </c>
      <c r="K278" s="88" t="s">
        <v>398</v>
      </c>
      <c r="L278" s="155" t="s">
        <v>157</v>
      </c>
      <c r="M278" s="158" t="s">
        <v>512</v>
      </c>
      <c r="N278" s="23" t="s">
        <v>198</v>
      </c>
      <c r="O278" s="151" t="s">
        <v>958</v>
      </c>
      <c r="P278" s="155" t="s">
        <v>348</v>
      </c>
      <c r="Q278" s="53">
        <v>80111600</v>
      </c>
      <c r="R278" s="158" t="s">
        <v>213</v>
      </c>
      <c r="S278" s="158" t="str">
        <f>MID(PAA[[#This Row],[Meta Proyecto de Inversión]],1,4)</f>
        <v>8173</v>
      </c>
      <c r="T278" s="158" t="str">
        <f>MID(PAA[[#This Row],[Meta Proyecto de Inversión]],6,1)</f>
        <v>4</v>
      </c>
      <c r="U278" s="159" t="str">
        <f>IFERROR(VLOOKUP(N278,TD!$B$50:$F$54,2,0)," ")</f>
        <v>O230117</v>
      </c>
      <c r="V278" s="159" t="str">
        <f>IFERROR(VLOOKUP(N278,TD!$B$50:$F$54,3,0)," ")</f>
        <v>4503</v>
      </c>
      <c r="W278" s="159">
        <f>IFERROR(VLOOKUP(N278,TD!$B$50:$F$54,4,0)," ")</f>
        <v>20240255</v>
      </c>
      <c r="X278" s="158" t="s">
        <v>176</v>
      </c>
      <c r="Y278" s="159" t="str">
        <f>IFERROR(VLOOKUP(X278,TD!$J$51:$K$64,2,0)," ")</f>
        <v>Servicio de mantenimiento, dotación (HEA´s y equipo menor) y adquisición de vehiculos   especializados para la atención de emergencias.</v>
      </c>
      <c r="Z278" s="160" t="str">
        <f>CONCATENATE(X278,"-",Y278)</f>
        <v>09-Servicio de mantenimiento, dotación (HEA´s y equipo menor) y adquisición de vehiculos   especializados para la atención de emergencias.</v>
      </c>
      <c r="AA278" s="158" t="s">
        <v>221</v>
      </c>
      <c r="AB278" s="159" t="str">
        <f>IFERROR(VLOOKUP(AA278,TD!$N$51:$O$66,2,0)," ")</f>
        <v>Servicio de atención a emergencias y desastres</v>
      </c>
      <c r="AC278" s="160" t="str">
        <f>CONCATENATE(AA278,"_",AB278)</f>
        <v>004_Servicio de atención a emergencias y desastres</v>
      </c>
      <c r="AD278" s="160" t="str">
        <f>CONCATENATE(Z278," ",AC278)</f>
        <v>09-Servicio de mantenimiento, dotación (HEA´s y equipo menor) y adquisición de vehiculos   especializados para la atención de emergencias. 004_Servicio de atención a emergencias y desastres</v>
      </c>
      <c r="AE278" s="159" t="str">
        <f>CONCATENATE(U278,V278,W278,X278,AA278)</f>
        <v>O23011745032024025509004</v>
      </c>
      <c r="AF278" s="159" t="str">
        <f>IFERROR(VLOOKUP(AD278,TD!$J$66:$K$89,2,0)," ")</f>
        <v>PM/0131/0109/45030040255</v>
      </c>
      <c r="AG278" s="118" t="s">
        <v>385</v>
      </c>
      <c r="AH278" s="158" t="s">
        <v>193</v>
      </c>
      <c r="AI278" s="161" t="str">
        <f>CONCATENATE(PAA[[#This Row],[Id Interno]],"-",PAA[[#This Row],[tipo de Contrato (TH talento humano - B/S bienes y/o servicios)]],"-",S278,"-",T278,"-",PAA[[#This Row],[Objeto de la contratación]])</f>
        <v>20260239-TH-8173-4-Prestación de servicios profesionales para realizar el seguimiento y monitoreo a los diferentes procesos y procedimientos del equipo menor a cargo de la Subdirección Logística - SBLG</v>
      </c>
    </row>
    <row r="279" spans="2:35" ht="56" x14ac:dyDescent="0.35">
      <c r="B279" s="23">
        <v>20260240</v>
      </c>
      <c r="C279" s="99" t="s">
        <v>851</v>
      </c>
      <c r="D279" s="23" t="s">
        <v>105</v>
      </c>
      <c r="E279" s="23" t="s">
        <v>363</v>
      </c>
      <c r="F279" s="155" t="s">
        <v>145</v>
      </c>
      <c r="G279" s="156" t="s">
        <v>373</v>
      </c>
      <c r="H279" s="157">
        <v>7</v>
      </c>
      <c r="I279" s="157">
        <v>0</v>
      </c>
      <c r="J279" s="127">
        <v>25200000</v>
      </c>
      <c r="K279" s="88" t="s">
        <v>398</v>
      </c>
      <c r="L279" s="155" t="s">
        <v>157</v>
      </c>
      <c r="M279" s="158" t="s">
        <v>512</v>
      </c>
      <c r="N279" s="23" t="s">
        <v>198</v>
      </c>
      <c r="O279" s="151" t="s">
        <v>958</v>
      </c>
      <c r="P279" s="155" t="s">
        <v>348</v>
      </c>
      <c r="Q279" s="53">
        <v>80111600</v>
      </c>
      <c r="R279" s="158" t="s">
        <v>213</v>
      </c>
      <c r="S279" s="158" t="str">
        <f>MID(PAA[[#This Row],[Meta Proyecto de Inversión]],1,4)</f>
        <v>8173</v>
      </c>
      <c r="T279" s="158" t="str">
        <f>MID(PAA[[#This Row],[Meta Proyecto de Inversión]],6,1)</f>
        <v>4</v>
      </c>
      <c r="U279" s="159" t="str">
        <f>IFERROR(VLOOKUP(N279,TD!$B$50:$F$54,2,0)," ")</f>
        <v>O230117</v>
      </c>
      <c r="V279" s="159" t="str">
        <f>IFERROR(VLOOKUP(N279,TD!$B$50:$F$54,3,0)," ")</f>
        <v>4503</v>
      </c>
      <c r="W279" s="159">
        <f>IFERROR(VLOOKUP(N279,TD!$B$50:$F$54,4,0)," ")</f>
        <v>20240255</v>
      </c>
      <c r="X279" s="158" t="s">
        <v>176</v>
      </c>
      <c r="Y279" s="159" t="str">
        <f>IFERROR(VLOOKUP(X279,TD!$J$51:$K$64,2,0)," ")</f>
        <v>Servicio de mantenimiento, dotación (HEA´s y equipo menor) y adquisición de vehiculos   especializados para la atención de emergencias.</v>
      </c>
      <c r="Z279" s="160" t="str">
        <f>CONCATENATE(X279,"-",Y279)</f>
        <v>09-Servicio de mantenimiento, dotación (HEA´s y equipo menor) y adquisición de vehiculos   especializados para la atención de emergencias.</v>
      </c>
      <c r="AA279" s="158" t="s">
        <v>221</v>
      </c>
      <c r="AB279" s="159" t="str">
        <f>IFERROR(VLOOKUP(AA279,TD!$N$51:$O$66,2,0)," ")</f>
        <v>Servicio de atención a emergencias y desastres</v>
      </c>
      <c r="AC279" s="160" t="str">
        <f>CONCATENATE(AA279,"_",AB279)</f>
        <v>004_Servicio de atención a emergencias y desastres</v>
      </c>
      <c r="AD279" s="160" t="str">
        <f>CONCATENATE(Z279," ",AC279)</f>
        <v>09-Servicio de mantenimiento, dotación (HEA´s y equipo menor) y adquisición de vehiculos   especializados para la atención de emergencias. 004_Servicio de atención a emergencias y desastres</v>
      </c>
      <c r="AE279" s="159" t="str">
        <f>CONCATENATE(U279,V279,W279,X279,AA279)</f>
        <v>O23011745032024025509004</v>
      </c>
      <c r="AF279" s="159" t="str">
        <f>IFERROR(VLOOKUP(AD279,TD!$J$66:$K$89,2,0)," ")</f>
        <v>PM/0131/0109/45030040255</v>
      </c>
      <c r="AG279" s="118" t="s">
        <v>385</v>
      </c>
      <c r="AH279" s="158" t="s">
        <v>193</v>
      </c>
      <c r="AI279" s="161" t="str">
        <f>CONCATENATE(PAA[[#This Row],[Id Interno]],"-",PAA[[#This Row],[tipo de Contrato (TH talento humano - B/S bienes y/o servicios)]],"-",S279,"-",T279,"-",PAA[[#This Row],[Objeto de la contratación]])</f>
        <v>20260240-TH-8173-4-Prestar servicio de apoyo a la gestión para asistir a la Subdirección Logística en el seguimiento técnico y administrativo de los mantenimientos minimos requeridos en la Subdirección Logística - SBLG</v>
      </c>
    </row>
    <row r="280" spans="2:35" ht="56" x14ac:dyDescent="0.35">
      <c r="B280" s="23">
        <v>20260241</v>
      </c>
      <c r="C280" s="99" t="s">
        <v>853</v>
      </c>
      <c r="D280" s="23" t="s">
        <v>105</v>
      </c>
      <c r="E280" s="23" t="s">
        <v>363</v>
      </c>
      <c r="F280" s="155" t="s">
        <v>144</v>
      </c>
      <c r="G280" s="156" t="s">
        <v>373</v>
      </c>
      <c r="H280" s="157">
        <v>7</v>
      </c>
      <c r="I280" s="157">
        <v>15</v>
      </c>
      <c r="J280" s="127">
        <v>60000000</v>
      </c>
      <c r="K280" s="88" t="s">
        <v>398</v>
      </c>
      <c r="L280" s="155" t="s">
        <v>157</v>
      </c>
      <c r="M280" s="158" t="s">
        <v>512</v>
      </c>
      <c r="N280" s="23" t="s">
        <v>198</v>
      </c>
      <c r="O280" s="151" t="s">
        <v>958</v>
      </c>
      <c r="P280" s="155" t="s">
        <v>348</v>
      </c>
      <c r="Q280" s="53">
        <v>80111600</v>
      </c>
      <c r="R280" s="158" t="s">
        <v>213</v>
      </c>
      <c r="S280" s="158" t="str">
        <f>MID(PAA[[#This Row],[Meta Proyecto de Inversión]],1,4)</f>
        <v>8173</v>
      </c>
      <c r="T280" s="158" t="str">
        <f>MID(PAA[[#This Row],[Meta Proyecto de Inversión]],6,1)</f>
        <v>4</v>
      </c>
      <c r="U280" s="159" t="str">
        <f>IFERROR(VLOOKUP(N280,TD!$B$50:$F$54,2,0)," ")</f>
        <v>O230117</v>
      </c>
      <c r="V280" s="159" t="str">
        <f>IFERROR(VLOOKUP(N280,TD!$B$50:$F$54,3,0)," ")</f>
        <v>4503</v>
      </c>
      <c r="W280" s="159">
        <f>IFERROR(VLOOKUP(N280,TD!$B$50:$F$54,4,0)," ")</f>
        <v>20240255</v>
      </c>
      <c r="X280" s="158" t="s">
        <v>180</v>
      </c>
      <c r="Y280" s="159" t="str">
        <f>IFERROR(VLOOKUP(X280,TD!$J$51:$K$64,2,0)," ")</f>
        <v>Servicio de apoyo   logístico  en eventos operativos y/o emergencias.</v>
      </c>
      <c r="Z280" s="160" t="str">
        <f>CONCATENATE(X280,"-",Y280)</f>
        <v>12-Servicio de apoyo   logístico  en eventos operativos y/o emergencias.</v>
      </c>
      <c r="AA280" s="158" t="s">
        <v>221</v>
      </c>
      <c r="AB280" s="159" t="str">
        <f>IFERROR(VLOOKUP(AA280,TD!$N$51:$O$66,2,0)," ")</f>
        <v>Servicio de atención a emergencias y desastres</v>
      </c>
      <c r="AC280" s="160" t="str">
        <f>CONCATENATE(AA280,"_",AB280)</f>
        <v>004_Servicio de atención a emergencias y desastres</v>
      </c>
      <c r="AD280" s="160" t="str">
        <f>CONCATENATE(Z280," ",AC280)</f>
        <v>12-Servicio de apoyo   logístico  en eventos operativos y/o emergencias. 004_Servicio de atención a emergencias y desastres</v>
      </c>
      <c r="AE280" s="159" t="str">
        <f>CONCATENATE(U280,V280,W280,X280,AA280)</f>
        <v>O23011745032024025512004</v>
      </c>
      <c r="AF280" s="159" t="str">
        <f>IFERROR(VLOOKUP(AD280,TD!$J$66:$K$89,2,0)," ")</f>
        <v>PM/0131/0112/45030040255</v>
      </c>
      <c r="AG280" s="118" t="s">
        <v>385</v>
      </c>
      <c r="AH280" s="158" t="s">
        <v>193</v>
      </c>
      <c r="AI280" s="161" t="str">
        <f>CONCATENATE(PAA[[#This Row],[Id Interno]],"-",PAA[[#This Row],[tipo de Contrato (TH talento humano - B/S bienes y/o servicios)]],"-",S280,"-",T280,"-",PAA[[#This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281" spans="2:35" ht="56" x14ac:dyDescent="0.35">
      <c r="B281" s="23">
        <v>20260242</v>
      </c>
      <c r="C281" s="99" t="s">
        <v>928</v>
      </c>
      <c r="D281" s="23" t="s">
        <v>105</v>
      </c>
      <c r="E281" s="23" t="s">
        <v>363</v>
      </c>
      <c r="F281" s="155" t="s">
        <v>144</v>
      </c>
      <c r="G281" s="156" t="s">
        <v>373</v>
      </c>
      <c r="H281" s="157">
        <v>7</v>
      </c>
      <c r="I281" s="157">
        <v>0</v>
      </c>
      <c r="J281" s="127">
        <v>31500000</v>
      </c>
      <c r="K281" s="88" t="s">
        <v>398</v>
      </c>
      <c r="L281" s="155" t="s">
        <v>157</v>
      </c>
      <c r="M281" s="158" t="s">
        <v>512</v>
      </c>
      <c r="N281" s="23" t="s">
        <v>198</v>
      </c>
      <c r="O281" s="151" t="s">
        <v>958</v>
      </c>
      <c r="P281" s="155" t="s">
        <v>348</v>
      </c>
      <c r="Q281" s="53">
        <v>80111600</v>
      </c>
      <c r="R281" s="158" t="s">
        <v>213</v>
      </c>
      <c r="S281" s="158" t="str">
        <f>MID(PAA[[#This Row],[Meta Proyecto de Inversión]],1,4)</f>
        <v>8173</v>
      </c>
      <c r="T281" s="158" t="str">
        <f>MID(PAA[[#This Row],[Meta Proyecto de Inversión]],6,1)</f>
        <v>4</v>
      </c>
      <c r="U281" s="159" t="str">
        <f>IFERROR(VLOOKUP(N281,TD!$B$50:$F$54,2,0)," ")</f>
        <v>O230117</v>
      </c>
      <c r="V281" s="159" t="str">
        <f>IFERROR(VLOOKUP(N281,TD!$B$50:$F$54,3,0)," ")</f>
        <v>4503</v>
      </c>
      <c r="W281" s="159">
        <f>IFERROR(VLOOKUP(N281,TD!$B$50:$F$54,4,0)," ")</f>
        <v>20240255</v>
      </c>
      <c r="X281" s="158" t="s">
        <v>180</v>
      </c>
      <c r="Y281" s="159" t="str">
        <f>IFERROR(VLOOKUP(X281,TD!$J$51:$K$64,2,0)," ")</f>
        <v>Servicio de apoyo   logístico  en eventos operativos y/o emergencias.</v>
      </c>
      <c r="Z281" s="160" t="str">
        <f>CONCATENATE(X281,"-",Y281)</f>
        <v>12-Servicio de apoyo   logístico  en eventos operativos y/o emergencias.</v>
      </c>
      <c r="AA281" s="158" t="s">
        <v>221</v>
      </c>
      <c r="AB281" s="159" t="str">
        <f>IFERROR(VLOOKUP(AA281,TD!$N$51:$O$66,2,0)," ")</f>
        <v>Servicio de atención a emergencias y desastres</v>
      </c>
      <c r="AC281" s="160" t="str">
        <f>CONCATENATE(AA281,"_",AB281)</f>
        <v>004_Servicio de atención a emergencias y desastres</v>
      </c>
      <c r="AD281" s="160" t="str">
        <f>CONCATENATE(Z281," ",AC281)</f>
        <v>12-Servicio de apoyo   logístico  en eventos operativos y/o emergencias. 004_Servicio de atención a emergencias y desastres</v>
      </c>
      <c r="AE281" s="159" t="str">
        <f>CONCATENATE(U281,V281,W281,X281,AA281)</f>
        <v>O23011745032024025512004</v>
      </c>
      <c r="AF281" s="159" t="str">
        <f>IFERROR(VLOOKUP(AD281,TD!$J$66:$K$89,2,0)," ")</f>
        <v>PM/0131/0112/45030040255</v>
      </c>
      <c r="AG281" s="118" t="s">
        <v>385</v>
      </c>
      <c r="AH281" s="158" t="s">
        <v>193</v>
      </c>
      <c r="AI281" s="161" t="str">
        <f>CONCATENATE(PAA[[#This Row],[Id Interno]],"-",PAA[[#This Row],[tipo de Contrato (TH talento humano - B/S bienes y/o servicios)]],"-",S281,"-",T281,"-",PAA[[#This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282" spans="2:35" ht="56" x14ac:dyDescent="0.35">
      <c r="B282" s="23">
        <v>20260243</v>
      </c>
      <c r="C282" s="99" t="s">
        <v>854</v>
      </c>
      <c r="D282" s="23" t="s">
        <v>105</v>
      </c>
      <c r="E282" s="23" t="s">
        <v>363</v>
      </c>
      <c r="F282" s="155" t="s">
        <v>144</v>
      </c>
      <c r="G282" s="156" t="s">
        <v>373</v>
      </c>
      <c r="H282" s="157">
        <v>8</v>
      </c>
      <c r="I282" s="157">
        <v>0</v>
      </c>
      <c r="J282" s="127">
        <v>48000000</v>
      </c>
      <c r="K282" s="88" t="s">
        <v>398</v>
      </c>
      <c r="L282" s="155" t="s">
        <v>157</v>
      </c>
      <c r="M282" s="158" t="s">
        <v>512</v>
      </c>
      <c r="N282" s="23" t="s">
        <v>198</v>
      </c>
      <c r="O282" s="151" t="s">
        <v>958</v>
      </c>
      <c r="P282" s="155" t="s">
        <v>348</v>
      </c>
      <c r="Q282" s="53">
        <v>80111600</v>
      </c>
      <c r="R282" s="158" t="s">
        <v>213</v>
      </c>
      <c r="S282" s="158" t="str">
        <f>MID(PAA[[#This Row],[Meta Proyecto de Inversión]],1,4)</f>
        <v>8173</v>
      </c>
      <c r="T282" s="158" t="str">
        <f>MID(PAA[[#This Row],[Meta Proyecto de Inversión]],6,1)</f>
        <v>4</v>
      </c>
      <c r="U282" s="159" t="str">
        <f>IFERROR(VLOOKUP(N282,TD!$B$50:$F$54,2,0)," ")</f>
        <v>O230117</v>
      </c>
      <c r="V282" s="159" t="str">
        <f>IFERROR(VLOOKUP(N282,TD!$B$50:$F$54,3,0)," ")</f>
        <v>4503</v>
      </c>
      <c r="W282" s="159">
        <f>IFERROR(VLOOKUP(N282,TD!$B$50:$F$54,4,0)," ")</f>
        <v>20240255</v>
      </c>
      <c r="X282" s="158" t="s">
        <v>180</v>
      </c>
      <c r="Y282" s="159" t="str">
        <f>IFERROR(VLOOKUP(X282,TD!$J$51:$K$64,2,0)," ")</f>
        <v>Servicio de apoyo   logístico  en eventos operativos y/o emergencias.</v>
      </c>
      <c r="Z282" s="160" t="str">
        <f>CONCATENATE(X282,"-",Y282)</f>
        <v>12-Servicio de apoyo   logístico  en eventos operativos y/o emergencias.</v>
      </c>
      <c r="AA282" s="158" t="s">
        <v>221</v>
      </c>
      <c r="AB282" s="159" t="str">
        <f>IFERROR(VLOOKUP(AA282,TD!$N$51:$O$66,2,0)," ")</f>
        <v>Servicio de atención a emergencias y desastres</v>
      </c>
      <c r="AC282" s="160" t="str">
        <f>CONCATENATE(AA282,"_",AB282)</f>
        <v>004_Servicio de atención a emergencias y desastres</v>
      </c>
      <c r="AD282" s="160" t="str">
        <f>CONCATENATE(Z282," ",AC282)</f>
        <v>12-Servicio de apoyo   logístico  en eventos operativos y/o emergencias. 004_Servicio de atención a emergencias y desastres</v>
      </c>
      <c r="AE282" s="159" t="str">
        <f>CONCATENATE(U282,V282,W282,X282,AA282)</f>
        <v>O23011745032024025512004</v>
      </c>
      <c r="AF282" s="159" t="str">
        <f>IFERROR(VLOOKUP(AD282,TD!$J$66:$K$89,2,0)," ")</f>
        <v>PM/0131/0112/45030040255</v>
      </c>
      <c r="AG282" s="118" t="s">
        <v>385</v>
      </c>
      <c r="AH282" s="158" t="s">
        <v>193</v>
      </c>
      <c r="AI282" s="161" t="str">
        <f>CONCATENATE(PAA[[#This Row],[Id Interno]],"-",PAA[[#This Row],[tipo de Contrato (TH talento humano - B/S bienes y/o servicios)]],"-",S282,"-",T282,"-",PAA[[#This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283" spans="2:35" ht="56" x14ac:dyDescent="0.35">
      <c r="B283" s="23">
        <v>20260245</v>
      </c>
      <c r="C283" s="99" t="s">
        <v>514</v>
      </c>
      <c r="D283" s="23" t="s">
        <v>88</v>
      </c>
      <c r="E283" s="23" t="s">
        <v>402</v>
      </c>
      <c r="F283" s="155" t="s">
        <v>89</v>
      </c>
      <c r="G283" s="156" t="s">
        <v>375</v>
      </c>
      <c r="H283" s="157">
        <v>10</v>
      </c>
      <c r="I283" s="157">
        <v>0</v>
      </c>
      <c r="J283" s="127">
        <v>25000000</v>
      </c>
      <c r="K283" s="88" t="s">
        <v>398</v>
      </c>
      <c r="L283" s="155" t="s">
        <v>157</v>
      </c>
      <c r="M283" s="158" t="s">
        <v>512</v>
      </c>
      <c r="N283" s="23" t="s">
        <v>198</v>
      </c>
      <c r="O283" s="151" t="s">
        <v>958</v>
      </c>
      <c r="P283" s="155" t="s">
        <v>348</v>
      </c>
      <c r="Q283" s="53" t="s">
        <v>515</v>
      </c>
      <c r="R283" s="158" t="s">
        <v>213</v>
      </c>
      <c r="S283" s="158" t="str">
        <f>MID(PAA[[#This Row],[Meta Proyecto de Inversión]],1,4)</f>
        <v>8173</v>
      </c>
      <c r="T283" s="158" t="str">
        <f>MID(PAA[[#This Row],[Meta Proyecto de Inversión]],6,1)</f>
        <v>4</v>
      </c>
      <c r="U283" s="159" t="str">
        <f>IFERROR(VLOOKUP(N283,TD!$B$50:$F$54,2,0)," ")</f>
        <v>O230117</v>
      </c>
      <c r="V283" s="159" t="str">
        <f>IFERROR(VLOOKUP(N283,TD!$B$50:$F$54,3,0)," ")</f>
        <v>4503</v>
      </c>
      <c r="W283" s="159">
        <f>IFERROR(VLOOKUP(N283,TD!$B$50:$F$54,4,0)," ")</f>
        <v>20240255</v>
      </c>
      <c r="X283" s="158" t="s">
        <v>176</v>
      </c>
      <c r="Y283" s="159" t="str">
        <f>IFERROR(VLOOKUP(X283,TD!$J$51:$K$64,2,0)," ")</f>
        <v>Servicio de mantenimiento, dotación (HEA´s y equipo menor) y adquisición de vehiculos   especializados para la atención de emergencias.</v>
      </c>
      <c r="Z283" s="160" t="str">
        <f>CONCATENATE(X283,"-",Y283)</f>
        <v>09-Servicio de mantenimiento, dotación (HEA´s y equipo menor) y adquisición de vehiculos   especializados para la atención de emergencias.</v>
      </c>
      <c r="AA283" s="158" t="s">
        <v>221</v>
      </c>
      <c r="AB283" s="159" t="str">
        <f>IFERROR(VLOOKUP(AA283,TD!$N$51:$O$66,2,0)," ")</f>
        <v>Servicio de atención a emergencias y desastres</v>
      </c>
      <c r="AC283" s="160" t="str">
        <f>CONCATENATE(AA283,"_",AB283)</f>
        <v>004_Servicio de atención a emergencias y desastres</v>
      </c>
      <c r="AD283" s="160" t="str">
        <f>CONCATENATE(Z283," ",AC283)</f>
        <v>09-Servicio de mantenimiento, dotación (HEA´s y equipo menor) y adquisición de vehiculos   especializados para la atención de emergencias. 004_Servicio de atención a emergencias y desastres</v>
      </c>
      <c r="AE283" s="159" t="str">
        <f>CONCATENATE(U283,V283,W283,X283,AA283)</f>
        <v>O23011745032024025509004</v>
      </c>
      <c r="AF283" s="159" t="str">
        <f>IFERROR(VLOOKUP(AD283,TD!$J$66:$K$89,2,0)," ")</f>
        <v>PM/0131/0109/45030040255</v>
      </c>
      <c r="AG283" s="118" t="s">
        <v>80</v>
      </c>
      <c r="AH283" s="158" t="s">
        <v>193</v>
      </c>
      <c r="AI283" s="161" t="str">
        <f>CONCATENATE(PAA[[#This Row],[Id Interno]],"-",PAA[[#This Row],[tipo de Contrato (TH talento humano - B/S bienes y/o servicios)]],"-",S283,"-",T283,"-",PAA[[#This Row],[Objeto de la contratación]])</f>
        <v>20260245-BS-8173-4-Mantenimiento correctivo y preventivo de los equipos menores con suministro, repuestos, accesorios e insumos de propiedad de la UAECOB. – SBLG </v>
      </c>
    </row>
    <row r="284" spans="2:35" ht="56" x14ac:dyDescent="0.35">
      <c r="B284" s="23">
        <v>20260246</v>
      </c>
      <c r="C284" s="99" t="s">
        <v>523</v>
      </c>
      <c r="D284" s="23" t="s">
        <v>92</v>
      </c>
      <c r="E284" s="23" t="s">
        <v>402</v>
      </c>
      <c r="F284" s="155" t="s">
        <v>111</v>
      </c>
      <c r="G284" s="156" t="s">
        <v>376</v>
      </c>
      <c r="H284" s="157">
        <v>8</v>
      </c>
      <c r="I284" s="157">
        <v>0</v>
      </c>
      <c r="J284" s="127">
        <v>25000000</v>
      </c>
      <c r="K284" s="88" t="s">
        <v>398</v>
      </c>
      <c r="L284" s="155" t="s">
        <v>157</v>
      </c>
      <c r="M284" s="158" t="s">
        <v>512</v>
      </c>
      <c r="N284" s="23" t="s">
        <v>198</v>
      </c>
      <c r="O284" s="151" t="s">
        <v>958</v>
      </c>
      <c r="P284" s="155" t="s">
        <v>348</v>
      </c>
      <c r="Q284" s="53" t="s">
        <v>524</v>
      </c>
      <c r="R284" s="158" t="s">
        <v>213</v>
      </c>
      <c r="S284" s="158" t="str">
        <f>MID(PAA[[#This Row],[Meta Proyecto de Inversión]],1,4)</f>
        <v>8173</v>
      </c>
      <c r="T284" s="158" t="str">
        <f>MID(PAA[[#This Row],[Meta Proyecto de Inversión]],6,1)</f>
        <v>4</v>
      </c>
      <c r="U284" s="159" t="str">
        <f>IFERROR(VLOOKUP(N284,TD!$B$50:$F$54,2,0)," ")</f>
        <v>O230117</v>
      </c>
      <c r="V284" s="159" t="str">
        <f>IFERROR(VLOOKUP(N284,TD!$B$50:$F$54,3,0)," ")</f>
        <v>4503</v>
      </c>
      <c r="W284" s="159">
        <f>IFERROR(VLOOKUP(N284,TD!$B$50:$F$54,4,0)," ")</f>
        <v>20240255</v>
      </c>
      <c r="X284" s="158" t="s">
        <v>180</v>
      </c>
      <c r="Y284" s="159" t="str">
        <f>IFERROR(VLOOKUP(X284,TD!$J$51:$K$64,2,0)," ")</f>
        <v>Servicio de apoyo   logístico  en eventos operativos y/o emergencias.</v>
      </c>
      <c r="Z284" s="160" t="str">
        <f>CONCATENATE(X284,"-",Y284)</f>
        <v>12-Servicio de apoyo   logístico  en eventos operativos y/o emergencias.</v>
      </c>
      <c r="AA284" s="158" t="s">
        <v>221</v>
      </c>
      <c r="AB284" s="159" t="str">
        <f>IFERROR(VLOOKUP(AA284,TD!$N$51:$O$66,2,0)," ")</f>
        <v>Servicio de atención a emergencias y desastres</v>
      </c>
      <c r="AC284" s="160" t="str">
        <f>CONCATENATE(AA284,"_",AB284)</f>
        <v>004_Servicio de atención a emergencias y desastres</v>
      </c>
      <c r="AD284" s="160" t="str">
        <f>CONCATENATE(Z284," ",AC284)</f>
        <v>12-Servicio de apoyo   logístico  en eventos operativos y/o emergencias. 004_Servicio de atención a emergencias y desastres</v>
      </c>
      <c r="AE284" s="159" t="str">
        <f>CONCATENATE(U284,V284,W284,X284,AA284)</f>
        <v>O23011745032024025512004</v>
      </c>
      <c r="AF284" s="159" t="str">
        <f>IFERROR(VLOOKUP(AD284,TD!$J$66:$K$89,2,0)," ")</f>
        <v>PM/0131/0112/45030040255</v>
      </c>
      <c r="AG284" s="118" t="s">
        <v>125</v>
      </c>
      <c r="AH284" s="158" t="s">
        <v>193</v>
      </c>
      <c r="AI284" s="161" t="str">
        <f>CONCATENATE(PAA[[#This Row],[Id Interno]],"-",PAA[[#This Row],[tipo de Contrato (TH talento humano - B/S bienes y/o servicios)]],"-",S284,"-",T284,"-",PAA[[#This Row],[Objeto de la contratación]])</f>
        <v>20260246-BS-8173-4-Contratar el suministro de alimentación para los caninos del cuerpo oficial y animales rescatados por la U.A.E. del Cuerpo Oficial de Bomberos de Bogotá –  SBLG</v>
      </c>
    </row>
    <row r="285" spans="2:35" ht="56" x14ac:dyDescent="0.35">
      <c r="B285" s="23">
        <v>20260247</v>
      </c>
      <c r="C285" s="99" t="s">
        <v>519</v>
      </c>
      <c r="D285" s="23" t="s">
        <v>92</v>
      </c>
      <c r="E285" s="23" t="s">
        <v>402</v>
      </c>
      <c r="F285" s="155" t="s">
        <v>111</v>
      </c>
      <c r="G285" s="156" t="s">
        <v>377</v>
      </c>
      <c r="H285" s="157">
        <v>8</v>
      </c>
      <c r="I285" s="157">
        <v>0</v>
      </c>
      <c r="J285" s="127">
        <v>10000000</v>
      </c>
      <c r="K285" s="88" t="s">
        <v>398</v>
      </c>
      <c r="L285" s="155" t="s">
        <v>157</v>
      </c>
      <c r="M285" s="158" t="s">
        <v>512</v>
      </c>
      <c r="N285" s="23" t="s">
        <v>198</v>
      </c>
      <c r="O285" s="151" t="s">
        <v>958</v>
      </c>
      <c r="P285" s="155" t="s">
        <v>348</v>
      </c>
      <c r="Q285" s="53" t="s">
        <v>520</v>
      </c>
      <c r="R285" s="158" t="s">
        <v>213</v>
      </c>
      <c r="S285" s="158" t="str">
        <f>MID(PAA[[#This Row],[Meta Proyecto de Inversión]],1,4)</f>
        <v>8173</v>
      </c>
      <c r="T285" s="158" t="str">
        <f>MID(PAA[[#This Row],[Meta Proyecto de Inversión]],6,1)</f>
        <v>4</v>
      </c>
      <c r="U285" s="159" t="str">
        <f>IFERROR(VLOOKUP(N285,TD!$B$50:$F$54,2,0)," ")</f>
        <v>O230117</v>
      </c>
      <c r="V285" s="159" t="str">
        <f>IFERROR(VLOOKUP(N285,TD!$B$50:$F$54,3,0)," ")</f>
        <v>4503</v>
      </c>
      <c r="W285" s="159">
        <f>IFERROR(VLOOKUP(N285,TD!$B$50:$F$54,4,0)," ")</f>
        <v>20240255</v>
      </c>
      <c r="X285" s="158" t="s">
        <v>180</v>
      </c>
      <c r="Y285" s="159" t="str">
        <f>IFERROR(VLOOKUP(X285,TD!$J$51:$K$64,2,0)," ")</f>
        <v>Servicio de apoyo   logístico  en eventos operativos y/o emergencias.</v>
      </c>
      <c r="Z285" s="160" t="str">
        <f>CONCATENATE(X285,"-",Y285)</f>
        <v>12-Servicio de apoyo   logístico  en eventos operativos y/o emergencias.</v>
      </c>
      <c r="AA285" s="158" t="s">
        <v>221</v>
      </c>
      <c r="AB285" s="159" t="str">
        <f>IFERROR(VLOOKUP(AA285,TD!$N$51:$O$66,2,0)," ")</f>
        <v>Servicio de atención a emergencias y desastres</v>
      </c>
      <c r="AC285" s="160" t="str">
        <f>CONCATENATE(AA285,"_",AB285)</f>
        <v>004_Servicio de atención a emergencias y desastres</v>
      </c>
      <c r="AD285" s="160" t="str">
        <f>CONCATENATE(Z285," ",AC285)</f>
        <v>12-Servicio de apoyo   logístico  en eventos operativos y/o emergencias. 004_Servicio de atención a emergencias y desastres</v>
      </c>
      <c r="AE285" s="159" t="str">
        <f>CONCATENATE(U285,V285,W285,X285,AA285)</f>
        <v>O23011745032024025512004</v>
      </c>
      <c r="AF285" s="159" t="str">
        <f>IFERROR(VLOOKUP(AD285,TD!$J$66:$K$89,2,0)," ")</f>
        <v>PM/0131/0112/45030040255</v>
      </c>
      <c r="AG285" s="118" t="s">
        <v>933</v>
      </c>
      <c r="AH285" s="158" t="s">
        <v>193</v>
      </c>
      <c r="AI285" s="161" t="str">
        <f>CONCATENATE(PAA[[#This Row],[Id Interno]],"-",PAA[[#This Row],[tipo de Contrato (TH talento humano - B/S bienes y/o servicios)]],"-",S285,"-",T285,"-",PAA[[#This Row],[Objeto de la contratación]])</f>
        <v>20260247-BS-8173-4-Proveer el suministro de elementos de bioseguridad e insumos médicos básicos y otros para la atención de emergencias. - SBLG</v>
      </c>
    </row>
    <row r="286" spans="2:35" ht="56" x14ac:dyDescent="0.35">
      <c r="B286" s="23">
        <v>20260248</v>
      </c>
      <c r="C286" s="99" t="s">
        <v>521</v>
      </c>
      <c r="D286" s="23" t="s">
        <v>88</v>
      </c>
      <c r="E286" s="23" t="s">
        <v>402</v>
      </c>
      <c r="F286" s="155" t="s">
        <v>111</v>
      </c>
      <c r="G286" s="156" t="s">
        <v>377</v>
      </c>
      <c r="H286" s="157">
        <v>8</v>
      </c>
      <c r="I286" s="157">
        <v>0</v>
      </c>
      <c r="J286" s="127">
        <v>75000000</v>
      </c>
      <c r="K286" s="88" t="s">
        <v>398</v>
      </c>
      <c r="L286" s="155" t="s">
        <v>157</v>
      </c>
      <c r="M286" s="158" t="s">
        <v>512</v>
      </c>
      <c r="N286" s="23" t="s">
        <v>198</v>
      </c>
      <c r="O286" s="151" t="s">
        <v>958</v>
      </c>
      <c r="P286" s="155" t="s">
        <v>348</v>
      </c>
      <c r="Q286" s="53" t="s">
        <v>522</v>
      </c>
      <c r="R286" s="158" t="s">
        <v>213</v>
      </c>
      <c r="S286" s="158" t="str">
        <f>MID(PAA[[#This Row],[Meta Proyecto de Inversión]],1,4)</f>
        <v>8173</v>
      </c>
      <c r="T286" s="158" t="str">
        <f>MID(PAA[[#This Row],[Meta Proyecto de Inversión]],6,1)</f>
        <v>4</v>
      </c>
      <c r="U286" s="159" t="str">
        <f>IFERROR(VLOOKUP(N286,TD!$B$50:$F$54,2,0)," ")</f>
        <v>O230117</v>
      </c>
      <c r="V286" s="159" t="str">
        <f>IFERROR(VLOOKUP(N286,TD!$B$50:$F$54,3,0)," ")</f>
        <v>4503</v>
      </c>
      <c r="W286" s="159">
        <f>IFERROR(VLOOKUP(N286,TD!$B$50:$F$54,4,0)," ")</f>
        <v>20240255</v>
      </c>
      <c r="X286" s="158" t="s">
        <v>180</v>
      </c>
      <c r="Y286" s="159" t="str">
        <f>IFERROR(VLOOKUP(X286,TD!$J$51:$K$64,2,0)," ")</f>
        <v>Servicio de apoyo   logístico  en eventos operativos y/o emergencias.</v>
      </c>
      <c r="Z286" s="160" t="str">
        <f>CONCATENATE(X286,"-",Y286)</f>
        <v>12-Servicio de apoyo   logístico  en eventos operativos y/o emergencias.</v>
      </c>
      <c r="AA286" s="158" t="s">
        <v>221</v>
      </c>
      <c r="AB286" s="159" t="str">
        <f>IFERROR(VLOOKUP(AA286,TD!$N$51:$O$66,2,0)," ")</f>
        <v>Servicio de atención a emergencias y desastres</v>
      </c>
      <c r="AC286" s="160" t="str">
        <f>CONCATENATE(AA286,"_",AB286)</f>
        <v>004_Servicio de atención a emergencias y desastres</v>
      </c>
      <c r="AD286" s="160" t="str">
        <f>CONCATENATE(Z286," ",AC286)</f>
        <v>12-Servicio de apoyo   logístico  en eventos operativos y/o emergencias. 004_Servicio de atención a emergencias y desastres</v>
      </c>
      <c r="AE286" s="159" t="str">
        <f>CONCATENATE(U286,V286,W286,X286,AA286)</f>
        <v>O23011745032024025512004</v>
      </c>
      <c r="AF286" s="159" t="str">
        <f>IFERROR(VLOOKUP(AD286,TD!$J$66:$K$89,2,0)," ")</f>
        <v>PM/0131/0112/45030040255</v>
      </c>
      <c r="AG286" s="118" t="s">
        <v>102</v>
      </c>
      <c r="AH286" s="158" t="s">
        <v>193</v>
      </c>
      <c r="AI286" s="161" t="str">
        <f>CONCATENATE(PAA[[#This Row],[Id Interno]],"-",PAA[[#This Row],[tipo de Contrato (TH talento humano - B/S bienes y/o servicios)]],"-",S286,"-",T286,"-",PAA[[#This Row],[Objeto de la contratación]])</f>
        <v>20260248-BS-8173-4-Suministro de alimentación e hidratación para el cuerpo operativo en la atención de emergencias, entrenamientos, capacitaciones y actividades de prevención.-SBLG </v>
      </c>
    </row>
    <row r="287" spans="2:35" ht="56" x14ac:dyDescent="0.35">
      <c r="B287" s="23">
        <v>20260249</v>
      </c>
      <c r="C287" s="99" t="s">
        <v>529</v>
      </c>
      <c r="D287" s="23" t="s">
        <v>92</v>
      </c>
      <c r="E287" s="23" t="s">
        <v>402</v>
      </c>
      <c r="F287" s="155" t="s">
        <v>89</v>
      </c>
      <c r="G287" s="156" t="s">
        <v>377</v>
      </c>
      <c r="H287" s="157">
        <v>8</v>
      </c>
      <c r="I287" s="157">
        <v>0</v>
      </c>
      <c r="J287" s="127">
        <v>25000000</v>
      </c>
      <c r="K287" s="88" t="s">
        <v>398</v>
      </c>
      <c r="L287" s="155" t="s">
        <v>157</v>
      </c>
      <c r="M287" s="158" t="s">
        <v>512</v>
      </c>
      <c r="N287" s="23" t="s">
        <v>198</v>
      </c>
      <c r="O287" s="151" t="s">
        <v>958</v>
      </c>
      <c r="P287" s="155" t="s">
        <v>348</v>
      </c>
      <c r="Q287" s="53" t="s">
        <v>530</v>
      </c>
      <c r="R287" s="158" t="s">
        <v>213</v>
      </c>
      <c r="S287" s="158" t="str">
        <f>MID(PAA[[#This Row],[Meta Proyecto de Inversión]],1,4)</f>
        <v>8173</v>
      </c>
      <c r="T287" s="158" t="str">
        <f>MID(PAA[[#This Row],[Meta Proyecto de Inversión]],6,1)</f>
        <v>4</v>
      </c>
      <c r="U287" s="159" t="str">
        <f>IFERROR(VLOOKUP(N287,TD!$B$50:$F$54,2,0)," ")</f>
        <v>O230117</v>
      </c>
      <c r="V287" s="159" t="str">
        <f>IFERROR(VLOOKUP(N287,TD!$B$50:$F$54,3,0)," ")</f>
        <v>4503</v>
      </c>
      <c r="W287" s="159">
        <f>IFERROR(VLOOKUP(N287,TD!$B$50:$F$54,4,0)," ")</f>
        <v>20240255</v>
      </c>
      <c r="X287" s="158" t="s">
        <v>180</v>
      </c>
      <c r="Y287" s="159" t="str">
        <f>IFERROR(VLOOKUP(X287,TD!$J$51:$K$64,2,0)," ")</f>
        <v>Servicio de apoyo   logístico  en eventos operativos y/o emergencias.</v>
      </c>
      <c r="Z287" s="160" t="str">
        <f>CONCATENATE(X287,"-",Y287)</f>
        <v>12-Servicio de apoyo   logístico  en eventos operativos y/o emergencias.</v>
      </c>
      <c r="AA287" s="158" t="s">
        <v>221</v>
      </c>
      <c r="AB287" s="159" t="str">
        <f>IFERROR(VLOOKUP(AA287,TD!$N$51:$O$66,2,0)," ")</f>
        <v>Servicio de atención a emergencias y desastres</v>
      </c>
      <c r="AC287" s="160" t="str">
        <f>CONCATENATE(AA287,"_",AB287)</f>
        <v>004_Servicio de atención a emergencias y desastres</v>
      </c>
      <c r="AD287" s="160" t="str">
        <f>CONCATENATE(Z287," ",AC287)</f>
        <v>12-Servicio de apoyo   logístico  en eventos operativos y/o emergencias. 004_Servicio de atención a emergencias y desastres</v>
      </c>
      <c r="AE287" s="159" t="str">
        <f>CONCATENATE(U287,V287,W287,X287,AA287)</f>
        <v>O23011745032024025512004</v>
      </c>
      <c r="AF287" s="159" t="str">
        <f>IFERROR(VLOOKUP(AD287,TD!$J$66:$K$89,2,0)," ")</f>
        <v>PM/0131/0112/45030040255</v>
      </c>
      <c r="AG287" s="118" t="s">
        <v>125</v>
      </c>
      <c r="AH287" s="158" t="s">
        <v>193</v>
      </c>
      <c r="AI287" s="161" t="str">
        <f>CONCATENATE(PAA[[#This Row],[Id Interno]],"-",PAA[[#This Row],[tipo de Contrato (TH talento humano - B/S bienes y/o servicios)]],"-",S287,"-",T287,"-",PAA[[#This Row],[Objeto de la contratación]])</f>
        <v>20260249-BS-8173-4-Prestación de servicios médicos veterinarios, con suministro de medicamentos e insumos veterinarios y otros, para los caninos de la U.A.E. Cuerpo Oficial de Bomberos de Bogotá -  SBLG</v>
      </c>
    </row>
    <row r="288" spans="2:35" ht="56" x14ac:dyDescent="0.35">
      <c r="B288" s="23">
        <v>20260250</v>
      </c>
      <c r="C288" s="99" t="s">
        <v>533</v>
      </c>
      <c r="D288" s="23" t="s">
        <v>105</v>
      </c>
      <c r="E288" s="23" t="s">
        <v>402</v>
      </c>
      <c r="F288" s="155" t="s">
        <v>111</v>
      </c>
      <c r="G288" s="156" t="s">
        <v>377</v>
      </c>
      <c r="H288" s="157">
        <v>8</v>
      </c>
      <c r="I288" s="157">
        <v>0</v>
      </c>
      <c r="J288" s="127">
        <v>20000000</v>
      </c>
      <c r="K288" s="88" t="s">
        <v>398</v>
      </c>
      <c r="L288" s="155" t="s">
        <v>157</v>
      </c>
      <c r="M288" s="158" t="s">
        <v>512</v>
      </c>
      <c r="N288" s="23" t="s">
        <v>198</v>
      </c>
      <c r="O288" s="151" t="s">
        <v>958</v>
      </c>
      <c r="P288" s="155" t="s">
        <v>348</v>
      </c>
      <c r="Q288" s="53" t="s">
        <v>534</v>
      </c>
      <c r="R288" s="158" t="s">
        <v>213</v>
      </c>
      <c r="S288" s="158" t="str">
        <f>MID(PAA[[#This Row],[Meta Proyecto de Inversión]],1,4)</f>
        <v>8173</v>
      </c>
      <c r="T288" s="158" t="str">
        <f>MID(PAA[[#This Row],[Meta Proyecto de Inversión]],6,1)</f>
        <v>4</v>
      </c>
      <c r="U288" s="159" t="str">
        <f>IFERROR(VLOOKUP(N288,TD!$B$50:$F$54,2,0)," ")</f>
        <v>O230117</v>
      </c>
      <c r="V288" s="159" t="str">
        <f>IFERROR(VLOOKUP(N288,TD!$B$50:$F$54,3,0)," ")</f>
        <v>4503</v>
      </c>
      <c r="W288" s="159">
        <f>IFERROR(VLOOKUP(N288,TD!$B$50:$F$54,4,0)," ")</f>
        <v>20240255</v>
      </c>
      <c r="X288" s="158" t="s">
        <v>176</v>
      </c>
      <c r="Y288" s="159" t="str">
        <f>IFERROR(VLOOKUP(X288,TD!$J$51:$K$64,2,0)," ")</f>
        <v>Servicio de mantenimiento, dotación (HEA´s y equipo menor) y adquisición de vehiculos   especializados para la atención de emergencias.</v>
      </c>
      <c r="Z288" s="160" t="str">
        <f>CONCATENATE(X288,"-",Y288)</f>
        <v>09-Servicio de mantenimiento, dotación (HEA´s y equipo menor) y adquisición de vehiculos   especializados para la atención de emergencias.</v>
      </c>
      <c r="AA288" s="158" t="s">
        <v>221</v>
      </c>
      <c r="AB288" s="159" t="str">
        <f>IFERROR(VLOOKUP(AA288,TD!$N$51:$O$66,2,0)," ")</f>
        <v>Servicio de atención a emergencias y desastres</v>
      </c>
      <c r="AC288" s="160" t="str">
        <f>CONCATENATE(AA288,"_",AB288)</f>
        <v>004_Servicio de atención a emergencias y desastres</v>
      </c>
      <c r="AD288" s="160" t="str">
        <f>CONCATENATE(Z288," ",AC288)</f>
        <v>09-Servicio de mantenimiento, dotación (HEA´s y equipo menor) y adquisición de vehiculos   especializados para la atención de emergencias. 004_Servicio de atención a emergencias y desastres</v>
      </c>
      <c r="AE288" s="159" t="str">
        <f>CONCATENATE(U288,V288,W288,X288,AA288)</f>
        <v>O23011745032024025509004</v>
      </c>
      <c r="AF288" s="159" t="str">
        <f>IFERROR(VLOOKUP(AD288,TD!$J$66:$K$89,2,0)," ")</f>
        <v>PM/0131/0109/45030040255</v>
      </c>
      <c r="AG288" s="118" t="s">
        <v>585</v>
      </c>
      <c r="AH288" s="158" t="s">
        <v>193</v>
      </c>
      <c r="AI288" s="161" t="str">
        <f>CONCATENATE(PAA[[#This Row],[Id Interno]],"-",PAA[[#This Row],[tipo de Contrato (TH talento humano - B/S bienes y/o servicios)]],"-",S288,"-",T288,"-",PAA[[#This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289" spans="2:35" ht="56" x14ac:dyDescent="0.35">
      <c r="B289" s="23">
        <v>20260251</v>
      </c>
      <c r="C289" s="99" t="s">
        <v>671</v>
      </c>
      <c r="D289" s="23" t="s">
        <v>88</v>
      </c>
      <c r="E289" s="23" t="s">
        <v>402</v>
      </c>
      <c r="F289" s="155" t="s">
        <v>89</v>
      </c>
      <c r="G289" s="156" t="s">
        <v>377</v>
      </c>
      <c r="H289" s="157">
        <v>8</v>
      </c>
      <c r="I289" s="157">
        <v>0</v>
      </c>
      <c r="J289" s="127">
        <v>3419000</v>
      </c>
      <c r="K289" s="88" t="s">
        <v>398</v>
      </c>
      <c r="L289" s="155" t="s">
        <v>157</v>
      </c>
      <c r="M289" s="158" t="s">
        <v>512</v>
      </c>
      <c r="N289" s="23" t="s">
        <v>198</v>
      </c>
      <c r="O289" s="151" t="s">
        <v>958</v>
      </c>
      <c r="P289" s="155" t="s">
        <v>161</v>
      </c>
      <c r="Q289" s="53" t="s">
        <v>535</v>
      </c>
      <c r="R289" s="158" t="s">
        <v>213</v>
      </c>
      <c r="S289" s="158" t="str">
        <f>MID(PAA[[#This Row],[Meta Proyecto de Inversión]],1,4)</f>
        <v>8173</v>
      </c>
      <c r="T289" s="158" t="str">
        <f>MID(PAA[[#This Row],[Meta Proyecto de Inversión]],6,1)</f>
        <v>4</v>
      </c>
      <c r="U289" s="159" t="str">
        <f>IFERROR(VLOOKUP(N289,TD!$B$50:$F$54,2,0)," ")</f>
        <v>O230117</v>
      </c>
      <c r="V289" s="159" t="str">
        <f>IFERROR(VLOOKUP(N289,TD!$B$50:$F$54,3,0)," ")</f>
        <v>4503</v>
      </c>
      <c r="W289" s="159">
        <f>IFERROR(VLOOKUP(N289,TD!$B$50:$F$54,4,0)," ")</f>
        <v>20240255</v>
      </c>
      <c r="X289" s="158" t="s">
        <v>176</v>
      </c>
      <c r="Y289" s="159" t="str">
        <f>IFERROR(VLOOKUP(X289,TD!$J$51:$K$64,2,0)," ")</f>
        <v>Servicio de mantenimiento, dotación (HEA´s y equipo menor) y adquisición de vehiculos   especializados para la atención de emergencias.</v>
      </c>
      <c r="Z289" s="160" t="str">
        <f>CONCATENATE(X289,"-",Y289)</f>
        <v>09-Servicio de mantenimiento, dotación (HEA´s y equipo menor) y adquisición de vehiculos   especializados para la atención de emergencias.</v>
      </c>
      <c r="AA289" s="162" t="s">
        <v>221</v>
      </c>
      <c r="AB289" s="159" t="str">
        <f>IFERROR(VLOOKUP(AA289,TD!$N$51:$O$66,2,0)," ")</f>
        <v>Servicio de atención a emergencias y desastres</v>
      </c>
      <c r="AC289" s="160" t="str">
        <f>CONCATENATE(AA289,"_",AB289)</f>
        <v>004_Servicio de atención a emergencias y desastres</v>
      </c>
      <c r="AD289" s="160" t="str">
        <f>CONCATENATE(Z289," ",AC289)</f>
        <v>09-Servicio de mantenimiento, dotación (HEA´s y equipo menor) y adquisición de vehiculos   especializados para la atención de emergencias. 004_Servicio de atención a emergencias y desastres</v>
      </c>
      <c r="AE289" s="159" t="str">
        <f>CONCATENATE(U289,V289,W289,X289,AA289)</f>
        <v>O23011745032024025509004</v>
      </c>
      <c r="AF289" s="159" t="str">
        <f>IFERROR(VLOOKUP(AD289,TD!$J$66:$K$89,2,0)," ")</f>
        <v>PM/0131/0109/45030040255</v>
      </c>
      <c r="AG289" s="118" t="s">
        <v>80</v>
      </c>
      <c r="AH289" s="158" t="s">
        <v>193</v>
      </c>
      <c r="AI289" s="161" t="str">
        <f>CONCATENATE(PAA[[#This Row],[Id Interno]],"-",PAA[[#This Row],[tipo de Contrato (TH talento humano - B/S bienes y/o servicios)]],"-",S289,"-",T289,"-",PAA[[#This Row],[Objeto de la contratación]])</f>
        <v>20260251-BS-8173-4-Prestar el servicio de  mantenimiento y recarga de extintores, cilindros y tanques de las maquinas extintoras de la UAECOB.  - SBLG</v>
      </c>
    </row>
    <row r="290" spans="2:35" ht="56" x14ac:dyDescent="0.35">
      <c r="B290" s="23">
        <v>20260252</v>
      </c>
      <c r="C290" s="99" t="s">
        <v>517</v>
      </c>
      <c r="D290" s="23" t="s">
        <v>105</v>
      </c>
      <c r="E290" s="23" t="s">
        <v>402</v>
      </c>
      <c r="F290" s="155" t="s">
        <v>89</v>
      </c>
      <c r="G290" s="156" t="s">
        <v>381</v>
      </c>
      <c r="H290" s="157">
        <v>8</v>
      </c>
      <c r="I290" s="157">
        <v>0</v>
      </c>
      <c r="J290" s="127">
        <v>20000000</v>
      </c>
      <c r="K290" s="88" t="s">
        <v>398</v>
      </c>
      <c r="L290" s="155" t="s">
        <v>157</v>
      </c>
      <c r="M290" s="158" t="s">
        <v>512</v>
      </c>
      <c r="N290" s="23" t="s">
        <v>198</v>
      </c>
      <c r="O290" s="151" t="s">
        <v>958</v>
      </c>
      <c r="P290" s="155" t="s">
        <v>348</v>
      </c>
      <c r="Q290" s="53" t="s">
        <v>518</v>
      </c>
      <c r="R290" s="158" t="s">
        <v>213</v>
      </c>
      <c r="S290" s="158" t="str">
        <f>MID(PAA[[#This Row],[Meta Proyecto de Inversión]],1,4)</f>
        <v>8173</v>
      </c>
      <c r="T290" s="158" t="str">
        <f>MID(PAA[[#This Row],[Meta Proyecto de Inversión]],6,1)</f>
        <v>4</v>
      </c>
      <c r="U290" s="159" t="str">
        <f>IFERROR(VLOOKUP(N290,TD!$B$50:$F$54,2,0)," ")</f>
        <v>O230117</v>
      </c>
      <c r="V290" s="159" t="str">
        <f>IFERROR(VLOOKUP(N290,TD!$B$50:$F$54,3,0)," ")</f>
        <v>4503</v>
      </c>
      <c r="W290" s="159">
        <f>IFERROR(VLOOKUP(N290,TD!$B$50:$F$54,4,0)," ")</f>
        <v>20240255</v>
      </c>
      <c r="X290" s="158" t="s">
        <v>176</v>
      </c>
      <c r="Y290" s="159" t="str">
        <f>IFERROR(VLOOKUP(X290,TD!$J$51:$K$64,2,0)," ")</f>
        <v>Servicio de mantenimiento, dotación (HEA´s y equipo menor) y adquisición de vehiculos   especializados para la atención de emergencias.</v>
      </c>
      <c r="Z290" s="160" t="str">
        <f>CONCATENATE(X290,"-",Y290)</f>
        <v>09-Servicio de mantenimiento, dotación (HEA´s y equipo menor) y adquisición de vehiculos   especializados para la atención de emergencias.</v>
      </c>
      <c r="AA290" s="162" t="s">
        <v>221</v>
      </c>
      <c r="AB290" s="159" t="str">
        <f>IFERROR(VLOOKUP(AA290,TD!$N$51:$O$66,2,0)," ")</f>
        <v>Servicio de atención a emergencias y desastres</v>
      </c>
      <c r="AC290" s="160" t="str">
        <f>CONCATENATE(AA290,"_",AB290)</f>
        <v>004_Servicio de atención a emergencias y desastres</v>
      </c>
      <c r="AD290" s="160" t="str">
        <f>CONCATENATE(Z290," ",AC290)</f>
        <v>09-Servicio de mantenimiento, dotación (HEA´s y equipo menor) y adquisición de vehiculos   especializados para la atención de emergencias. 004_Servicio de atención a emergencias y desastres</v>
      </c>
      <c r="AE290" s="159" t="str">
        <f>CONCATENATE(U290,V290,W290,X290,AA290)</f>
        <v>O23011745032024025509004</v>
      </c>
      <c r="AF290" s="159" t="str">
        <f>IFERROR(VLOOKUP(AD290,TD!$J$66:$K$89,2,0)," ")</f>
        <v>PM/0131/0109/45030040255</v>
      </c>
      <c r="AG290" s="118" t="s">
        <v>585</v>
      </c>
      <c r="AH290" s="158" t="s">
        <v>193</v>
      </c>
      <c r="AI290" s="161" t="str">
        <f>CONCATENATE(PAA[[#This Row],[Id Interno]],"-",PAA[[#This Row],[tipo de Contrato (TH talento humano - B/S bienes y/o servicios)]],"-",S290,"-",T290,"-",PAA[[#This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291" spans="2:35" ht="56" x14ac:dyDescent="0.35">
      <c r="B291" s="23">
        <v>20260254</v>
      </c>
      <c r="C291" s="99" t="s">
        <v>527</v>
      </c>
      <c r="D291" s="23" t="s">
        <v>105</v>
      </c>
      <c r="E291" s="23" t="s">
        <v>402</v>
      </c>
      <c r="F291" s="155" t="s">
        <v>146</v>
      </c>
      <c r="G291" s="156" t="s">
        <v>381</v>
      </c>
      <c r="H291" s="157">
        <v>6</v>
      </c>
      <c r="I291" s="157">
        <v>0</v>
      </c>
      <c r="J291" s="127">
        <v>20000000</v>
      </c>
      <c r="K291" s="88" t="s">
        <v>398</v>
      </c>
      <c r="L291" s="155" t="s">
        <v>157</v>
      </c>
      <c r="M291" s="158" t="s">
        <v>512</v>
      </c>
      <c r="N291" s="23" t="s">
        <v>198</v>
      </c>
      <c r="O291" s="151" t="s">
        <v>958</v>
      </c>
      <c r="P291" s="155" t="s">
        <v>348</v>
      </c>
      <c r="Q291" s="53" t="s">
        <v>528</v>
      </c>
      <c r="R291" s="158" t="s">
        <v>213</v>
      </c>
      <c r="S291" s="158" t="str">
        <f>MID(PAA[[#This Row],[Meta Proyecto de Inversión]],1,4)</f>
        <v>8173</v>
      </c>
      <c r="T291" s="158" t="str">
        <f>MID(PAA[[#This Row],[Meta Proyecto de Inversión]],6,1)</f>
        <v>4</v>
      </c>
      <c r="U291" s="159" t="str">
        <f>IFERROR(VLOOKUP(N291,TD!$B$50:$F$54,2,0)," ")</f>
        <v>O230117</v>
      </c>
      <c r="V291" s="159" t="str">
        <f>IFERROR(VLOOKUP(N291,TD!$B$50:$F$54,3,0)," ")</f>
        <v>4503</v>
      </c>
      <c r="W291" s="159">
        <f>IFERROR(VLOOKUP(N291,TD!$B$50:$F$54,4,0)," ")</f>
        <v>20240255</v>
      </c>
      <c r="X291" s="158" t="s">
        <v>176</v>
      </c>
      <c r="Y291" s="159" t="str">
        <f>IFERROR(VLOOKUP(X291,TD!$J$51:$K$64,2,0)," ")</f>
        <v>Servicio de mantenimiento, dotación (HEA´s y equipo menor) y adquisición de vehiculos   especializados para la atención de emergencias.</v>
      </c>
      <c r="Z291" s="160" t="str">
        <f>CONCATENATE(X291,"-",Y291)</f>
        <v>09-Servicio de mantenimiento, dotación (HEA´s y equipo menor) y adquisición de vehiculos   especializados para la atención de emergencias.</v>
      </c>
      <c r="AA291" s="162" t="s">
        <v>221</v>
      </c>
      <c r="AB291" s="159" t="str">
        <f>IFERROR(VLOOKUP(AA291,TD!$N$51:$O$66,2,0)," ")</f>
        <v>Servicio de atención a emergencias y desastres</v>
      </c>
      <c r="AC291" s="160" t="str">
        <f>CONCATENATE(AA291,"_",AB291)</f>
        <v>004_Servicio de atención a emergencias y desastres</v>
      </c>
      <c r="AD291" s="160" t="str">
        <f>CONCATENATE(Z291," ",AC291)</f>
        <v>09-Servicio de mantenimiento, dotación (HEA´s y equipo menor) y adquisición de vehiculos   especializados para la atención de emergencias. 004_Servicio de atención a emergencias y desastres</v>
      </c>
      <c r="AE291" s="159" t="str">
        <f>CONCATENATE(U291,V291,W291,X291,AA291)</f>
        <v>O23011745032024025509004</v>
      </c>
      <c r="AF291" s="159" t="str">
        <f>IFERROR(VLOOKUP(AD291,TD!$J$66:$K$89,2,0)," ")</f>
        <v>PM/0131/0109/45030040255</v>
      </c>
      <c r="AG291" s="118" t="s">
        <v>80</v>
      </c>
      <c r="AH291" s="158" t="s">
        <v>193</v>
      </c>
      <c r="AI291" s="161" t="str">
        <f>CONCATENATE(PAA[[#This Row],[Id Interno]],"-",PAA[[#This Row],[tipo de Contrato (TH talento humano - B/S bienes y/o servicios)]],"-",S291,"-",T291,"-",PAA[[#This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292" spans="2:35" ht="70" x14ac:dyDescent="0.35">
      <c r="B292" s="23">
        <v>20260256</v>
      </c>
      <c r="C292" s="99" t="s">
        <v>531</v>
      </c>
      <c r="D292" s="23" t="s">
        <v>105</v>
      </c>
      <c r="E292" s="23" t="s">
        <v>402</v>
      </c>
      <c r="F292" s="155" t="s">
        <v>111</v>
      </c>
      <c r="G292" s="156" t="s">
        <v>382</v>
      </c>
      <c r="H292" s="157">
        <v>5</v>
      </c>
      <c r="I292" s="157">
        <v>0</v>
      </c>
      <c r="J292" s="127">
        <v>20000000</v>
      </c>
      <c r="K292" s="88" t="s">
        <v>398</v>
      </c>
      <c r="L292" s="155" t="s">
        <v>157</v>
      </c>
      <c r="M292" s="158" t="s">
        <v>512</v>
      </c>
      <c r="N292" s="23" t="s">
        <v>198</v>
      </c>
      <c r="O292" s="151" t="s">
        <v>958</v>
      </c>
      <c r="P292" s="155" t="s">
        <v>348</v>
      </c>
      <c r="Q292" s="53" t="s">
        <v>532</v>
      </c>
      <c r="R292" s="158" t="s">
        <v>213</v>
      </c>
      <c r="S292" s="158" t="str">
        <f>MID(PAA[[#This Row],[Meta Proyecto de Inversión]],1,4)</f>
        <v>8173</v>
      </c>
      <c r="T292" s="158" t="str">
        <f>MID(PAA[[#This Row],[Meta Proyecto de Inversión]],6,1)</f>
        <v>4</v>
      </c>
      <c r="U292" s="159" t="str">
        <f>IFERROR(VLOOKUP(N292,TD!$B$50:$F$54,2,0)," ")</f>
        <v>O230117</v>
      </c>
      <c r="V292" s="159" t="str">
        <f>IFERROR(VLOOKUP(N292,TD!$B$50:$F$54,3,0)," ")</f>
        <v>4503</v>
      </c>
      <c r="W292" s="159">
        <f>IFERROR(VLOOKUP(N292,TD!$B$50:$F$54,4,0)," ")</f>
        <v>20240255</v>
      </c>
      <c r="X292" s="158" t="s">
        <v>176</v>
      </c>
      <c r="Y292" s="159" t="str">
        <f>IFERROR(VLOOKUP(X292,TD!$J$51:$K$64,2,0)," ")</f>
        <v>Servicio de mantenimiento, dotación (HEA´s y equipo menor) y adquisición de vehiculos   especializados para la atención de emergencias.</v>
      </c>
      <c r="Z292" s="160" t="str">
        <f>CONCATENATE(X292,"-",Y292)</f>
        <v>09-Servicio de mantenimiento, dotación (HEA´s y equipo menor) y adquisición de vehiculos   especializados para la atención de emergencias.</v>
      </c>
      <c r="AA292" s="162" t="s">
        <v>221</v>
      </c>
      <c r="AB292" s="159" t="str">
        <f>IFERROR(VLOOKUP(AA292,TD!$N$51:$O$66,2,0)," ")</f>
        <v>Servicio de atención a emergencias y desastres</v>
      </c>
      <c r="AC292" s="160" t="str">
        <f>CONCATENATE(AA292,"_",AB292)</f>
        <v>004_Servicio de atención a emergencias y desastres</v>
      </c>
      <c r="AD292" s="160" t="str">
        <f>CONCATENATE(Z292," ",AC292)</f>
        <v>09-Servicio de mantenimiento, dotación (HEA´s y equipo menor) y adquisición de vehiculos   especializados para la atención de emergencias. 004_Servicio de atención a emergencias y desastres</v>
      </c>
      <c r="AE292" s="159" t="str">
        <f>CONCATENATE(U292,V292,W292,X292,AA292)</f>
        <v>O23011745032024025509004</v>
      </c>
      <c r="AF292" s="159" t="str">
        <f>IFERROR(VLOOKUP(AD292,TD!$J$66:$K$89,2,0)," ")</f>
        <v>PM/0131/0109/45030040255</v>
      </c>
      <c r="AG292" s="118" t="s">
        <v>80</v>
      </c>
      <c r="AH292" s="158" t="s">
        <v>193</v>
      </c>
      <c r="AI292" s="161" t="str">
        <f>CONCATENATE(PAA[[#This Row],[Id Interno]],"-",PAA[[#This Row],[tipo de Contrato (TH talento humano - B/S bienes y/o servicios)]],"-",S292,"-",T292,"-",PAA[[#This Row],[Objeto de la contratación]])</f>
        <v>20260256-BS-8173-4-Prestar el servicio de mantenimiento preventivo y correctivo de los Equipos de Rescate Vehicular HOLMATRO propiedad de la UAECOB, incluido el suministro de repuestos, insumos y mano de obra especializada -  SBLG</v>
      </c>
    </row>
    <row r="293" spans="2:35" ht="70" x14ac:dyDescent="0.35">
      <c r="B293" s="23">
        <v>20260257</v>
      </c>
      <c r="C293" s="99" t="s">
        <v>672</v>
      </c>
      <c r="D293" s="23" t="s">
        <v>92</v>
      </c>
      <c r="E293" s="23" t="s">
        <v>402</v>
      </c>
      <c r="F293" s="155" t="s">
        <v>89</v>
      </c>
      <c r="G293" s="156" t="s">
        <v>375</v>
      </c>
      <c r="H293" s="157">
        <v>12</v>
      </c>
      <c r="I293" s="157">
        <v>0</v>
      </c>
      <c r="J293" s="127">
        <v>49000000</v>
      </c>
      <c r="K293" s="88" t="s">
        <v>398</v>
      </c>
      <c r="L293" s="155" t="s">
        <v>157</v>
      </c>
      <c r="M293" s="158" t="s">
        <v>512</v>
      </c>
      <c r="N293" s="23" t="s">
        <v>330</v>
      </c>
      <c r="O293" s="151" t="s">
        <v>957</v>
      </c>
      <c r="P293" s="155" t="s">
        <v>161</v>
      </c>
      <c r="Q293" s="53">
        <v>78181505</v>
      </c>
      <c r="R293" s="158" t="s">
        <v>331</v>
      </c>
      <c r="S293" s="158" t="str">
        <f>MID(PAA[[#This Row],[Meta Proyecto de Inversión]],1,4)</f>
        <v>No a</v>
      </c>
      <c r="T293" s="158" t="str">
        <f>MID(PAA[[#This Row],[Meta Proyecto de Inversión]],6,1)</f>
        <v>l</v>
      </c>
      <c r="U293" s="159" t="str">
        <f>IFERROR(VLOOKUP(N293,TD!$B$50:$F$54,2,0)," ")</f>
        <v>NA</v>
      </c>
      <c r="V293" s="159" t="str">
        <f>IFERROR(VLOOKUP(N293,TD!$B$50:$F$54,3,0)," ")</f>
        <v>NA</v>
      </c>
      <c r="W293" s="159" t="str">
        <f>IFERROR(VLOOKUP(N293,TD!$B$50:$F$54,4,0)," ")</f>
        <v>NA</v>
      </c>
      <c r="X293" s="158" t="s">
        <v>335</v>
      </c>
      <c r="Y293" s="159" t="str">
        <f>IFERROR(VLOOKUP(X293,TD!$J$51:$K$64,2,0)," ")</f>
        <v>N/A</v>
      </c>
      <c r="Z293" s="160" t="str">
        <f>CONCATENATE(X293,"-",Y293)</f>
        <v>N/A-N/A</v>
      </c>
      <c r="AA293" s="162" t="s">
        <v>335</v>
      </c>
      <c r="AB293" s="159" t="str">
        <f>IFERROR(VLOOKUP(AA293,TD!$N$51:$O$66,2,0)," ")</f>
        <v>N/A</v>
      </c>
      <c r="AC293" s="160" t="str">
        <f>CONCATENATE(AA293,"_",AB293)</f>
        <v>N/A_N/A</v>
      </c>
      <c r="AD293" s="160" t="str">
        <f>CONCATENATE(Z293," ",AC293)</f>
        <v>N/A-N/A N/A_N/A</v>
      </c>
      <c r="AE293" s="159" t="str">
        <f>CONCATENATE(U293,V293,W293,X293,AA293)</f>
        <v>NANANAN/AN/A</v>
      </c>
      <c r="AF293" s="159" t="str">
        <f>IFERROR(VLOOKUP(AD293,TD!$J$66:$K$89,2,0)," ")</f>
        <v>N/A</v>
      </c>
      <c r="AG293" s="118" t="s">
        <v>332</v>
      </c>
      <c r="AH293" s="158" t="s">
        <v>193</v>
      </c>
      <c r="AI293" s="161" t="str">
        <f>CONCATENATE(PAA[[#This Row],[Id Interno]],"-",PAA[[#This Row],[tipo de Contrato (TH talento humano - B/S bienes y/o servicios)]],"-",S293,"-",T293,"-",PAA[[#This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94" spans="2:35" ht="70" x14ac:dyDescent="0.35">
      <c r="B294" s="23">
        <v>20260258</v>
      </c>
      <c r="C294" s="99" t="s">
        <v>874</v>
      </c>
      <c r="D294" s="99" t="s">
        <v>105</v>
      </c>
      <c r="E294" s="99" t="s">
        <v>363</v>
      </c>
      <c r="F294" s="156" t="s">
        <v>145</v>
      </c>
      <c r="G294" s="156" t="s">
        <v>373</v>
      </c>
      <c r="H294" s="163">
        <v>10</v>
      </c>
      <c r="I294" s="163">
        <v>0</v>
      </c>
      <c r="J294" s="118">
        <v>31000000</v>
      </c>
      <c r="K294" s="126" t="s">
        <v>398</v>
      </c>
      <c r="L294" s="156" t="s">
        <v>158</v>
      </c>
      <c r="M294" s="162" t="s">
        <v>421</v>
      </c>
      <c r="N294" s="99" t="s">
        <v>198</v>
      </c>
      <c r="O294" s="151" t="s">
        <v>958</v>
      </c>
      <c r="P294" s="156" t="s">
        <v>348</v>
      </c>
      <c r="Q294" s="128">
        <v>80111600</v>
      </c>
      <c r="R294" s="162" t="s">
        <v>211</v>
      </c>
      <c r="S294" s="158" t="str">
        <f>MID(PAA[[#This Row],[Meta Proyecto de Inversión]],1,4)</f>
        <v>8173</v>
      </c>
      <c r="T294" s="158" t="str">
        <f>MID(PAA[[#This Row],[Meta Proyecto de Inversión]],6,1)</f>
        <v>2</v>
      </c>
      <c r="U294" s="159" t="str">
        <f>IFERROR(VLOOKUP(N294,TD!$B$50:$F$54,2,0)," ")</f>
        <v>O230117</v>
      </c>
      <c r="V294" s="159" t="str">
        <f>IFERROR(VLOOKUP(N294,TD!$B$50:$F$54,3,0)," ")</f>
        <v>4503</v>
      </c>
      <c r="W294" s="159">
        <f>IFERROR(VLOOKUP(N294,TD!$B$50:$F$54,4,0)," ")</f>
        <v>20240255</v>
      </c>
      <c r="X294" s="158" t="s">
        <v>164</v>
      </c>
      <c r="Y294" s="159" t="str">
        <f>IFERROR(VLOOKUP(X294,TD!$J$51:$K$64,2,0)," ")</f>
        <v>Servicio de atención a incidentes y emergencias.</v>
      </c>
      <c r="Z294" s="160" t="str">
        <f>CONCATENATE(X294,"-",Y294)</f>
        <v>04-Servicio de atención a incidentes y emergencias.</v>
      </c>
      <c r="AA294" s="162" t="s">
        <v>221</v>
      </c>
      <c r="AB294" s="159" t="str">
        <f>IFERROR(VLOOKUP(AA294,TD!$N$51:$O$66,2,0)," ")</f>
        <v>Servicio de atención a emergencias y desastres</v>
      </c>
      <c r="AC294" s="160" t="str">
        <f>CONCATENATE(AA294,"_",AB294)</f>
        <v>004_Servicio de atención a emergencias y desastres</v>
      </c>
      <c r="AD294" s="160" t="str">
        <f>CONCATENATE(Z294," ",AC294)</f>
        <v>04-Servicio de atención a incidentes y emergencias. 004_Servicio de atención a emergencias y desastres</v>
      </c>
      <c r="AE294" s="159" t="str">
        <f>CONCATENATE(U294,V294,W294,X294,AA294)</f>
        <v>O23011745032024025504004</v>
      </c>
      <c r="AF294" s="159" t="str">
        <f>IFERROR(VLOOKUP(AD294,TD!$J$66:$K$89,2,0)," ")</f>
        <v>PM/0131/0104/45030040255</v>
      </c>
      <c r="AG294" s="118" t="s">
        <v>385</v>
      </c>
      <c r="AH294" s="158" t="s">
        <v>193</v>
      </c>
      <c r="AI294" s="161" t="str">
        <f>CONCATENATE(PAA[[#This Row],[Id Interno]],"-",PAA[[#This Row],[tipo de Contrato (TH talento humano - B/S bienes y/o servicios)]],"-",S294,"-",T294,"-",PAA[[#This Row],[Objeto de la contratación]])</f>
        <v>20260258-TH-8173-2-Prestación de servicios de apoyo al proceso de comunicaciones en emergencias del centro de coordinación y comunicaciones (c.c.c.), para el desarrollo de los programas a cargo de la Subdirección Operativa-S.O.</v>
      </c>
    </row>
    <row r="295" spans="2:35" ht="70" x14ac:dyDescent="0.35">
      <c r="B295" s="23">
        <v>20260259</v>
      </c>
      <c r="C295" s="99" t="s">
        <v>874</v>
      </c>
      <c r="D295" s="99" t="s">
        <v>105</v>
      </c>
      <c r="E295" s="99" t="s">
        <v>363</v>
      </c>
      <c r="F295" s="156" t="s">
        <v>145</v>
      </c>
      <c r="G295" s="156" t="s">
        <v>373</v>
      </c>
      <c r="H295" s="163">
        <v>10</v>
      </c>
      <c r="I295" s="163">
        <v>0</v>
      </c>
      <c r="J295" s="118">
        <v>31000000</v>
      </c>
      <c r="K295" s="126" t="s">
        <v>398</v>
      </c>
      <c r="L295" s="156" t="s">
        <v>158</v>
      </c>
      <c r="M295" s="162" t="s">
        <v>421</v>
      </c>
      <c r="N295" s="99" t="s">
        <v>198</v>
      </c>
      <c r="O295" s="151" t="s">
        <v>958</v>
      </c>
      <c r="P295" s="156" t="s">
        <v>348</v>
      </c>
      <c r="Q295" s="128">
        <v>80111600</v>
      </c>
      <c r="R295" s="162" t="s">
        <v>211</v>
      </c>
      <c r="S295" s="158" t="str">
        <f>MID(PAA[[#This Row],[Meta Proyecto de Inversión]],1,4)</f>
        <v>8173</v>
      </c>
      <c r="T295" s="158" t="str">
        <f>MID(PAA[[#This Row],[Meta Proyecto de Inversión]],6,1)</f>
        <v>2</v>
      </c>
      <c r="U295" s="159" t="str">
        <f>IFERROR(VLOOKUP(N295,TD!$B$50:$F$54,2,0)," ")</f>
        <v>O230117</v>
      </c>
      <c r="V295" s="159" t="str">
        <f>IFERROR(VLOOKUP(N295,TD!$B$50:$F$54,3,0)," ")</f>
        <v>4503</v>
      </c>
      <c r="W295" s="159">
        <f>IFERROR(VLOOKUP(N295,TD!$B$50:$F$54,4,0)," ")</f>
        <v>20240255</v>
      </c>
      <c r="X295" s="158" t="s">
        <v>164</v>
      </c>
      <c r="Y295" s="159" t="str">
        <f>IFERROR(VLOOKUP(X295,TD!$J$51:$K$64,2,0)," ")</f>
        <v>Servicio de atención a incidentes y emergencias.</v>
      </c>
      <c r="Z295" s="160" t="str">
        <f>CONCATENATE(X295,"-",Y295)</f>
        <v>04-Servicio de atención a incidentes y emergencias.</v>
      </c>
      <c r="AA295" s="162" t="s">
        <v>221</v>
      </c>
      <c r="AB295" s="159" t="str">
        <f>IFERROR(VLOOKUP(AA295,TD!$N$51:$O$66,2,0)," ")</f>
        <v>Servicio de atención a emergencias y desastres</v>
      </c>
      <c r="AC295" s="160" t="str">
        <f>CONCATENATE(AA295,"_",AB295)</f>
        <v>004_Servicio de atención a emergencias y desastres</v>
      </c>
      <c r="AD295" s="160" t="str">
        <f>CONCATENATE(Z295," ",AC295)</f>
        <v>04-Servicio de atención a incidentes y emergencias. 004_Servicio de atención a emergencias y desastres</v>
      </c>
      <c r="AE295" s="159" t="str">
        <f>CONCATENATE(U295,V295,W295,X295,AA295)</f>
        <v>O23011745032024025504004</v>
      </c>
      <c r="AF295" s="159" t="str">
        <f>IFERROR(VLOOKUP(AD295,TD!$J$66:$K$89,2,0)," ")</f>
        <v>PM/0131/0104/45030040255</v>
      </c>
      <c r="AG295" s="118" t="s">
        <v>385</v>
      </c>
      <c r="AH295" s="158" t="s">
        <v>193</v>
      </c>
      <c r="AI295" s="161" t="str">
        <f>CONCATENATE(PAA[[#This Row],[Id Interno]],"-",PAA[[#This Row],[tipo de Contrato (TH talento humano - B/S bienes y/o servicios)]],"-",S295,"-",T295,"-",PAA[[#This Row],[Objeto de la contratación]])</f>
        <v>20260259-TH-8173-2-Prestación de servicios de apoyo al proceso de comunicaciones en emergencias del centro de coordinación y comunicaciones (c.c.c.), para el desarrollo de los programas a cargo de la Subdirección Operativa-S.O.</v>
      </c>
    </row>
    <row r="296" spans="2:35" ht="84" x14ac:dyDescent="0.35">
      <c r="B296" s="23">
        <v>20260260</v>
      </c>
      <c r="C296" s="99" t="s">
        <v>874</v>
      </c>
      <c r="D296" s="99" t="s">
        <v>105</v>
      </c>
      <c r="E296" s="99" t="s">
        <v>363</v>
      </c>
      <c r="F296" s="156" t="s">
        <v>145</v>
      </c>
      <c r="G296" s="156" t="s">
        <v>373</v>
      </c>
      <c r="H296" s="163">
        <v>10</v>
      </c>
      <c r="I296" s="163">
        <v>0</v>
      </c>
      <c r="J296" s="118">
        <v>31000000</v>
      </c>
      <c r="K296" s="126" t="s">
        <v>398</v>
      </c>
      <c r="L296" s="156" t="s">
        <v>158</v>
      </c>
      <c r="M296" s="162" t="s">
        <v>421</v>
      </c>
      <c r="N296" s="99" t="s">
        <v>198</v>
      </c>
      <c r="O296" s="151" t="s">
        <v>958</v>
      </c>
      <c r="P296" s="156" t="s">
        <v>348</v>
      </c>
      <c r="Q296" s="128">
        <v>80111600</v>
      </c>
      <c r="R296" s="162" t="s">
        <v>211</v>
      </c>
      <c r="S296" s="158" t="str">
        <f>MID(PAA[[#This Row],[Meta Proyecto de Inversión]],1,4)</f>
        <v>8173</v>
      </c>
      <c r="T296" s="158" t="str">
        <f>MID(PAA[[#This Row],[Meta Proyecto de Inversión]],6,1)</f>
        <v>2</v>
      </c>
      <c r="U296" s="159" t="str">
        <f>IFERROR(VLOOKUP(N296,TD!$B$50:$F$54,2,0)," ")</f>
        <v>O230117</v>
      </c>
      <c r="V296" s="159" t="str">
        <f>IFERROR(VLOOKUP(N296,TD!$B$50:$F$54,3,0)," ")</f>
        <v>4503</v>
      </c>
      <c r="W296" s="159">
        <f>IFERROR(VLOOKUP(N296,TD!$B$50:$F$54,4,0)," ")</f>
        <v>20240255</v>
      </c>
      <c r="X296" s="158" t="s">
        <v>164</v>
      </c>
      <c r="Y296" s="159" t="str">
        <f>IFERROR(VLOOKUP(X296,TD!$J$51:$K$64,2,0)," ")</f>
        <v>Servicio de atención a incidentes y emergencias.</v>
      </c>
      <c r="Z296" s="160" t="str">
        <f>CONCATENATE(X296,"-",Y296)</f>
        <v>04-Servicio de atención a incidentes y emergencias.</v>
      </c>
      <c r="AA296" s="162" t="s">
        <v>221</v>
      </c>
      <c r="AB296" s="159" t="str">
        <f>IFERROR(VLOOKUP(AA296,TD!$N$51:$O$66,2,0)," ")</f>
        <v>Servicio de atención a emergencias y desastres</v>
      </c>
      <c r="AC296" s="160" t="str">
        <f>CONCATENATE(AA296,"_",AB296)</f>
        <v>004_Servicio de atención a emergencias y desastres</v>
      </c>
      <c r="AD296" s="160" t="str">
        <f>CONCATENATE(Z296," ",AC296)</f>
        <v>04-Servicio de atención a incidentes y emergencias. 004_Servicio de atención a emergencias y desastres</v>
      </c>
      <c r="AE296" s="159" t="str">
        <f>CONCATENATE(U296,V296,W296,X296,AA296)</f>
        <v>O23011745032024025504004</v>
      </c>
      <c r="AF296" s="159" t="str">
        <f>IFERROR(VLOOKUP(AD296,TD!$J$66:$K$89,2,0)," ")</f>
        <v>PM/0131/0104/45030040255</v>
      </c>
      <c r="AG296" s="118" t="s">
        <v>385</v>
      </c>
      <c r="AH296" s="158" t="s">
        <v>193</v>
      </c>
      <c r="AI296" s="161" t="str">
        <f>CONCATENATE(PAA[[#This Row],[Id Interno]],"-",PAA[[#This Row],[tipo de Contrato (TH talento humano - B/S bienes y/o servicios)]],"-",S296,"-",T296,"-",PAA[[#This Row],[Objeto de la contratación]])</f>
        <v>20260260-TH-8173-2-Prestación de servicios de apoyo al proceso de comunicaciones en emergencias del centro de coordinación y comunicaciones (c.c.c.), para el desarrollo de los programas a cargo de la Subdirección Operativa-S.O.</v>
      </c>
    </row>
    <row r="297" spans="2:35" ht="84" x14ac:dyDescent="0.35">
      <c r="B297" s="23">
        <v>20260261</v>
      </c>
      <c r="C297" s="99" t="s">
        <v>874</v>
      </c>
      <c r="D297" s="99" t="s">
        <v>105</v>
      </c>
      <c r="E297" s="99" t="s">
        <v>363</v>
      </c>
      <c r="F297" s="156" t="s">
        <v>145</v>
      </c>
      <c r="G297" s="156" t="s">
        <v>373</v>
      </c>
      <c r="H297" s="163">
        <v>10</v>
      </c>
      <c r="I297" s="163">
        <v>0</v>
      </c>
      <c r="J297" s="118">
        <v>31000000</v>
      </c>
      <c r="K297" s="126" t="s">
        <v>398</v>
      </c>
      <c r="L297" s="156" t="s">
        <v>158</v>
      </c>
      <c r="M297" s="162" t="s">
        <v>421</v>
      </c>
      <c r="N297" s="99" t="s">
        <v>198</v>
      </c>
      <c r="O297" s="151" t="s">
        <v>958</v>
      </c>
      <c r="P297" s="156" t="s">
        <v>348</v>
      </c>
      <c r="Q297" s="128">
        <v>80111600</v>
      </c>
      <c r="R297" s="162" t="s">
        <v>211</v>
      </c>
      <c r="S297" s="158" t="str">
        <f>MID(PAA[[#This Row],[Meta Proyecto de Inversión]],1,4)</f>
        <v>8173</v>
      </c>
      <c r="T297" s="158" t="str">
        <f>MID(PAA[[#This Row],[Meta Proyecto de Inversión]],6,1)</f>
        <v>2</v>
      </c>
      <c r="U297" s="159" t="str">
        <f>IFERROR(VLOOKUP(N297,TD!$B$50:$F$54,2,0)," ")</f>
        <v>O230117</v>
      </c>
      <c r="V297" s="159" t="str">
        <f>IFERROR(VLOOKUP(N297,TD!$B$50:$F$54,3,0)," ")</f>
        <v>4503</v>
      </c>
      <c r="W297" s="159">
        <f>IFERROR(VLOOKUP(N297,TD!$B$50:$F$54,4,0)," ")</f>
        <v>20240255</v>
      </c>
      <c r="X297" s="158" t="s">
        <v>164</v>
      </c>
      <c r="Y297" s="159" t="str">
        <f>IFERROR(VLOOKUP(X297,TD!$J$51:$K$64,2,0)," ")</f>
        <v>Servicio de atención a incidentes y emergencias.</v>
      </c>
      <c r="Z297" s="160" t="str">
        <f>CONCATENATE(X297,"-",Y297)</f>
        <v>04-Servicio de atención a incidentes y emergencias.</v>
      </c>
      <c r="AA297" s="162" t="s">
        <v>221</v>
      </c>
      <c r="AB297" s="159" t="str">
        <f>IFERROR(VLOOKUP(AA297,TD!$N$51:$O$66,2,0)," ")</f>
        <v>Servicio de atención a emergencias y desastres</v>
      </c>
      <c r="AC297" s="160" t="str">
        <f>CONCATENATE(AA297,"_",AB297)</f>
        <v>004_Servicio de atención a emergencias y desastres</v>
      </c>
      <c r="AD297" s="160" t="str">
        <f>CONCATENATE(Z297," ",AC297)</f>
        <v>04-Servicio de atención a incidentes y emergencias. 004_Servicio de atención a emergencias y desastres</v>
      </c>
      <c r="AE297" s="159" t="str">
        <f>CONCATENATE(U297,V297,W297,X297,AA297)</f>
        <v>O23011745032024025504004</v>
      </c>
      <c r="AF297" s="159" t="str">
        <f>IFERROR(VLOOKUP(AD297,TD!$J$66:$K$89,2,0)," ")</f>
        <v>PM/0131/0104/45030040255</v>
      </c>
      <c r="AG297" s="118" t="s">
        <v>385</v>
      </c>
      <c r="AH297" s="158" t="s">
        <v>193</v>
      </c>
      <c r="AI297" s="161" t="str">
        <f>CONCATENATE(PAA[[#This Row],[Id Interno]],"-",PAA[[#This Row],[tipo de Contrato (TH talento humano - B/S bienes y/o servicios)]],"-",S297,"-",T297,"-",PAA[[#This Row],[Objeto de la contratación]])</f>
        <v>20260261-TH-8173-2-Prestación de servicios de apoyo al proceso de comunicaciones en emergencias del centro de coordinación y comunicaciones (c.c.c.), para el desarrollo de los programas a cargo de la Subdirección Operativa-S.O.</v>
      </c>
    </row>
    <row r="298" spans="2:35" ht="56" x14ac:dyDescent="0.35">
      <c r="B298" s="23">
        <v>20260262</v>
      </c>
      <c r="C298" s="99" t="s">
        <v>874</v>
      </c>
      <c r="D298" s="99" t="s">
        <v>105</v>
      </c>
      <c r="E298" s="99" t="s">
        <v>363</v>
      </c>
      <c r="F298" s="156" t="s">
        <v>145</v>
      </c>
      <c r="G298" s="156" t="s">
        <v>373</v>
      </c>
      <c r="H298" s="163">
        <v>10</v>
      </c>
      <c r="I298" s="163">
        <v>0</v>
      </c>
      <c r="J298" s="118">
        <v>31000000</v>
      </c>
      <c r="K298" s="126" t="s">
        <v>398</v>
      </c>
      <c r="L298" s="156" t="s">
        <v>158</v>
      </c>
      <c r="M298" s="162" t="s">
        <v>421</v>
      </c>
      <c r="N298" s="99" t="s">
        <v>198</v>
      </c>
      <c r="O298" s="151" t="s">
        <v>958</v>
      </c>
      <c r="P298" s="156" t="s">
        <v>348</v>
      </c>
      <c r="Q298" s="128">
        <v>80111600</v>
      </c>
      <c r="R298" s="162" t="s">
        <v>211</v>
      </c>
      <c r="S298" s="158" t="str">
        <f>MID(PAA[[#This Row],[Meta Proyecto de Inversión]],1,4)</f>
        <v>8173</v>
      </c>
      <c r="T298" s="158" t="str">
        <f>MID(PAA[[#This Row],[Meta Proyecto de Inversión]],6,1)</f>
        <v>2</v>
      </c>
      <c r="U298" s="159" t="str">
        <f>IFERROR(VLOOKUP(N298,TD!$B$50:$F$54,2,0)," ")</f>
        <v>O230117</v>
      </c>
      <c r="V298" s="159" t="str">
        <f>IFERROR(VLOOKUP(N298,TD!$B$50:$F$54,3,0)," ")</f>
        <v>4503</v>
      </c>
      <c r="W298" s="159">
        <f>IFERROR(VLOOKUP(N298,TD!$B$50:$F$54,4,0)," ")</f>
        <v>20240255</v>
      </c>
      <c r="X298" s="158" t="s">
        <v>164</v>
      </c>
      <c r="Y298" s="159" t="str">
        <f>IFERROR(VLOOKUP(X298,TD!$J$51:$K$64,2,0)," ")</f>
        <v>Servicio de atención a incidentes y emergencias.</v>
      </c>
      <c r="Z298" s="160" t="str">
        <f>CONCATENATE(X298,"-",Y298)</f>
        <v>04-Servicio de atención a incidentes y emergencias.</v>
      </c>
      <c r="AA298" s="162" t="s">
        <v>221</v>
      </c>
      <c r="AB298" s="159" t="str">
        <f>IFERROR(VLOOKUP(AA298,TD!$N$51:$O$66,2,0)," ")</f>
        <v>Servicio de atención a emergencias y desastres</v>
      </c>
      <c r="AC298" s="160" t="str">
        <f>CONCATENATE(AA298,"_",AB298)</f>
        <v>004_Servicio de atención a emergencias y desastres</v>
      </c>
      <c r="AD298" s="160" t="str">
        <f>CONCATENATE(Z298," ",AC298)</f>
        <v>04-Servicio de atención a incidentes y emergencias. 004_Servicio de atención a emergencias y desastres</v>
      </c>
      <c r="AE298" s="159" t="str">
        <f>CONCATENATE(U298,V298,W298,X298,AA298)</f>
        <v>O23011745032024025504004</v>
      </c>
      <c r="AF298" s="159" t="str">
        <f>IFERROR(VLOOKUP(AD298,TD!$J$66:$K$89,2,0)," ")</f>
        <v>PM/0131/0104/45030040255</v>
      </c>
      <c r="AG298" s="118" t="s">
        <v>385</v>
      </c>
      <c r="AH298" s="158" t="s">
        <v>193</v>
      </c>
      <c r="AI298" s="161" t="str">
        <f>CONCATENATE(PAA[[#This Row],[Id Interno]],"-",PAA[[#This Row],[tipo de Contrato (TH talento humano - B/S bienes y/o servicios)]],"-",S298,"-",T298,"-",PAA[[#This Row],[Objeto de la contratación]])</f>
        <v>20260262-TH-8173-2-Prestación de servicios de apoyo al proceso de comunicaciones en emergencias del centro de coordinación y comunicaciones (c.c.c.), para el desarrollo de los programas a cargo de la Subdirección Operativa-S.O.</v>
      </c>
    </row>
    <row r="299" spans="2:35" ht="56" x14ac:dyDescent="0.35">
      <c r="B299" s="23">
        <v>20260263</v>
      </c>
      <c r="C299" s="99" t="s">
        <v>875</v>
      </c>
      <c r="D299" s="99" t="s">
        <v>105</v>
      </c>
      <c r="E299" s="99" t="s">
        <v>363</v>
      </c>
      <c r="F299" s="156" t="s">
        <v>145</v>
      </c>
      <c r="G299" s="156" t="s">
        <v>373</v>
      </c>
      <c r="H299" s="163">
        <v>9</v>
      </c>
      <c r="I299" s="163">
        <v>0</v>
      </c>
      <c r="J299" s="118">
        <v>26910000</v>
      </c>
      <c r="K299" s="126" t="s">
        <v>398</v>
      </c>
      <c r="L299" s="156" t="s">
        <v>158</v>
      </c>
      <c r="M299" s="162" t="s">
        <v>421</v>
      </c>
      <c r="N299" s="99" t="s">
        <v>198</v>
      </c>
      <c r="O299" s="151" t="s">
        <v>958</v>
      </c>
      <c r="P299" s="156" t="s">
        <v>348</v>
      </c>
      <c r="Q299" s="128">
        <v>80111600</v>
      </c>
      <c r="R299" s="162" t="s">
        <v>211</v>
      </c>
      <c r="S299" s="158" t="str">
        <f>MID(PAA[[#This Row],[Meta Proyecto de Inversión]],1,4)</f>
        <v>8173</v>
      </c>
      <c r="T299" s="158" t="str">
        <f>MID(PAA[[#This Row],[Meta Proyecto de Inversión]],6,1)</f>
        <v>2</v>
      </c>
      <c r="U299" s="159" t="str">
        <f>IFERROR(VLOOKUP(N299,TD!$B$50:$F$54,2,0)," ")</f>
        <v>O230117</v>
      </c>
      <c r="V299" s="159" t="str">
        <f>IFERROR(VLOOKUP(N299,TD!$B$50:$F$54,3,0)," ")</f>
        <v>4503</v>
      </c>
      <c r="W299" s="159">
        <f>IFERROR(VLOOKUP(N299,TD!$B$50:$F$54,4,0)," ")</f>
        <v>20240255</v>
      </c>
      <c r="X299" s="158" t="s">
        <v>164</v>
      </c>
      <c r="Y299" s="159" t="str">
        <f>IFERROR(VLOOKUP(X299,TD!$J$51:$K$64,2,0)," ")</f>
        <v>Servicio de atención a incidentes y emergencias.</v>
      </c>
      <c r="Z299" s="160" t="str">
        <f>CONCATENATE(X299,"-",Y299)</f>
        <v>04-Servicio de atención a incidentes y emergencias.</v>
      </c>
      <c r="AA299" s="158" t="s">
        <v>221</v>
      </c>
      <c r="AB299" s="159" t="str">
        <f>IFERROR(VLOOKUP(AA299,TD!$N$51:$O$66,2,0)," ")</f>
        <v>Servicio de atención a emergencias y desastres</v>
      </c>
      <c r="AC299" s="160" t="str">
        <f>CONCATENATE(AA299,"_",AB299)</f>
        <v>004_Servicio de atención a emergencias y desastres</v>
      </c>
      <c r="AD299" s="160" t="str">
        <f>CONCATENATE(Z299," ",AC299)</f>
        <v>04-Servicio de atención a incidentes y emergencias. 004_Servicio de atención a emergencias y desastres</v>
      </c>
      <c r="AE299" s="159" t="str">
        <f>CONCATENATE(U299,V299,W299,X299,AA299)</f>
        <v>O23011745032024025504004</v>
      </c>
      <c r="AF299" s="159" t="str">
        <f>IFERROR(VLOOKUP(AD299,TD!$J$66:$K$89,2,0)," ")</f>
        <v>PM/0131/0104/45030040255</v>
      </c>
      <c r="AG299" s="118" t="s">
        <v>385</v>
      </c>
      <c r="AH299" s="158" t="s">
        <v>193</v>
      </c>
      <c r="AI299" s="161" t="str">
        <f>CONCATENATE(PAA[[#This Row],[Id Interno]],"-",PAA[[#This Row],[tipo de Contrato (TH talento humano - B/S bienes y/o servicios)]],"-",S299,"-",T299,"-",PAA[[#This Row],[Objeto de la contratación]])</f>
        <v>20260263-TH-8173-2-Prestación de servicios para realizar la gestión administrativa requerida en la estación de bomberos asignada, para el desarrollo de los programas a cargo de la Subdirección Operativa-S.O.</v>
      </c>
    </row>
    <row r="300" spans="2:35" ht="70" x14ac:dyDescent="0.35">
      <c r="B300" s="23">
        <v>20260264</v>
      </c>
      <c r="C300" s="99" t="s">
        <v>875</v>
      </c>
      <c r="D300" s="99" t="s">
        <v>105</v>
      </c>
      <c r="E300" s="99" t="s">
        <v>363</v>
      </c>
      <c r="F300" s="156" t="s">
        <v>145</v>
      </c>
      <c r="G300" s="156" t="s">
        <v>373</v>
      </c>
      <c r="H300" s="163">
        <v>9</v>
      </c>
      <c r="I300" s="163">
        <v>0</v>
      </c>
      <c r="J300" s="118">
        <v>26910000</v>
      </c>
      <c r="K300" s="126" t="s">
        <v>398</v>
      </c>
      <c r="L300" s="156" t="s">
        <v>158</v>
      </c>
      <c r="M300" s="162" t="s">
        <v>421</v>
      </c>
      <c r="N300" s="99" t="s">
        <v>198</v>
      </c>
      <c r="O300" s="151" t="s">
        <v>958</v>
      </c>
      <c r="P300" s="156" t="s">
        <v>348</v>
      </c>
      <c r="Q300" s="128">
        <v>80111600</v>
      </c>
      <c r="R300" s="162" t="s">
        <v>211</v>
      </c>
      <c r="S300" s="158" t="str">
        <f>MID(PAA[[#This Row],[Meta Proyecto de Inversión]],1,4)</f>
        <v>8173</v>
      </c>
      <c r="T300" s="158" t="str">
        <f>MID(PAA[[#This Row],[Meta Proyecto de Inversión]],6,1)</f>
        <v>2</v>
      </c>
      <c r="U300" s="159" t="str">
        <f>IFERROR(VLOOKUP(N300,TD!$B$50:$F$54,2,0)," ")</f>
        <v>O230117</v>
      </c>
      <c r="V300" s="159" t="str">
        <f>IFERROR(VLOOKUP(N300,TD!$B$50:$F$54,3,0)," ")</f>
        <v>4503</v>
      </c>
      <c r="W300" s="159">
        <f>IFERROR(VLOOKUP(N300,TD!$B$50:$F$54,4,0)," ")</f>
        <v>20240255</v>
      </c>
      <c r="X300" s="158" t="s">
        <v>164</v>
      </c>
      <c r="Y300" s="159" t="str">
        <f>IFERROR(VLOOKUP(X300,TD!$J$51:$K$64,2,0)," ")</f>
        <v>Servicio de atención a incidentes y emergencias.</v>
      </c>
      <c r="Z300" s="160" t="str">
        <f>CONCATENATE(X300,"-",Y300)</f>
        <v>04-Servicio de atención a incidentes y emergencias.</v>
      </c>
      <c r="AA300" s="158" t="s">
        <v>221</v>
      </c>
      <c r="AB300" s="159" t="str">
        <f>IFERROR(VLOOKUP(AA300,TD!$N$51:$O$66,2,0)," ")</f>
        <v>Servicio de atención a emergencias y desastres</v>
      </c>
      <c r="AC300" s="160" t="str">
        <f>CONCATENATE(AA300,"_",AB300)</f>
        <v>004_Servicio de atención a emergencias y desastres</v>
      </c>
      <c r="AD300" s="160" t="str">
        <f>CONCATENATE(Z300," ",AC300)</f>
        <v>04-Servicio de atención a incidentes y emergencias. 004_Servicio de atención a emergencias y desastres</v>
      </c>
      <c r="AE300" s="159" t="str">
        <f>CONCATENATE(U300,V300,W300,X300,AA300)</f>
        <v>O23011745032024025504004</v>
      </c>
      <c r="AF300" s="159" t="str">
        <f>IFERROR(VLOOKUP(AD300,TD!$J$66:$K$89,2,0)," ")</f>
        <v>PM/0131/0104/45030040255</v>
      </c>
      <c r="AG300" s="118" t="s">
        <v>385</v>
      </c>
      <c r="AH300" s="158" t="s">
        <v>193</v>
      </c>
      <c r="AI300" s="161" t="str">
        <f>CONCATENATE(PAA[[#This Row],[Id Interno]],"-",PAA[[#This Row],[tipo de Contrato (TH talento humano - B/S bienes y/o servicios)]],"-",S300,"-",T300,"-",PAA[[#This Row],[Objeto de la contratación]])</f>
        <v>20260264-TH-8173-2-Prestación de servicios para realizar la gestión administrativa requerida en la estación de bomberos asignada, para el desarrollo de los programas a cargo de la Subdirección Operativa-S.O.</v>
      </c>
    </row>
    <row r="301" spans="2:35" ht="56" x14ac:dyDescent="0.35">
      <c r="B301" s="23">
        <v>20260265</v>
      </c>
      <c r="C301" s="99" t="s">
        <v>875</v>
      </c>
      <c r="D301" s="99" t="s">
        <v>105</v>
      </c>
      <c r="E301" s="99" t="s">
        <v>363</v>
      </c>
      <c r="F301" s="156" t="s">
        <v>145</v>
      </c>
      <c r="G301" s="156" t="s">
        <v>373</v>
      </c>
      <c r="H301" s="163">
        <v>9</v>
      </c>
      <c r="I301" s="163">
        <v>0</v>
      </c>
      <c r="J301" s="118">
        <v>26910000</v>
      </c>
      <c r="K301" s="126" t="s">
        <v>398</v>
      </c>
      <c r="L301" s="156" t="s">
        <v>158</v>
      </c>
      <c r="M301" s="162" t="s">
        <v>421</v>
      </c>
      <c r="N301" s="99" t="s">
        <v>198</v>
      </c>
      <c r="O301" s="151" t="s">
        <v>958</v>
      </c>
      <c r="P301" s="156" t="s">
        <v>348</v>
      </c>
      <c r="Q301" s="128">
        <v>80111600</v>
      </c>
      <c r="R301" s="162" t="s">
        <v>211</v>
      </c>
      <c r="S301" s="158" t="str">
        <f>MID(PAA[[#This Row],[Meta Proyecto de Inversión]],1,4)</f>
        <v>8173</v>
      </c>
      <c r="T301" s="158" t="str">
        <f>MID(PAA[[#This Row],[Meta Proyecto de Inversión]],6,1)</f>
        <v>2</v>
      </c>
      <c r="U301" s="159" t="str">
        <f>IFERROR(VLOOKUP(N301,TD!$B$50:$F$54,2,0)," ")</f>
        <v>O230117</v>
      </c>
      <c r="V301" s="159" t="str">
        <f>IFERROR(VLOOKUP(N301,TD!$B$50:$F$54,3,0)," ")</f>
        <v>4503</v>
      </c>
      <c r="W301" s="159">
        <f>IFERROR(VLOOKUP(N301,TD!$B$50:$F$54,4,0)," ")</f>
        <v>20240255</v>
      </c>
      <c r="X301" s="158" t="s">
        <v>164</v>
      </c>
      <c r="Y301" s="159" t="str">
        <f>IFERROR(VLOOKUP(X301,TD!$J$51:$K$64,2,0)," ")</f>
        <v>Servicio de atención a incidentes y emergencias.</v>
      </c>
      <c r="Z301" s="160" t="str">
        <f>CONCATENATE(X301,"-",Y301)</f>
        <v>04-Servicio de atención a incidentes y emergencias.</v>
      </c>
      <c r="AA301" s="158" t="s">
        <v>221</v>
      </c>
      <c r="AB301" s="159" t="str">
        <f>IFERROR(VLOOKUP(AA301,TD!$N$51:$O$66,2,0)," ")</f>
        <v>Servicio de atención a emergencias y desastres</v>
      </c>
      <c r="AC301" s="160" t="str">
        <f>CONCATENATE(AA301,"_",AB301)</f>
        <v>004_Servicio de atención a emergencias y desastres</v>
      </c>
      <c r="AD301" s="160" t="str">
        <f>CONCATENATE(Z301," ",AC301)</f>
        <v>04-Servicio de atención a incidentes y emergencias. 004_Servicio de atención a emergencias y desastres</v>
      </c>
      <c r="AE301" s="159" t="str">
        <f>CONCATENATE(U301,V301,W301,X301,AA301)</f>
        <v>O23011745032024025504004</v>
      </c>
      <c r="AF301" s="159" t="str">
        <f>IFERROR(VLOOKUP(AD301,TD!$J$66:$K$89,2,0)," ")</f>
        <v>PM/0131/0104/45030040255</v>
      </c>
      <c r="AG301" s="118" t="s">
        <v>385</v>
      </c>
      <c r="AH301" s="158" t="s">
        <v>193</v>
      </c>
      <c r="AI301" s="161" t="str">
        <f>CONCATENATE(PAA[[#This Row],[Id Interno]],"-",PAA[[#This Row],[tipo de Contrato (TH talento humano - B/S bienes y/o servicios)]],"-",S301,"-",T301,"-",PAA[[#This Row],[Objeto de la contratación]])</f>
        <v>20260265-TH-8173-2-Prestación de servicios para realizar la gestión administrativa requerida en la estación de bomberos asignada, para el desarrollo de los programas a cargo de la Subdirección Operativa-S.O.</v>
      </c>
    </row>
    <row r="302" spans="2:35" ht="70" x14ac:dyDescent="0.35">
      <c r="B302" s="23">
        <v>20260266</v>
      </c>
      <c r="C302" s="99" t="s">
        <v>875</v>
      </c>
      <c r="D302" s="99" t="s">
        <v>105</v>
      </c>
      <c r="E302" s="99" t="s">
        <v>363</v>
      </c>
      <c r="F302" s="156" t="s">
        <v>145</v>
      </c>
      <c r="G302" s="156" t="s">
        <v>373</v>
      </c>
      <c r="H302" s="163">
        <v>9</v>
      </c>
      <c r="I302" s="163">
        <v>0</v>
      </c>
      <c r="J302" s="118">
        <v>26910000</v>
      </c>
      <c r="K302" s="126" t="s">
        <v>398</v>
      </c>
      <c r="L302" s="156" t="s">
        <v>158</v>
      </c>
      <c r="M302" s="162" t="s">
        <v>421</v>
      </c>
      <c r="N302" s="99" t="s">
        <v>198</v>
      </c>
      <c r="O302" s="151" t="s">
        <v>958</v>
      </c>
      <c r="P302" s="156" t="s">
        <v>348</v>
      </c>
      <c r="Q302" s="128">
        <v>80111600</v>
      </c>
      <c r="R302" s="162" t="s">
        <v>211</v>
      </c>
      <c r="S302" s="158" t="str">
        <f>MID(PAA[[#This Row],[Meta Proyecto de Inversión]],1,4)</f>
        <v>8173</v>
      </c>
      <c r="T302" s="158" t="str">
        <f>MID(PAA[[#This Row],[Meta Proyecto de Inversión]],6,1)</f>
        <v>2</v>
      </c>
      <c r="U302" s="159" t="str">
        <f>IFERROR(VLOOKUP(N302,TD!$B$50:$F$54,2,0)," ")</f>
        <v>O230117</v>
      </c>
      <c r="V302" s="159" t="str">
        <f>IFERROR(VLOOKUP(N302,TD!$B$50:$F$54,3,0)," ")</f>
        <v>4503</v>
      </c>
      <c r="W302" s="159">
        <f>IFERROR(VLOOKUP(N302,TD!$B$50:$F$54,4,0)," ")</f>
        <v>20240255</v>
      </c>
      <c r="X302" s="158" t="s">
        <v>164</v>
      </c>
      <c r="Y302" s="159" t="str">
        <f>IFERROR(VLOOKUP(X302,TD!$J$51:$K$64,2,0)," ")</f>
        <v>Servicio de atención a incidentes y emergencias.</v>
      </c>
      <c r="Z302" s="160" t="str">
        <f>CONCATENATE(X302,"-",Y302)</f>
        <v>04-Servicio de atención a incidentes y emergencias.</v>
      </c>
      <c r="AA302" s="158" t="s">
        <v>221</v>
      </c>
      <c r="AB302" s="159" t="str">
        <f>IFERROR(VLOOKUP(AA302,TD!$N$51:$O$66,2,0)," ")</f>
        <v>Servicio de atención a emergencias y desastres</v>
      </c>
      <c r="AC302" s="160" t="str">
        <f>CONCATENATE(AA302,"_",AB302)</f>
        <v>004_Servicio de atención a emergencias y desastres</v>
      </c>
      <c r="AD302" s="160" t="str">
        <f>CONCATENATE(Z302," ",AC302)</f>
        <v>04-Servicio de atención a incidentes y emergencias. 004_Servicio de atención a emergencias y desastres</v>
      </c>
      <c r="AE302" s="159" t="str">
        <f>CONCATENATE(U302,V302,W302,X302,AA302)</f>
        <v>O23011745032024025504004</v>
      </c>
      <c r="AF302" s="159" t="str">
        <f>IFERROR(VLOOKUP(AD302,TD!$J$66:$K$89,2,0)," ")</f>
        <v>PM/0131/0104/45030040255</v>
      </c>
      <c r="AG302" s="118" t="s">
        <v>385</v>
      </c>
      <c r="AH302" s="158" t="s">
        <v>193</v>
      </c>
      <c r="AI302" s="161" t="str">
        <f>CONCATENATE(PAA[[#This Row],[Id Interno]],"-",PAA[[#This Row],[tipo de Contrato (TH talento humano - B/S bienes y/o servicios)]],"-",S302,"-",T302,"-",PAA[[#This Row],[Objeto de la contratación]])</f>
        <v>20260266-TH-8173-2-Prestación de servicios para realizar la gestión administrativa requerida en la estación de bomberos asignada, para el desarrollo de los programas a cargo de la Subdirección Operativa-S.O.</v>
      </c>
    </row>
    <row r="303" spans="2:35" ht="70" x14ac:dyDescent="0.35">
      <c r="B303" s="23">
        <v>20260267</v>
      </c>
      <c r="C303" s="99" t="s">
        <v>875</v>
      </c>
      <c r="D303" s="99" t="s">
        <v>105</v>
      </c>
      <c r="E303" s="99" t="s">
        <v>363</v>
      </c>
      <c r="F303" s="156" t="s">
        <v>145</v>
      </c>
      <c r="G303" s="156" t="s">
        <v>373</v>
      </c>
      <c r="H303" s="163">
        <v>9</v>
      </c>
      <c r="I303" s="163">
        <v>0</v>
      </c>
      <c r="J303" s="118">
        <v>26910000</v>
      </c>
      <c r="K303" s="126" t="s">
        <v>398</v>
      </c>
      <c r="L303" s="156" t="s">
        <v>158</v>
      </c>
      <c r="M303" s="162" t="s">
        <v>421</v>
      </c>
      <c r="N303" s="99" t="s">
        <v>198</v>
      </c>
      <c r="O303" s="151" t="s">
        <v>958</v>
      </c>
      <c r="P303" s="156" t="s">
        <v>348</v>
      </c>
      <c r="Q303" s="128">
        <v>80111600</v>
      </c>
      <c r="R303" s="162" t="s">
        <v>211</v>
      </c>
      <c r="S303" s="158" t="str">
        <f>MID(PAA[[#This Row],[Meta Proyecto de Inversión]],1,4)</f>
        <v>8173</v>
      </c>
      <c r="T303" s="158" t="str">
        <f>MID(PAA[[#This Row],[Meta Proyecto de Inversión]],6,1)</f>
        <v>2</v>
      </c>
      <c r="U303" s="159" t="str">
        <f>IFERROR(VLOOKUP(N303,TD!$B$50:$F$54,2,0)," ")</f>
        <v>O230117</v>
      </c>
      <c r="V303" s="159" t="str">
        <f>IFERROR(VLOOKUP(N303,TD!$B$50:$F$54,3,0)," ")</f>
        <v>4503</v>
      </c>
      <c r="W303" s="159">
        <f>IFERROR(VLOOKUP(N303,TD!$B$50:$F$54,4,0)," ")</f>
        <v>20240255</v>
      </c>
      <c r="X303" s="158" t="s">
        <v>164</v>
      </c>
      <c r="Y303" s="159" t="str">
        <f>IFERROR(VLOOKUP(X303,TD!$J$51:$K$64,2,0)," ")</f>
        <v>Servicio de atención a incidentes y emergencias.</v>
      </c>
      <c r="Z303" s="160" t="str">
        <f>CONCATENATE(X303,"-",Y303)</f>
        <v>04-Servicio de atención a incidentes y emergencias.</v>
      </c>
      <c r="AA303" s="158" t="s">
        <v>221</v>
      </c>
      <c r="AB303" s="159" t="str">
        <f>IFERROR(VLOOKUP(AA303,TD!$N$51:$O$66,2,0)," ")</f>
        <v>Servicio de atención a emergencias y desastres</v>
      </c>
      <c r="AC303" s="160" t="str">
        <f>CONCATENATE(AA303,"_",AB303)</f>
        <v>004_Servicio de atención a emergencias y desastres</v>
      </c>
      <c r="AD303" s="160" t="str">
        <f>CONCATENATE(Z303," ",AC303)</f>
        <v>04-Servicio de atención a incidentes y emergencias. 004_Servicio de atención a emergencias y desastres</v>
      </c>
      <c r="AE303" s="159" t="str">
        <f>CONCATENATE(U303,V303,W303,X303,AA303)</f>
        <v>O23011745032024025504004</v>
      </c>
      <c r="AF303" s="159" t="str">
        <f>IFERROR(VLOOKUP(AD303,TD!$J$66:$K$89,2,0)," ")</f>
        <v>PM/0131/0104/45030040255</v>
      </c>
      <c r="AG303" s="118" t="s">
        <v>385</v>
      </c>
      <c r="AH303" s="158" t="s">
        <v>193</v>
      </c>
      <c r="AI303" s="161" t="str">
        <f>CONCATENATE(PAA[[#This Row],[Id Interno]],"-",PAA[[#This Row],[tipo de Contrato (TH talento humano - B/S bienes y/o servicios)]],"-",S303,"-",T303,"-",PAA[[#This Row],[Objeto de la contratación]])</f>
        <v>20260267-TH-8173-2-Prestación de servicios para realizar la gestión administrativa requerida en la estación de bomberos asignada, para el desarrollo de los programas a cargo de la Subdirección Operativa-S.O.</v>
      </c>
    </row>
    <row r="304" spans="2:35" ht="56" x14ac:dyDescent="0.35">
      <c r="B304" s="23">
        <v>20260268</v>
      </c>
      <c r="C304" s="99" t="s">
        <v>875</v>
      </c>
      <c r="D304" s="99" t="s">
        <v>105</v>
      </c>
      <c r="E304" s="99" t="s">
        <v>363</v>
      </c>
      <c r="F304" s="156" t="s">
        <v>145</v>
      </c>
      <c r="G304" s="156" t="s">
        <v>373</v>
      </c>
      <c r="H304" s="163">
        <v>9</v>
      </c>
      <c r="I304" s="163">
        <v>0</v>
      </c>
      <c r="J304" s="118">
        <v>26910000</v>
      </c>
      <c r="K304" s="126" t="s">
        <v>398</v>
      </c>
      <c r="L304" s="156" t="s">
        <v>158</v>
      </c>
      <c r="M304" s="162" t="s">
        <v>421</v>
      </c>
      <c r="N304" s="99" t="s">
        <v>198</v>
      </c>
      <c r="O304" s="151" t="s">
        <v>958</v>
      </c>
      <c r="P304" s="156" t="s">
        <v>348</v>
      </c>
      <c r="Q304" s="128">
        <v>80111600</v>
      </c>
      <c r="R304" s="162" t="s">
        <v>211</v>
      </c>
      <c r="S304" s="158" t="str">
        <f>MID(PAA[[#This Row],[Meta Proyecto de Inversión]],1,4)</f>
        <v>8173</v>
      </c>
      <c r="T304" s="158" t="str">
        <f>MID(PAA[[#This Row],[Meta Proyecto de Inversión]],6,1)</f>
        <v>2</v>
      </c>
      <c r="U304" s="159" t="str">
        <f>IFERROR(VLOOKUP(N304,TD!$B$50:$F$54,2,0)," ")</f>
        <v>O230117</v>
      </c>
      <c r="V304" s="159" t="str">
        <f>IFERROR(VLOOKUP(N304,TD!$B$50:$F$54,3,0)," ")</f>
        <v>4503</v>
      </c>
      <c r="W304" s="159">
        <f>IFERROR(VLOOKUP(N304,TD!$B$50:$F$54,4,0)," ")</f>
        <v>20240255</v>
      </c>
      <c r="X304" s="158" t="s">
        <v>164</v>
      </c>
      <c r="Y304" s="159" t="str">
        <f>IFERROR(VLOOKUP(X304,TD!$J$51:$K$64,2,0)," ")</f>
        <v>Servicio de atención a incidentes y emergencias.</v>
      </c>
      <c r="Z304" s="160" t="str">
        <f>CONCATENATE(X304,"-",Y304)</f>
        <v>04-Servicio de atención a incidentes y emergencias.</v>
      </c>
      <c r="AA304" s="158" t="s">
        <v>221</v>
      </c>
      <c r="AB304" s="159" t="str">
        <f>IFERROR(VLOOKUP(AA304,TD!$N$51:$O$66,2,0)," ")</f>
        <v>Servicio de atención a emergencias y desastres</v>
      </c>
      <c r="AC304" s="160" t="str">
        <f>CONCATENATE(AA304,"_",AB304)</f>
        <v>004_Servicio de atención a emergencias y desastres</v>
      </c>
      <c r="AD304" s="160" t="str">
        <f>CONCATENATE(Z304," ",AC304)</f>
        <v>04-Servicio de atención a incidentes y emergencias. 004_Servicio de atención a emergencias y desastres</v>
      </c>
      <c r="AE304" s="159" t="str">
        <f>CONCATENATE(U304,V304,W304,X304,AA304)</f>
        <v>O23011745032024025504004</v>
      </c>
      <c r="AF304" s="159" t="str">
        <f>IFERROR(VLOOKUP(AD304,TD!$J$66:$K$89,2,0)," ")</f>
        <v>PM/0131/0104/45030040255</v>
      </c>
      <c r="AG304" s="118" t="s">
        <v>385</v>
      </c>
      <c r="AH304" s="158" t="s">
        <v>193</v>
      </c>
      <c r="AI304" s="161" t="str">
        <f>CONCATENATE(PAA[[#This Row],[Id Interno]],"-",PAA[[#This Row],[tipo de Contrato (TH talento humano - B/S bienes y/o servicios)]],"-",S304,"-",T304,"-",PAA[[#This Row],[Objeto de la contratación]])</f>
        <v>20260268-TH-8173-2-Prestación de servicios para realizar la gestión administrativa requerida en la estación de bomberos asignada, para el desarrollo de los programas a cargo de la Subdirección Operativa-S.O.</v>
      </c>
    </row>
    <row r="305" spans="2:35" ht="84" x14ac:dyDescent="0.35">
      <c r="B305" s="23">
        <v>20260269</v>
      </c>
      <c r="C305" s="99" t="s">
        <v>875</v>
      </c>
      <c r="D305" s="99" t="s">
        <v>105</v>
      </c>
      <c r="E305" s="99" t="s">
        <v>363</v>
      </c>
      <c r="F305" s="156" t="s">
        <v>145</v>
      </c>
      <c r="G305" s="156" t="s">
        <v>373</v>
      </c>
      <c r="H305" s="163">
        <v>9</v>
      </c>
      <c r="I305" s="163">
        <v>0</v>
      </c>
      <c r="J305" s="118">
        <v>26910000</v>
      </c>
      <c r="K305" s="126" t="s">
        <v>398</v>
      </c>
      <c r="L305" s="156" t="s">
        <v>158</v>
      </c>
      <c r="M305" s="162" t="s">
        <v>421</v>
      </c>
      <c r="N305" s="99" t="s">
        <v>198</v>
      </c>
      <c r="O305" s="151" t="s">
        <v>958</v>
      </c>
      <c r="P305" s="156" t="s">
        <v>348</v>
      </c>
      <c r="Q305" s="128">
        <v>80111600</v>
      </c>
      <c r="R305" s="162" t="s">
        <v>211</v>
      </c>
      <c r="S305" s="158" t="str">
        <f>MID(PAA[[#This Row],[Meta Proyecto de Inversión]],1,4)</f>
        <v>8173</v>
      </c>
      <c r="T305" s="158" t="str">
        <f>MID(PAA[[#This Row],[Meta Proyecto de Inversión]],6,1)</f>
        <v>2</v>
      </c>
      <c r="U305" s="159" t="str">
        <f>IFERROR(VLOOKUP(N305,TD!$B$50:$F$54,2,0)," ")</f>
        <v>O230117</v>
      </c>
      <c r="V305" s="159" t="str">
        <f>IFERROR(VLOOKUP(N305,TD!$B$50:$F$54,3,0)," ")</f>
        <v>4503</v>
      </c>
      <c r="W305" s="159">
        <f>IFERROR(VLOOKUP(N305,TD!$B$50:$F$54,4,0)," ")</f>
        <v>20240255</v>
      </c>
      <c r="X305" s="158" t="s">
        <v>164</v>
      </c>
      <c r="Y305" s="159" t="str">
        <f>IFERROR(VLOOKUP(X305,TD!$J$51:$K$64,2,0)," ")</f>
        <v>Servicio de atención a incidentes y emergencias.</v>
      </c>
      <c r="Z305" s="160" t="str">
        <f>CONCATENATE(X305,"-",Y305)</f>
        <v>04-Servicio de atención a incidentes y emergencias.</v>
      </c>
      <c r="AA305" s="158" t="s">
        <v>221</v>
      </c>
      <c r="AB305" s="159" t="str">
        <f>IFERROR(VLOOKUP(AA305,TD!$N$51:$O$66,2,0)," ")</f>
        <v>Servicio de atención a emergencias y desastres</v>
      </c>
      <c r="AC305" s="160" t="str">
        <f>CONCATENATE(AA305,"_",AB305)</f>
        <v>004_Servicio de atención a emergencias y desastres</v>
      </c>
      <c r="AD305" s="160" t="str">
        <f>CONCATENATE(Z305," ",AC305)</f>
        <v>04-Servicio de atención a incidentes y emergencias. 004_Servicio de atención a emergencias y desastres</v>
      </c>
      <c r="AE305" s="159" t="str">
        <f>CONCATENATE(U305,V305,W305,X305,AA305)</f>
        <v>O23011745032024025504004</v>
      </c>
      <c r="AF305" s="159" t="str">
        <f>IFERROR(VLOOKUP(AD305,TD!$J$66:$K$89,2,0)," ")</f>
        <v>PM/0131/0104/45030040255</v>
      </c>
      <c r="AG305" s="118" t="s">
        <v>385</v>
      </c>
      <c r="AH305" s="158" t="s">
        <v>193</v>
      </c>
      <c r="AI305" s="161" t="str">
        <f>CONCATENATE(PAA[[#This Row],[Id Interno]],"-",PAA[[#This Row],[tipo de Contrato (TH talento humano - B/S bienes y/o servicios)]],"-",S305,"-",T305,"-",PAA[[#This Row],[Objeto de la contratación]])</f>
        <v>20260269-TH-8173-2-Prestación de servicios para realizar la gestión administrativa requerida en la estación de bomberos asignada, para el desarrollo de los programas a cargo de la Subdirección Operativa-S.O.</v>
      </c>
    </row>
    <row r="306" spans="2:35" ht="84" x14ac:dyDescent="0.35">
      <c r="B306" s="23">
        <v>20260270</v>
      </c>
      <c r="C306" s="99" t="s">
        <v>875</v>
      </c>
      <c r="D306" s="99" t="s">
        <v>105</v>
      </c>
      <c r="E306" s="99" t="s">
        <v>363</v>
      </c>
      <c r="F306" s="156" t="s">
        <v>145</v>
      </c>
      <c r="G306" s="156" t="s">
        <v>373</v>
      </c>
      <c r="H306" s="163">
        <v>9</v>
      </c>
      <c r="I306" s="163">
        <v>0</v>
      </c>
      <c r="J306" s="118">
        <v>26910000</v>
      </c>
      <c r="K306" s="126" t="s">
        <v>398</v>
      </c>
      <c r="L306" s="156" t="s">
        <v>158</v>
      </c>
      <c r="M306" s="162" t="s">
        <v>421</v>
      </c>
      <c r="N306" s="99" t="s">
        <v>198</v>
      </c>
      <c r="O306" s="151" t="s">
        <v>958</v>
      </c>
      <c r="P306" s="156" t="s">
        <v>348</v>
      </c>
      <c r="Q306" s="128">
        <v>80111600</v>
      </c>
      <c r="R306" s="162" t="s">
        <v>211</v>
      </c>
      <c r="S306" s="158" t="str">
        <f>MID(PAA[[#This Row],[Meta Proyecto de Inversión]],1,4)</f>
        <v>8173</v>
      </c>
      <c r="T306" s="158" t="str">
        <f>MID(PAA[[#This Row],[Meta Proyecto de Inversión]],6,1)</f>
        <v>2</v>
      </c>
      <c r="U306" s="159" t="str">
        <f>IFERROR(VLOOKUP(N306,TD!$B$50:$F$54,2,0)," ")</f>
        <v>O230117</v>
      </c>
      <c r="V306" s="159" t="str">
        <f>IFERROR(VLOOKUP(N306,TD!$B$50:$F$54,3,0)," ")</f>
        <v>4503</v>
      </c>
      <c r="W306" s="159">
        <f>IFERROR(VLOOKUP(N306,TD!$B$50:$F$54,4,0)," ")</f>
        <v>20240255</v>
      </c>
      <c r="X306" s="158" t="s">
        <v>164</v>
      </c>
      <c r="Y306" s="159" t="str">
        <f>IFERROR(VLOOKUP(X306,TD!$J$51:$K$64,2,0)," ")</f>
        <v>Servicio de atención a incidentes y emergencias.</v>
      </c>
      <c r="Z306" s="160" t="str">
        <f>CONCATENATE(X306,"-",Y306)</f>
        <v>04-Servicio de atención a incidentes y emergencias.</v>
      </c>
      <c r="AA306" s="158" t="s">
        <v>221</v>
      </c>
      <c r="AB306" s="159" t="str">
        <f>IFERROR(VLOOKUP(AA306,TD!$N$51:$O$66,2,0)," ")</f>
        <v>Servicio de atención a emergencias y desastres</v>
      </c>
      <c r="AC306" s="160" t="str">
        <f>CONCATENATE(AA306,"_",AB306)</f>
        <v>004_Servicio de atención a emergencias y desastres</v>
      </c>
      <c r="AD306" s="160" t="str">
        <f>CONCATENATE(Z306," ",AC306)</f>
        <v>04-Servicio de atención a incidentes y emergencias. 004_Servicio de atención a emergencias y desastres</v>
      </c>
      <c r="AE306" s="159" t="str">
        <f>CONCATENATE(U306,V306,W306,X306,AA306)</f>
        <v>O23011745032024025504004</v>
      </c>
      <c r="AF306" s="159" t="str">
        <f>IFERROR(VLOOKUP(AD306,TD!$J$66:$K$89,2,0)," ")</f>
        <v>PM/0131/0104/45030040255</v>
      </c>
      <c r="AG306" s="118" t="s">
        <v>385</v>
      </c>
      <c r="AH306" s="158" t="s">
        <v>193</v>
      </c>
      <c r="AI306" s="161" t="str">
        <f>CONCATENATE(PAA[[#This Row],[Id Interno]],"-",PAA[[#This Row],[tipo de Contrato (TH talento humano - B/S bienes y/o servicios)]],"-",S306,"-",T306,"-",PAA[[#This Row],[Objeto de la contratación]])</f>
        <v>20260270-TH-8173-2-Prestación de servicios para realizar la gestión administrativa requerida en la estación de bomberos asignada, para el desarrollo de los programas a cargo de la Subdirección Operativa-S.O.</v>
      </c>
    </row>
    <row r="307" spans="2:35" ht="84" x14ac:dyDescent="0.35">
      <c r="B307" s="23">
        <v>20260271</v>
      </c>
      <c r="C307" s="99" t="s">
        <v>875</v>
      </c>
      <c r="D307" s="99" t="s">
        <v>105</v>
      </c>
      <c r="E307" s="99" t="s">
        <v>363</v>
      </c>
      <c r="F307" s="156" t="s">
        <v>145</v>
      </c>
      <c r="G307" s="156" t="s">
        <v>373</v>
      </c>
      <c r="H307" s="163">
        <v>9</v>
      </c>
      <c r="I307" s="163">
        <v>0</v>
      </c>
      <c r="J307" s="118">
        <v>26910000</v>
      </c>
      <c r="K307" s="126" t="s">
        <v>398</v>
      </c>
      <c r="L307" s="156" t="s">
        <v>158</v>
      </c>
      <c r="M307" s="162" t="s">
        <v>421</v>
      </c>
      <c r="N307" s="99" t="s">
        <v>198</v>
      </c>
      <c r="O307" s="151" t="s">
        <v>958</v>
      </c>
      <c r="P307" s="156" t="s">
        <v>348</v>
      </c>
      <c r="Q307" s="128">
        <v>80111600</v>
      </c>
      <c r="R307" s="162" t="s">
        <v>211</v>
      </c>
      <c r="S307" s="158" t="str">
        <f>MID(PAA[[#This Row],[Meta Proyecto de Inversión]],1,4)</f>
        <v>8173</v>
      </c>
      <c r="T307" s="158" t="str">
        <f>MID(PAA[[#This Row],[Meta Proyecto de Inversión]],6,1)</f>
        <v>2</v>
      </c>
      <c r="U307" s="159" t="str">
        <f>IFERROR(VLOOKUP(N307,TD!$B$50:$F$54,2,0)," ")</f>
        <v>O230117</v>
      </c>
      <c r="V307" s="159" t="str">
        <f>IFERROR(VLOOKUP(N307,TD!$B$50:$F$54,3,0)," ")</f>
        <v>4503</v>
      </c>
      <c r="W307" s="159">
        <f>IFERROR(VLOOKUP(N307,TD!$B$50:$F$54,4,0)," ")</f>
        <v>20240255</v>
      </c>
      <c r="X307" s="158" t="s">
        <v>164</v>
      </c>
      <c r="Y307" s="159" t="str">
        <f>IFERROR(VLOOKUP(X307,TD!$J$51:$K$64,2,0)," ")</f>
        <v>Servicio de atención a incidentes y emergencias.</v>
      </c>
      <c r="Z307" s="160" t="str">
        <f>CONCATENATE(X307,"-",Y307)</f>
        <v>04-Servicio de atención a incidentes y emergencias.</v>
      </c>
      <c r="AA307" s="158" t="s">
        <v>221</v>
      </c>
      <c r="AB307" s="159" t="str">
        <f>IFERROR(VLOOKUP(AA307,TD!$N$51:$O$66,2,0)," ")</f>
        <v>Servicio de atención a emergencias y desastres</v>
      </c>
      <c r="AC307" s="160" t="str">
        <f>CONCATENATE(AA307,"_",AB307)</f>
        <v>004_Servicio de atención a emergencias y desastres</v>
      </c>
      <c r="AD307" s="160" t="str">
        <f>CONCATENATE(Z307," ",AC307)</f>
        <v>04-Servicio de atención a incidentes y emergencias. 004_Servicio de atención a emergencias y desastres</v>
      </c>
      <c r="AE307" s="159" t="str">
        <f>CONCATENATE(U307,V307,W307,X307,AA307)</f>
        <v>O23011745032024025504004</v>
      </c>
      <c r="AF307" s="159" t="str">
        <f>IFERROR(VLOOKUP(AD307,TD!$J$66:$K$89,2,0)," ")</f>
        <v>PM/0131/0104/45030040255</v>
      </c>
      <c r="AG307" s="118" t="s">
        <v>385</v>
      </c>
      <c r="AH307" s="158" t="s">
        <v>193</v>
      </c>
      <c r="AI307" s="161" t="str">
        <f>CONCATENATE(PAA[[#This Row],[Id Interno]],"-",PAA[[#This Row],[tipo de Contrato (TH talento humano - B/S bienes y/o servicios)]],"-",S307,"-",T307,"-",PAA[[#This Row],[Objeto de la contratación]])</f>
        <v>20260271-TH-8173-2-Prestación de servicios para realizar la gestión administrativa requerida en la estación de bomberos asignada, para el desarrollo de los programas a cargo de la Subdirección Operativa-S.O.</v>
      </c>
    </row>
    <row r="308" spans="2:35" ht="112" x14ac:dyDescent="0.35">
      <c r="B308" s="23">
        <v>20260272</v>
      </c>
      <c r="C308" s="99" t="s">
        <v>875</v>
      </c>
      <c r="D308" s="99" t="s">
        <v>105</v>
      </c>
      <c r="E308" s="99" t="s">
        <v>363</v>
      </c>
      <c r="F308" s="156" t="s">
        <v>145</v>
      </c>
      <c r="G308" s="156" t="s">
        <v>373</v>
      </c>
      <c r="H308" s="163">
        <v>9</v>
      </c>
      <c r="I308" s="163">
        <v>0</v>
      </c>
      <c r="J308" s="118">
        <v>26910000</v>
      </c>
      <c r="K308" s="126" t="s">
        <v>398</v>
      </c>
      <c r="L308" s="156" t="s">
        <v>158</v>
      </c>
      <c r="M308" s="162" t="s">
        <v>421</v>
      </c>
      <c r="N308" s="99" t="s">
        <v>198</v>
      </c>
      <c r="O308" s="151" t="s">
        <v>958</v>
      </c>
      <c r="P308" s="156" t="s">
        <v>348</v>
      </c>
      <c r="Q308" s="128">
        <v>80111600</v>
      </c>
      <c r="R308" s="162" t="s">
        <v>211</v>
      </c>
      <c r="S308" s="158" t="str">
        <f>MID(PAA[[#This Row],[Meta Proyecto de Inversión]],1,4)</f>
        <v>8173</v>
      </c>
      <c r="T308" s="158" t="str">
        <f>MID(PAA[[#This Row],[Meta Proyecto de Inversión]],6,1)</f>
        <v>2</v>
      </c>
      <c r="U308" s="159" t="str">
        <f>IFERROR(VLOOKUP(N308,TD!$B$50:$F$54,2,0)," ")</f>
        <v>O230117</v>
      </c>
      <c r="V308" s="159" t="str">
        <f>IFERROR(VLOOKUP(N308,TD!$B$50:$F$54,3,0)," ")</f>
        <v>4503</v>
      </c>
      <c r="W308" s="159">
        <f>IFERROR(VLOOKUP(N308,TD!$B$50:$F$54,4,0)," ")</f>
        <v>20240255</v>
      </c>
      <c r="X308" s="158" t="s">
        <v>164</v>
      </c>
      <c r="Y308" s="159" t="str">
        <f>IFERROR(VLOOKUP(X308,TD!$J$51:$K$64,2,0)," ")</f>
        <v>Servicio de atención a incidentes y emergencias.</v>
      </c>
      <c r="Z308" s="160" t="str">
        <f>CONCATENATE(X308,"-",Y308)</f>
        <v>04-Servicio de atención a incidentes y emergencias.</v>
      </c>
      <c r="AA308" s="158" t="s">
        <v>221</v>
      </c>
      <c r="AB308" s="159" t="str">
        <f>IFERROR(VLOOKUP(AA308,TD!$N$51:$O$66,2,0)," ")</f>
        <v>Servicio de atención a emergencias y desastres</v>
      </c>
      <c r="AC308" s="160" t="str">
        <f>CONCATENATE(AA308,"_",AB308)</f>
        <v>004_Servicio de atención a emergencias y desastres</v>
      </c>
      <c r="AD308" s="160" t="str">
        <f>CONCATENATE(Z308," ",AC308)</f>
        <v>04-Servicio de atención a incidentes y emergencias. 004_Servicio de atención a emergencias y desastres</v>
      </c>
      <c r="AE308" s="159" t="str">
        <f>CONCATENATE(U308,V308,W308,X308,AA308)</f>
        <v>O23011745032024025504004</v>
      </c>
      <c r="AF308" s="159" t="str">
        <f>IFERROR(VLOOKUP(AD308,TD!$J$66:$K$89,2,0)," ")</f>
        <v>PM/0131/0104/45030040255</v>
      </c>
      <c r="AG308" s="118" t="s">
        <v>385</v>
      </c>
      <c r="AH308" s="158" t="s">
        <v>193</v>
      </c>
      <c r="AI308" s="161" t="str">
        <f>CONCATENATE(PAA[[#This Row],[Id Interno]],"-",PAA[[#This Row],[tipo de Contrato (TH talento humano - B/S bienes y/o servicios)]],"-",S308,"-",T308,"-",PAA[[#This Row],[Objeto de la contratación]])</f>
        <v>20260272-TH-8173-2-Prestación de servicios para realizar la gestión administrativa requerida en la estación de bomberos asignada, para el desarrollo de los programas a cargo de la Subdirección Operativa-S.O.</v>
      </c>
    </row>
    <row r="309" spans="2:35" ht="112" x14ac:dyDescent="0.35">
      <c r="B309" s="23">
        <v>20260273</v>
      </c>
      <c r="C309" s="99" t="s">
        <v>875</v>
      </c>
      <c r="D309" s="99" t="s">
        <v>105</v>
      </c>
      <c r="E309" s="99" t="s">
        <v>363</v>
      </c>
      <c r="F309" s="156" t="s">
        <v>145</v>
      </c>
      <c r="G309" s="156" t="s">
        <v>373</v>
      </c>
      <c r="H309" s="163">
        <v>9</v>
      </c>
      <c r="I309" s="163">
        <v>0</v>
      </c>
      <c r="J309" s="118">
        <v>26910000</v>
      </c>
      <c r="K309" s="126" t="s">
        <v>398</v>
      </c>
      <c r="L309" s="156" t="s">
        <v>158</v>
      </c>
      <c r="M309" s="162" t="s">
        <v>421</v>
      </c>
      <c r="N309" s="99" t="s">
        <v>198</v>
      </c>
      <c r="O309" s="151" t="s">
        <v>958</v>
      </c>
      <c r="P309" s="156" t="s">
        <v>348</v>
      </c>
      <c r="Q309" s="128">
        <v>80111600</v>
      </c>
      <c r="R309" s="162" t="s">
        <v>211</v>
      </c>
      <c r="S309" s="158" t="str">
        <f>MID(PAA[[#This Row],[Meta Proyecto de Inversión]],1,4)</f>
        <v>8173</v>
      </c>
      <c r="T309" s="158" t="str">
        <f>MID(PAA[[#This Row],[Meta Proyecto de Inversión]],6,1)</f>
        <v>2</v>
      </c>
      <c r="U309" s="159" t="str">
        <f>IFERROR(VLOOKUP(N309,TD!$B$50:$F$54,2,0)," ")</f>
        <v>O230117</v>
      </c>
      <c r="V309" s="159" t="str">
        <f>IFERROR(VLOOKUP(N309,TD!$B$50:$F$54,3,0)," ")</f>
        <v>4503</v>
      </c>
      <c r="W309" s="159">
        <f>IFERROR(VLOOKUP(N309,TD!$B$50:$F$54,4,0)," ")</f>
        <v>20240255</v>
      </c>
      <c r="X309" s="158" t="s">
        <v>164</v>
      </c>
      <c r="Y309" s="159" t="str">
        <f>IFERROR(VLOOKUP(X309,TD!$J$51:$K$64,2,0)," ")</f>
        <v>Servicio de atención a incidentes y emergencias.</v>
      </c>
      <c r="Z309" s="160" t="str">
        <f>CONCATENATE(X309,"-",Y309)</f>
        <v>04-Servicio de atención a incidentes y emergencias.</v>
      </c>
      <c r="AA309" s="158" t="s">
        <v>221</v>
      </c>
      <c r="AB309" s="159" t="str">
        <f>IFERROR(VLOOKUP(AA309,TD!$N$51:$O$66,2,0)," ")</f>
        <v>Servicio de atención a emergencias y desastres</v>
      </c>
      <c r="AC309" s="160" t="str">
        <f>CONCATENATE(AA309,"_",AB309)</f>
        <v>004_Servicio de atención a emergencias y desastres</v>
      </c>
      <c r="AD309" s="160" t="str">
        <f>CONCATENATE(Z309," ",AC309)</f>
        <v>04-Servicio de atención a incidentes y emergencias. 004_Servicio de atención a emergencias y desastres</v>
      </c>
      <c r="AE309" s="159" t="str">
        <f>CONCATENATE(U309,V309,W309,X309,AA309)</f>
        <v>O23011745032024025504004</v>
      </c>
      <c r="AF309" s="159" t="str">
        <f>IFERROR(VLOOKUP(AD309,TD!$J$66:$K$89,2,0)," ")</f>
        <v>PM/0131/0104/45030040255</v>
      </c>
      <c r="AG309" s="118" t="s">
        <v>385</v>
      </c>
      <c r="AH309" s="158" t="s">
        <v>193</v>
      </c>
      <c r="AI309" s="161" t="str">
        <f>CONCATENATE(PAA[[#This Row],[Id Interno]],"-",PAA[[#This Row],[tipo de Contrato (TH talento humano - B/S bienes y/o servicios)]],"-",S309,"-",T309,"-",PAA[[#This Row],[Objeto de la contratación]])</f>
        <v>20260273-TH-8173-2-Prestación de servicios para realizar la gestión administrativa requerida en la estación de bomberos asignada, para el desarrollo de los programas a cargo de la Subdirección Operativa-S.O.</v>
      </c>
    </row>
    <row r="310" spans="2:35" ht="98" x14ac:dyDescent="0.35">
      <c r="B310" s="23">
        <v>20260274</v>
      </c>
      <c r="C310" s="99" t="s">
        <v>875</v>
      </c>
      <c r="D310" s="99" t="s">
        <v>105</v>
      </c>
      <c r="E310" s="99" t="s">
        <v>363</v>
      </c>
      <c r="F310" s="156" t="s">
        <v>145</v>
      </c>
      <c r="G310" s="156" t="s">
        <v>373</v>
      </c>
      <c r="H310" s="163">
        <v>9</v>
      </c>
      <c r="I310" s="163">
        <v>0</v>
      </c>
      <c r="J310" s="118">
        <v>26910000</v>
      </c>
      <c r="K310" s="126" t="s">
        <v>398</v>
      </c>
      <c r="L310" s="156" t="s">
        <v>158</v>
      </c>
      <c r="M310" s="162" t="s">
        <v>421</v>
      </c>
      <c r="N310" s="99" t="s">
        <v>198</v>
      </c>
      <c r="O310" s="151" t="s">
        <v>958</v>
      </c>
      <c r="P310" s="156" t="s">
        <v>348</v>
      </c>
      <c r="Q310" s="128">
        <v>80111600</v>
      </c>
      <c r="R310" s="162" t="s">
        <v>211</v>
      </c>
      <c r="S310" s="158" t="str">
        <f>MID(PAA[[#This Row],[Meta Proyecto de Inversión]],1,4)</f>
        <v>8173</v>
      </c>
      <c r="T310" s="158" t="str">
        <f>MID(PAA[[#This Row],[Meta Proyecto de Inversión]],6,1)</f>
        <v>2</v>
      </c>
      <c r="U310" s="159" t="str">
        <f>IFERROR(VLOOKUP(N310,TD!$B$50:$F$54,2,0)," ")</f>
        <v>O230117</v>
      </c>
      <c r="V310" s="159" t="str">
        <f>IFERROR(VLOOKUP(N310,TD!$B$50:$F$54,3,0)," ")</f>
        <v>4503</v>
      </c>
      <c r="W310" s="159">
        <f>IFERROR(VLOOKUP(N310,TD!$B$50:$F$54,4,0)," ")</f>
        <v>20240255</v>
      </c>
      <c r="X310" s="158" t="s">
        <v>164</v>
      </c>
      <c r="Y310" s="159" t="str">
        <f>IFERROR(VLOOKUP(X310,TD!$J$51:$K$64,2,0)," ")</f>
        <v>Servicio de atención a incidentes y emergencias.</v>
      </c>
      <c r="Z310" s="160" t="str">
        <f>CONCATENATE(X310,"-",Y310)</f>
        <v>04-Servicio de atención a incidentes y emergencias.</v>
      </c>
      <c r="AA310" s="158" t="s">
        <v>221</v>
      </c>
      <c r="AB310" s="159" t="str">
        <f>IFERROR(VLOOKUP(AA310,TD!$N$51:$O$66,2,0)," ")</f>
        <v>Servicio de atención a emergencias y desastres</v>
      </c>
      <c r="AC310" s="160" t="str">
        <f>CONCATENATE(AA310,"_",AB310)</f>
        <v>004_Servicio de atención a emergencias y desastres</v>
      </c>
      <c r="AD310" s="160" t="str">
        <f>CONCATENATE(Z310," ",AC310)</f>
        <v>04-Servicio de atención a incidentes y emergencias. 004_Servicio de atención a emergencias y desastres</v>
      </c>
      <c r="AE310" s="159" t="str">
        <f>CONCATENATE(U310,V310,W310,X310,AA310)</f>
        <v>O23011745032024025504004</v>
      </c>
      <c r="AF310" s="159" t="str">
        <f>IFERROR(VLOOKUP(AD310,TD!$J$66:$K$89,2,0)," ")</f>
        <v>PM/0131/0104/45030040255</v>
      </c>
      <c r="AG310" s="118" t="s">
        <v>385</v>
      </c>
      <c r="AH310" s="158" t="s">
        <v>193</v>
      </c>
      <c r="AI310" s="161" t="str">
        <f>CONCATENATE(PAA[[#This Row],[Id Interno]],"-",PAA[[#This Row],[tipo de Contrato (TH talento humano - B/S bienes y/o servicios)]],"-",S310,"-",T310,"-",PAA[[#This Row],[Objeto de la contratación]])</f>
        <v>20260274-TH-8173-2-Prestación de servicios para realizar la gestión administrativa requerida en la estación de bomberos asignada, para el desarrollo de los programas a cargo de la Subdirección Operativa-S.O.</v>
      </c>
    </row>
    <row r="311" spans="2:35" ht="84" x14ac:dyDescent="0.35">
      <c r="B311" s="23">
        <v>20260275</v>
      </c>
      <c r="C311" s="99" t="s">
        <v>875</v>
      </c>
      <c r="D311" s="99" t="s">
        <v>105</v>
      </c>
      <c r="E311" s="99" t="s">
        <v>363</v>
      </c>
      <c r="F311" s="156" t="s">
        <v>145</v>
      </c>
      <c r="G311" s="156" t="s">
        <v>373</v>
      </c>
      <c r="H311" s="163">
        <v>9</v>
      </c>
      <c r="I311" s="163">
        <v>0</v>
      </c>
      <c r="J311" s="118">
        <v>26910000</v>
      </c>
      <c r="K311" s="126" t="s">
        <v>398</v>
      </c>
      <c r="L311" s="156" t="s">
        <v>158</v>
      </c>
      <c r="M311" s="162" t="s">
        <v>421</v>
      </c>
      <c r="N311" s="99" t="s">
        <v>198</v>
      </c>
      <c r="O311" s="151" t="s">
        <v>958</v>
      </c>
      <c r="P311" s="156" t="s">
        <v>348</v>
      </c>
      <c r="Q311" s="128">
        <v>80111600</v>
      </c>
      <c r="R311" s="162" t="s">
        <v>211</v>
      </c>
      <c r="S311" s="158" t="str">
        <f>MID(PAA[[#This Row],[Meta Proyecto de Inversión]],1,4)</f>
        <v>8173</v>
      </c>
      <c r="T311" s="158" t="str">
        <f>MID(PAA[[#This Row],[Meta Proyecto de Inversión]],6,1)</f>
        <v>2</v>
      </c>
      <c r="U311" s="159" t="str">
        <f>IFERROR(VLOOKUP(N311,TD!$B$50:$F$54,2,0)," ")</f>
        <v>O230117</v>
      </c>
      <c r="V311" s="159" t="str">
        <f>IFERROR(VLOOKUP(N311,TD!$B$50:$F$54,3,0)," ")</f>
        <v>4503</v>
      </c>
      <c r="W311" s="159">
        <f>IFERROR(VLOOKUP(N311,TD!$B$50:$F$54,4,0)," ")</f>
        <v>20240255</v>
      </c>
      <c r="X311" s="158" t="s">
        <v>164</v>
      </c>
      <c r="Y311" s="159" t="str">
        <f>IFERROR(VLOOKUP(X311,TD!$J$51:$K$64,2,0)," ")</f>
        <v>Servicio de atención a incidentes y emergencias.</v>
      </c>
      <c r="Z311" s="160" t="str">
        <f>CONCATENATE(X311,"-",Y311)</f>
        <v>04-Servicio de atención a incidentes y emergencias.</v>
      </c>
      <c r="AA311" s="158" t="s">
        <v>221</v>
      </c>
      <c r="AB311" s="159" t="str">
        <f>IFERROR(VLOOKUP(AA311,TD!$N$51:$O$66,2,0)," ")</f>
        <v>Servicio de atención a emergencias y desastres</v>
      </c>
      <c r="AC311" s="160" t="str">
        <f>CONCATENATE(AA311,"_",AB311)</f>
        <v>004_Servicio de atención a emergencias y desastres</v>
      </c>
      <c r="AD311" s="160" t="str">
        <f>CONCATENATE(Z311," ",AC311)</f>
        <v>04-Servicio de atención a incidentes y emergencias. 004_Servicio de atención a emergencias y desastres</v>
      </c>
      <c r="AE311" s="159" t="str">
        <f>CONCATENATE(U311,V311,W311,X311,AA311)</f>
        <v>O23011745032024025504004</v>
      </c>
      <c r="AF311" s="159" t="str">
        <f>IFERROR(VLOOKUP(AD311,TD!$J$66:$K$89,2,0)," ")</f>
        <v>PM/0131/0104/45030040255</v>
      </c>
      <c r="AG311" s="118" t="s">
        <v>385</v>
      </c>
      <c r="AH311" s="158" t="s">
        <v>193</v>
      </c>
      <c r="AI311" s="161" t="str">
        <f>CONCATENATE(PAA[[#This Row],[Id Interno]],"-",PAA[[#This Row],[tipo de Contrato (TH talento humano - B/S bienes y/o servicios)]],"-",S311,"-",T311,"-",PAA[[#This Row],[Objeto de la contratación]])</f>
        <v>20260275-TH-8173-2-Prestación de servicios para realizar la gestión administrativa requerida en la estación de bomberos asignada, para el desarrollo de los programas a cargo de la Subdirección Operativa-S.O.</v>
      </c>
    </row>
    <row r="312" spans="2:35" ht="56" x14ac:dyDescent="0.35">
      <c r="B312" s="23">
        <v>20260276</v>
      </c>
      <c r="C312" s="99" t="s">
        <v>875</v>
      </c>
      <c r="D312" s="99" t="s">
        <v>105</v>
      </c>
      <c r="E312" s="99" t="s">
        <v>363</v>
      </c>
      <c r="F312" s="156" t="s">
        <v>145</v>
      </c>
      <c r="G312" s="156" t="s">
        <v>373</v>
      </c>
      <c r="H312" s="163">
        <v>9</v>
      </c>
      <c r="I312" s="163">
        <v>0</v>
      </c>
      <c r="J312" s="118">
        <v>26910000</v>
      </c>
      <c r="K312" s="126" t="s">
        <v>398</v>
      </c>
      <c r="L312" s="156" t="s">
        <v>158</v>
      </c>
      <c r="M312" s="162" t="s">
        <v>421</v>
      </c>
      <c r="N312" s="99" t="s">
        <v>198</v>
      </c>
      <c r="O312" s="151" t="s">
        <v>958</v>
      </c>
      <c r="P312" s="156" t="s">
        <v>348</v>
      </c>
      <c r="Q312" s="128">
        <v>80111600</v>
      </c>
      <c r="R312" s="162" t="s">
        <v>211</v>
      </c>
      <c r="S312" s="158" t="str">
        <f>MID(PAA[[#This Row],[Meta Proyecto de Inversión]],1,4)</f>
        <v>8173</v>
      </c>
      <c r="T312" s="158" t="str">
        <f>MID(PAA[[#This Row],[Meta Proyecto de Inversión]],6,1)</f>
        <v>2</v>
      </c>
      <c r="U312" s="159" t="str">
        <f>IFERROR(VLOOKUP(N312,TD!$B$50:$F$54,2,0)," ")</f>
        <v>O230117</v>
      </c>
      <c r="V312" s="159" t="str">
        <f>IFERROR(VLOOKUP(N312,TD!$B$50:$F$54,3,0)," ")</f>
        <v>4503</v>
      </c>
      <c r="W312" s="159">
        <f>IFERROR(VLOOKUP(N312,TD!$B$50:$F$54,4,0)," ")</f>
        <v>20240255</v>
      </c>
      <c r="X312" s="158" t="s">
        <v>164</v>
      </c>
      <c r="Y312" s="159" t="str">
        <f>IFERROR(VLOOKUP(X312,TD!$J$51:$K$64,2,0)," ")</f>
        <v>Servicio de atención a incidentes y emergencias.</v>
      </c>
      <c r="Z312" s="160" t="str">
        <f>CONCATENATE(X312,"-",Y312)</f>
        <v>04-Servicio de atención a incidentes y emergencias.</v>
      </c>
      <c r="AA312" s="158" t="s">
        <v>221</v>
      </c>
      <c r="AB312" s="159" t="str">
        <f>IFERROR(VLOOKUP(AA312,TD!$N$51:$O$66,2,0)," ")</f>
        <v>Servicio de atención a emergencias y desastres</v>
      </c>
      <c r="AC312" s="160" t="str">
        <f>CONCATENATE(AA312,"_",AB312)</f>
        <v>004_Servicio de atención a emergencias y desastres</v>
      </c>
      <c r="AD312" s="160" t="str">
        <f>CONCATENATE(Z312," ",AC312)</f>
        <v>04-Servicio de atención a incidentes y emergencias. 004_Servicio de atención a emergencias y desastres</v>
      </c>
      <c r="AE312" s="159" t="str">
        <f>CONCATENATE(U312,V312,W312,X312,AA312)</f>
        <v>O23011745032024025504004</v>
      </c>
      <c r="AF312" s="159" t="str">
        <f>IFERROR(VLOOKUP(AD312,TD!$J$66:$K$89,2,0)," ")</f>
        <v>PM/0131/0104/45030040255</v>
      </c>
      <c r="AG312" s="118" t="s">
        <v>385</v>
      </c>
      <c r="AH312" s="158" t="s">
        <v>193</v>
      </c>
      <c r="AI312" s="161" t="str">
        <f>CONCATENATE(PAA[[#This Row],[Id Interno]],"-",PAA[[#This Row],[tipo de Contrato (TH talento humano - B/S bienes y/o servicios)]],"-",S312,"-",T312,"-",PAA[[#This Row],[Objeto de la contratación]])</f>
        <v>20260276-TH-8173-2-Prestación de servicios para realizar la gestión administrativa requerida en la estación de bomberos asignada, para el desarrollo de los programas a cargo de la Subdirección Operativa-S.O.</v>
      </c>
    </row>
    <row r="313" spans="2:35" ht="56" x14ac:dyDescent="0.35">
      <c r="B313" s="23">
        <v>20260277</v>
      </c>
      <c r="C313" s="99" t="s">
        <v>875</v>
      </c>
      <c r="D313" s="99" t="s">
        <v>105</v>
      </c>
      <c r="E313" s="99" t="s">
        <v>363</v>
      </c>
      <c r="F313" s="156" t="s">
        <v>145</v>
      </c>
      <c r="G313" s="156" t="s">
        <v>373</v>
      </c>
      <c r="H313" s="163">
        <v>9</v>
      </c>
      <c r="I313" s="163">
        <v>0</v>
      </c>
      <c r="J313" s="118">
        <v>26910000</v>
      </c>
      <c r="K313" s="126" t="s">
        <v>398</v>
      </c>
      <c r="L313" s="156" t="s">
        <v>158</v>
      </c>
      <c r="M313" s="162" t="s">
        <v>421</v>
      </c>
      <c r="N313" s="99" t="s">
        <v>198</v>
      </c>
      <c r="O313" s="151" t="s">
        <v>958</v>
      </c>
      <c r="P313" s="156" t="s">
        <v>348</v>
      </c>
      <c r="Q313" s="128">
        <v>80111600</v>
      </c>
      <c r="R313" s="162" t="s">
        <v>211</v>
      </c>
      <c r="S313" s="158" t="str">
        <f>MID(PAA[[#This Row],[Meta Proyecto de Inversión]],1,4)</f>
        <v>8173</v>
      </c>
      <c r="T313" s="158" t="str">
        <f>MID(PAA[[#This Row],[Meta Proyecto de Inversión]],6,1)</f>
        <v>2</v>
      </c>
      <c r="U313" s="159" t="str">
        <f>IFERROR(VLOOKUP(N313,TD!$B$50:$F$54,2,0)," ")</f>
        <v>O230117</v>
      </c>
      <c r="V313" s="159" t="str">
        <f>IFERROR(VLOOKUP(N313,TD!$B$50:$F$54,3,0)," ")</f>
        <v>4503</v>
      </c>
      <c r="W313" s="159">
        <f>IFERROR(VLOOKUP(N313,TD!$B$50:$F$54,4,0)," ")</f>
        <v>20240255</v>
      </c>
      <c r="X313" s="158" t="s">
        <v>164</v>
      </c>
      <c r="Y313" s="159" t="str">
        <f>IFERROR(VLOOKUP(X313,TD!$J$51:$K$64,2,0)," ")</f>
        <v>Servicio de atención a incidentes y emergencias.</v>
      </c>
      <c r="Z313" s="160" t="str">
        <f>CONCATENATE(X313,"-",Y313)</f>
        <v>04-Servicio de atención a incidentes y emergencias.</v>
      </c>
      <c r="AA313" s="158" t="s">
        <v>221</v>
      </c>
      <c r="AB313" s="159" t="str">
        <f>IFERROR(VLOOKUP(AA313,TD!$N$51:$O$66,2,0)," ")</f>
        <v>Servicio de atención a emergencias y desastres</v>
      </c>
      <c r="AC313" s="160" t="str">
        <f>CONCATENATE(AA313,"_",AB313)</f>
        <v>004_Servicio de atención a emergencias y desastres</v>
      </c>
      <c r="AD313" s="160" t="str">
        <f>CONCATENATE(Z313," ",AC313)</f>
        <v>04-Servicio de atención a incidentes y emergencias. 004_Servicio de atención a emergencias y desastres</v>
      </c>
      <c r="AE313" s="159" t="str">
        <f>CONCATENATE(U313,V313,W313,X313,AA313)</f>
        <v>O23011745032024025504004</v>
      </c>
      <c r="AF313" s="159" t="str">
        <f>IFERROR(VLOOKUP(AD313,TD!$J$66:$K$89,2,0)," ")</f>
        <v>PM/0131/0104/45030040255</v>
      </c>
      <c r="AG313" s="118" t="s">
        <v>385</v>
      </c>
      <c r="AH313" s="158" t="s">
        <v>193</v>
      </c>
      <c r="AI313" s="161" t="str">
        <f>CONCATENATE(PAA[[#This Row],[Id Interno]],"-",PAA[[#This Row],[tipo de Contrato (TH talento humano - B/S bienes y/o servicios)]],"-",S313,"-",T313,"-",PAA[[#This Row],[Objeto de la contratación]])</f>
        <v>20260277-TH-8173-2-Prestación de servicios para realizar la gestión administrativa requerida en la estación de bomberos asignada, para el desarrollo de los programas a cargo de la Subdirección Operativa-S.O.</v>
      </c>
    </row>
    <row r="314" spans="2:35" ht="70" x14ac:dyDescent="0.35">
      <c r="B314" s="23">
        <v>20260278</v>
      </c>
      <c r="C314" s="99" t="s">
        <v>875</v>
      </c>
      <c r="D314" s="99" t="s">
        <v>105</v>
      </c>
      <c r="E314" s="99" t="s">
        <v>363</v>
      </c>
      <c r="F314" s="156" t="s">
        <v>145</v>
      </c>
      <c r="G314" s="156" t="s">
        <v>373</v>
      </c>
      <c r="H314" s="163">
        <v>9</v>
      </c>
      <c r="I314" s="163">
        <v>0</v>
      </c>
      <c r="J314" s="118">
        <v>26910000</v>
      </c>
      <c r="K314" s="126" t="s">
        <v>398</v>
      </c>
      <c r="L314" s="156" t="s">
        <v>158</v>
      </c>
      <c r="M314" s="162" t="s">
        <v>421</v>
      </c>
      <c r="N314" s="99" t="s">
        <v>198</v>
      </c>
      <c r="O314" s="151" t="s">
        <v>958</v>
      </c>
      <c r="P314" s="156" t="s">
        <v>348</v>
      </c>
      <c r="Q314" s="128">
        <v>80111600</v>
      </c>
      <c r="R314" s="162" t="s">
        <v>211</v>
      </c>
      <c r="S314" s="158" t="str">
        <f>MID(PAA[[#This Row],[Meta Proyecto de Inversión]],1,4)</f>
        <v>8173</v>
      </c>
      <c r="T314" s="158" t="str">
        <f>MID(PAA[[#This Row],[Meta Proyecto de Inversión]],6,1)</f>
        <v>2</v>
      </c>
      <c r="U314" s="159" t="str">
        <f>IFERROR(VLOOKUP(N314,TD!$B$50:$F$54,2,0)," ")</f>
        <v>O230117</v>
      </c>
      <c r="V314" s="159" t="str">
        <f>IFERROR(VLOOKUP(N314,TD!$B$50:$F$54,3,0)," ")</f>
        <v>4503</v>
      </c>
      <c r="W314" s="159">
        <f>IFERROR(VLOOKUP(N314,TD!$B$50:$F$54,4,0)," ")</f>
        <v>20240255</v>
      </c>
      <c r="X314" s="158" t="s">
        <v>164</v>
      </c>
      <c r="Y314" s="159" t="str">
        <f>IFERROR(VLOOKUP(X314,TD!$J$51:$K$64,2,0)," ")</f>
        <v>Servicio de atención a incidentes y emergencias.</v>
      </c>
      <c r="Z314" s="160" t="str">
        <f>CONCATENATE(X314,"-",Y314)</f>
        <v>04-Servicio de atención a incidentes y emergencias.</v>
      </c>
      <c r="AA314" s="158" t="s">
        <v>221</v>
      </c>
      <c r="AB314" s="159" t="str">
        <f>IFERROR(VLOOKUP(AA314,TD!$N$51:$O$66,2,0)," ")</f>
        <v>Servicio de atención a emergencias y desastres</v>
      </c>
      <c r="AC314" s="160" t="str">
        <f>CONCATENATE(AA314,"_",AB314)</f>
        <v>004_Servicio de atención a emergencias y desastres</v>
      </c>
      <c r="AD314" s="160" t="str">
        <f>CONCATENATE(Z314," ",AC314)</f>
        <v>04-Servicio de atención a incidentes y emergencias. 004_Servicio de atención a emergencias y desastres</v>
      </c>
      <c r="AE314" s="159" t="str">
        <f>CONCATENATE(U314,V314,W314,X314,AA314)</f>
        <v>O23011745032024025504004</v>
      </c>
      <c r="AF314" s="159" t="str">
        <f>IFERROR(VLOOKUP(AD314,TD!$J$66:$K$89,2,0)," ")</f>
        <v>PM/0131/0104/45030040255</v>
      </c>
      <c r="AG314" s="118" t="s">
        <v>385</v>
      </c>
      <c r="AH314" s="158" t="s">
        <v>193</v>
      </c>
      <c r="AI314" s="161" t="str">
        <f>CONCATENATE(PAA[[#This Row],[Id Interno]],"-",PAA[[#This Row],[tipo de Contrato (TH talento humano - B/S bienes y/o servicios)]],"-",S314,"-",T314,"-",PAA[[#This Row],[Objeto de la contratación]])</f>
        <v>20260278-TH-8173-2-Prestación de servicios para realizar la gestión administrativa requerida en la estación de bomberos asignada, para el desarrollo de los programas a cargo de la Subdirección Operativa-S.O.</v>
      </c>
    </row>
    <row r="315" spans="2:35" ht="70" x14ac:dyDescent="0.35">
      <c r="B315" s="23">
        <v>20260279</v>
      </c>
      <c r="C315" s="99" t="s">
        <v>876</v>
      </c>
      <c r="D315" s="99" t="s">
        <v>105</v>
      </c>
      <c r="E315" s="99" t="s">
        <v>363</v>
      </c>
      <c r="F315" s="156" t="s">
        <v>145</v>
      </c>
      <c r="G315" s="156" t="s">
        <v>373</v>
      </c>
      <c r="H315" s="163">
        <v>9</v>
      </c>
      <c r="I315" s="163">
        <v>0</v>
      </c>
      <c r="J315" s="118">
        <v>29610000</v>
      </c>
      <c r="K315" s="126" t="s">
        <v>398</v>
      </c>
      <c r="L315" s="156" t="s">
        <v>158</v>
      </c>
      <c r="M315" s="162" t="s">
        <v>421</v>
      </c>
      <c r="N315" s="99" t="s">
        <v>198</v>
      </c>
      <c r="O315" s="151" t="s">
        <v>958</v>
      </c>
      <c r="P315" s="156" t="s">
        <v>348</v>
      </c>
      <c r="Q315" s="128">
        <v>80111600</v>
      </c>
      <c r="R315" s="162" t="s">
        <v>211</v>
      </c>
      <c r="S315" s="158" t="str">
        <f>MID(PAA[[#This Row],[Meta Proyecto de Inversión]],1,4)</f>
        <v>8173</v>
      </c>
      <c r="T315" s="158" t="str">
        <f>MID(PAA[[#This Row],[Meta Proyecto de Inversión]],6,1)</f>
        <v>2</v>
      </c>
      <c r="U315" s="159" t="str">
        <f>IFERROR(VLOOKUP(N315,TD!$B$50:$F$54,2,0)," ")</f>
        <v>O230117</v>
      </c>
      <c r="V315" s="159" t="str">
        <f>IFERROR(VLOOKUP(N315,TD!$B$50:$F$54,3,0)," ")</f>
        <v>4503</v>
      </c>
      <c r="W315" s="159">
        <f>IFERROR(VLOOKUP(N315,TD!$B$50:$F$54,4,0)," ")</f>
        <v>20240255</v>
      </c>
      <c r="X315" s="158" t="s">
        <v>164</v>
      </c>
      <c r="Y315" s="159" t="str">
        <f>IFERROR(VLOOKUP(X315,TD!$J$51:$K$64,2,0)," ")</f>
        <v>Servicio de atención a incidentes y emergencias.</v>
      </c>
      <c r="Z315" s="160" t="str">
        <f>CONCATENATE(X315,"-",Y315)</f>
        <v>04-Servicio de atención a incidentes y emergencias.</v>
      </c>
      <c r="AA315" s="158" t="s">
        <v>221</v>
      </c>
      <c r="AB315" s="159" t="str">
        <f>IFERROR(VLOOKUP(AA315,TD!$N$51:$O$66,2,0)," ")</f>
        <v>Servicio de atención a emergencias y desastres</v>
      </c>
      <c r="AC315" s="160" t="str">
        <f>CONCATENATE(AA315,"_",AB315)</f>
        <v>004_Servicio de atención a emergencias y desastres</v>
      </c>
      <c r="AD315" s="160" t="str">
        <f>CONCATENATE(Z315," ",AC315)</f>
        <v>04-Servicio de atención a incidentes y emergencias. 004_Servicio de atención a emergencias y desastres</v>
      </c>
      <c r="AE315" s="159" t="str">
        <f>CONCATENATE(U315,V315,W315,X315,AA315)</f>
        <v>O23011745032024025504004</v>
      </c>
      <c r="AF315" s="159" t="str">
        <f>IFERROR(VLOOKUP(AD315,TD!$J$66:$K$89,2,0)," ")</f>
        <v>PM/0131/0104/45030040255</v>
      </c>
      <c r="AG315" s="118" t="s">
        <v>385</v>
      </c>
      <c r="AH315" s="158" t="s">
        <v>193</v>
      </c>
      <c r="AI315" s="161" t="str">
        <f>CONCATENATE(PAA[[#This Row],[Id Interno]],"-",PAA[[#This Row],[tipo de Contrato (TH talento humano - B/S bienes y/o servicios)]],"-",S315,"-",T315,"-",PAA[[#This Row],[Objeto de la contratación]])</f>
        <v>20260279-TH-8173-2-Prestación de servicios para la gestión administrativa y documental realizando los reportes requeridos para el desarrollo de los programas a cargo de la Subdirección Operativa-S.O.</v>
      </c>
    </row>
    <row r="316" spans="2:35" ht="70" x14ac:dyDescent="0.35">
      <c r="B316" s="23">
        <v>20260280</v>
      </c>
      <c r="C316" s="99" t="s">
        <v>877</v>
      </c>
      <c r="D316" s="99" t="s">
        <v>105</v>
      </c>
      <c r="E316" s="99" t="s">
        <v>363</v>
      </c>
      <c r="F316" s="156" t="s">
        <v>144</v>
      </c>
      <c r="G316" s="156" t="s">
        <v>373</v>
      </c>
      <c r="H316" s="163">
        <v>9</v>
      </c>
      <c r="I316" s="163">
        <v>0</v>
      </c>
      <c r="J316" s="118">
        <v>45000000</v>
      </c>
      <c r="K316" s="126" t="s">
        <v>398</v>
      </c>
      <c r="L316" s="156" t="s">
        <v>158</v>
      </c>
      <c r="M316" s="162" t="s">
        <v>421</v>
      </c>
      <c r="N316" s="99" t="s">
        <v>198</v>
      </c>
      <c r="O316" s="151" t="s">
        <v>958</v>
      </c>
      <c r="P316" s="156" t="s">
        <v>348</v>
      </c>
      <c r="Q316" s="128">
        <v>80111600</v>
      </c>
      <c r="R316" s="162" t="s">
        <v>211</v>
      </c>
      <c r="S316" s="158" t="str">
        <f>MID(PAA[[#This Row],[Meta Proyecto de Inversión]],1,4)</f>
        <v>8173</v>
      </c>
      <c r="T316" s="158" t="str">
        <f>MID(PAA[[#This Row],[Meta Proyecto de Inversión]],6,1)</f>
        <v>2</v>
      </c>
      <c r="U316" s="159" t="str">
        <f>IFERROR(VLOOKUP(N316,TD!$B$50:$F$54,2,0)," ")</f>
        <v>O230117</v>
      </c>
      <c r="V316" s="159" t="str">
        <f>IFERROR(VLOOKUP(N316,TD!$B$50:$F$54,3,0)," ")</f>
        <v>4503</v>
      </c>
      <c r="W316" s="159">
        <f>IFERROR(VLOOKUP(N316,TD!$B$50:$F$54,4,0)," ")</f>
        <v>20240255</v>
      </c>
      <c r="X316" s="158" t="s">
        <v>164</v>
      </c>
      <c r="Y316" s="159" t="str">
        <f>IFERROR(VLOOKUP(X316,TD!$J$51:$K$64,2,0)," ")</f>
        <v>Servicio de atención a incidentes y emergencias.</v>
      </c>
      <c r="Z316" s="160" t="str">
        <f>CONCATENATE(X316,"-",Y316)</f>
        <v>04-Servicio de atención a incidentes y emergencias.</v>
      </c>
      <c r="AA316" s="158" t="s">
        <v>221</v>
      </c>
      <c r="AB316" s="159" t="str">
        <f>IFERROR(VLOOKUP(AA316,TD!$N$51:$O$66,2,0)," ")</f>
        <v>Servicio de atención a emergencias y desastres</v>
      </c>
      <c r="AC316" s="160" t="str">
        <f>CONCATENATE(AA316,"_",AB316)</f>
        <v>004_Servicio de atención a emergencias y desastres</v>
      </c>
      <c r="AD316" s="160" t="str">
        <f>CONCATENATE(Z316," ",AC316)</f>
        <v>04-Servicio de atención a incidentes y emergencias. 004_Servicio de atención a emergencias y desastres</v>
      </c>
      <c r="AE316" s="159" t="str">
        <f>CONCATENATE(U316,V316,W316,X316,AA316)</f>
        <v>O23011745032024025504004</v>
      </c>
      <c r="AF316" s="159" t="str">
        <f>IFERROR(VLOOKUP(AD316,TD!$J$66:$K$89,2,0)," ")</f>
        <v>PM/0131/0104/45030040255</v>
      </c>
      <c r="AG316" s="118" t="s">
        <v>385</v>
      </c>
      <c r="AH316" s="158" t="s">
        <v>193</v>
      </c>
      <c r="AI316" s="161" t="str">
        <f>CONCATENATE(PAA[[#This Row],[Id Interno]],"-",PAA[[#This Row],[tipo de Contrato (TH talento humano - B/S bienes y/o servicios)]],"-",S316,"-",T316,"-",PAA[[#This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317" spans="2:35" ht="70" x14ac:dyDescent="0.35">
      <c r="B317" s="23">
        <v>20260281</v>
      </c>
      <c r="C317" s="99" t="s">
        <v>877</v>
      </c>
      <c r="D317" s="99" t="s">
        <v>105</v>
      </c>
      <c r="E317" s="99" t="s">
        <v>363</v>
      </c>
      <c r="F317" s="156" t="s">
        <v>144</v>
      </c>
      <c r="G317" s="156" t="s">
        <v>373</v>
      </c>
      <c r="H317" s="163">
        <v>9</v>
      </c>
      <c r="I317" s="163">
        <v>0</v>
      </c>
      <c r="J317" s="118">
        <v>45000000</v>
      </c>
      <c r="K317" s="126" t="s">
        <v>398</v>
      </c>
      <c r="L317" s="156" t="s">
        <v>158</v>
      </c>
      <c r="M317" s="162" t="s">
        <v>421</v>
      </c>
      <c r="N317" s="99" t="s">
        <v>198</v>
      </c>
      <c r="O317" s="151" t="s">
        <v>958</v>
      </c>
      <c r="P317" s="156" t="s">
        <v>348</v>
      </c>
      <c r="Q317" s="128">
        <v>80111600</v>
      </c>
      <c r="R317" s="162" t="s">
        <v>211</v>
      </c>
      <c r="S317" s="158" t="str">
        <f>MID(PAA[[#This Row],[Meta Proyecto de Inversión]],1,4)</f>
        <v>8173</v>
      </c>
      <c r="T317" s="158" t="str">
        <f>MID(PAA[[#This Row],[Meta Proyecto de Inversión]],6,1)</f>
        <v>2</v>
      </c>
      <c r="U317" s="159" t="str">
        <f>IFERROR(VLOOKUP(N317,TD!$B$50:$F$54,2,0)," ")</f>
        <v>O230117</v>
      </c>
      <c r="V317" s="159" t="str">
        <f>IFERROR(VLOOKUP(N317,TD!$B$50:$F$54,3,0)," ")</f>
        <v>4503</v>
      </c>
      <c r="W317" s="159">
        <f>IFERROR(VLOOKUP(N317,TD!$B$50:$F$54,4,0)," ")</f>
        <v>20240255</v>
      </c>
      <c r="X317" s="158" t="s">
        <v>164</v>
      </c>
      <c r="Y317" s="159" t="str">
        <f>IFERROR(VLOOKUP(X317,TD!$J$51:$K$64,2,0)," ")</f>
        <v>Servicio de atención a incidentes y emergencias.</v>
      </c>
      <c r="Z317" s="160" t="str">
        <f>CONCATENATE(X317,"-",Y317)</f>
        <v>04-Servicio de atención a incidentes y emergencias.</v>
      </c>
      <c r="AA317" s="158" t="s">
        <v>221</v>
      </c>
      <c r="AB317" s="159" t="str">
        <f>IFERROR(VLOOKUP(AA317,TD!$N$51:$O$66,2,0)," ")</f>
        <v>Servicio de atención a emergencias y desastres</v>
      </c>
      <c r="AC317" s="160" t="str">
        <f>CONCATENATE(AA317,"_",AB317)</f>
        <v>004_Servicio de atención a emergencias y desastres</v>
      </c>
      <c r="AD317" s="160" t="str">
        <f>CONCATENATE(Z317," ",AC317)</f>
        <v>04-Servicio de atención a incidentes y emergencias. 004_Servicio de atención a emergencias y desastres</v>
      </c>
      <c r="AE317" s="159" t="str">
        <f>CONCATENATE(U317,V317,W317,X317,AA317)</f>
        <v>O23011745032024025504004</v>
      </c>
      <c r="AF317" s="159" t="str">
        <f>IFERROR(VLOOKUP(AD317,TD!$J$66:$K$89,2,0)," ")</f>
        <v>PM/0131/0104/45030040255</v>
      </c>
      <c r="AG317" s="118" t="s">
        <v>385</v>
      </c>
      <c r="AH317" s="158" t="s">
        <v>193</v>
      </c>
      <c r="AI317" s="161" t="str">
        <f>CONCATENATE(PAA[[#This Row],[Id Interno]],"-",PAA[[#This Row],[tipo de Contrato (TH talento humano - B/S bienes y/o servicios)]],"-",S317,"-",T317,"-",PAA[[#This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318" spans="2:35" ht="56" x14ac:dyDescent="0.35">
      <c r="B318" s="23">
        <v>20260282</v>
      </c>
      <c r="C318" s="99" t="s">
        <v>878</v>
      </c>
      <c r="D318" s="99" t="s">
        <v>105</v>
      </c>
      <c r="E318" s="99" t="s">
        <v>363</v>
      </c>
      <c r="F318" s="156" t="s">
        <v>145</v>
      </c>
      <c r="G318" s="156" t="s">
        <v>373</v>
      </c>
      <c r="H318" s="163">
        <v>9</v>
      </c>
      <c r="I318" s="163">
        <v>0</v>
      </c>
      <c r="J318" s="118">
        <v>33300000</v>
      </c>
      <c r="K318" s="126" t="s">
        <v>398</v>
      </c>
      <c r="L318" s="156" t="s">
        <v>158</v>
      </c>
      <c r="M318" s="162" t="s">
        <v>421</v>
      </c>
      <c r="N318" s="99" t="s">
        <v>198</v>
      </c>
      <c r="O318" s="151" t="s">
        <v>958</v>
      </c>
      <c r="P318" s="156" t="s">
        <v>348</v>
      </c>
      <c r="Q318" s="128">
        <v>80111600</v>
      </c>
      <c r="R318" s="162" t="s">
        <v>211</v>
      </c>
      <c r="S318" s="158" t="str">
        <f>MID(PAA[[#This Row],[Meta Proyecto de Inversión]],1,4)</f>
        <v>8173</v>
      </c>
      <c r="T318" s="158" t="str">
        <f>MID(PAA[[#This Row],[Meta Proyecto de Inversión]],6,1)</f>
        <v>2</v>
      </c>
      <c r="U318" s="159" t="str">
        <f>IFERROR(VLOOKUP(N318,TD!$B$50:$F$54,2,0)," ")</f>
        <v>O230117</v>
      </c>
      <c r="V318" s="159" t="str">
        <f>IFERROR(VLOOKUP(N318,TD!$B$50:$F$54,3,0)," ")</f>
        <v>4503</v>
      </c>
      <c r="W318" s="159">
        <f>IFERROR(VLOOKUP(N318,TD!$B$50:$F$54,4,0)," ")</f>
        <v>20240255</v>
      </c>
      <c r="X318" s="158" t="s">
        <v>164</v>
      </c>
      <c r="Y318" s="159" t="str">
        <f>IFERROR(VLOOKUP(X318,TD!$J$51:$K$64,2,0)," ")</f>
        <v>Servicio de atención a incidentes y emergencias.</v>
      </c>
      <c r="Z318" s="160" t="str">
        <f>CONCATENATE(X318,"-",Y318)</f>
        <v>04-Servicio de atención a incidentes y emergencias.</v>
      </c>
      <c r="AA318" s="158" t="s">
        <v>221</v>
      </c>
      <c r="AB318" s="159" t="str">
        <f>IFERROR(VLOOKUP(AA318,TD!$N$51:$O$66,2,0)," ")</f>
        <v>Servicio de atención a emergencias y desastres</v>
      </c>
      <c r="AC318" s="160" t="str">
        <f>CONCATENATE(AA318,"_",AB318)</f>
        <v>004_Servicio de atención a emergencias y desastres</v>
      </c>
      <c r="AD318" s="160" t="str">
        <f>CONCATENATE(Z318," ",AC318)</f>
        <v>04-Servicio de atención a incidentes y emergencias. 004_Servicio de atención a emergencias y desastres</v>
      </c>
      <c r="AE318" s="159" t="str">
        <f>CONCATENATE(U318,V318,W318,X318,AA318)</f>
        <v>O23011745032024025504004</v>
      </c>
      <c r="AF318" s="159" t="str">
        <f>IFERROR(VLOOKUP(AD318,TD!$J$66:$K$89,2,0)," ")</f>
        <v>PM/0131/0104/45030040255</v>
      </c>
      <c r="AG318" s="118" t="s">
        <v>385</v>
      </c>
      <c r="AH318" s="158" t="s">
        <v>193</v>
      </c>
      <c r="AI318" s="161" t="str">
        <f>CONCATENATE(PAA[[#This Row],[Id Interno]],"-",PAA[[#This Row],[tipo de Contrato (TH talento humano - B/S bienes y/o servicios)]],"-",S318,"-",T318,"-",PAA[[#This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319" spans="2:35" ht="70" x14ac:dyDescent="0.35">
      <c r="B319" s="23">
        <v>20260283</v>
      </c>
      <c r="C319" s="99" t="s">
        <v>878</v>
      </c>
      <c r="D319" s="99" t="s">
        <v>105</v>
      </c>
      <c r="E319" s="99" t="s">
        <v>363</v>
      </c>
      <c r="F319" s="156" t="s">
        <v>145</v>
      </c>
      <c r="G319" s="156" t="s">
        <v>373</v>
      </c>
      <c r="H319" s="163">
        <v>9</v>
      </c>
      <c r="I319" s="163">
        <v>0</v>
      </c>
      <c r="J319" s="118">
        <v>33300000</v>
      </c>
      <c r="K319" s="126" t="s">
        <v>398</v>
      </c>
      <c r="L319" s="156" t="s">
        <v>158</v>
      </c>
      <c r="M319" s="162" t="s">
        <v>421</v>
      </c>
      <c r="N319" s="99" t="s">
        <v>198</v>
      </c>
      <c r="O319" s="151" t="s">
        <v>958</v>
      </c>
      <c r="P319" s="156" t="s">
        <v>348</v>
      </c>
      <c r="Q319" s="128">
        <v>80111600</v>
      </c>
      <c r="R319" s="162" t="s">
        <v>211</v>
      </c>
      <c r="S319" s="158" t="str">
        <f>MID(PAA[[#This Row],[Meta Proyecto de Inversión]],1,4)</f>
        <v>8173</v>
      </c>
      <c r="T319" s="158" t="str">
        <f>MID(PAA[[#This Row],[Meta Proyecto de Inversión]],6,1)</f>
        <v>2</v>
      </c>
      <c r="U319" s="159" t="str">
        <f>IFERROR(VLOOKUP(N319,TD!$B$50:$F$54,2,0)," ")</f>
        <v>O230117</v>
      </c>
      <c r="V319" s="159" t="str">
        <f>IFERROR(VLOOKUP(N319,TD!$B$50:$F$54,3,0)," ")</f>
        <v>4503</v>
      </c>
      <c r="W319" s="159">
        <f>IFERROR(VLOOKUP(N319,TD!$B$50:$F$54,4,0)," ")</f>
        <v>20240255</v>
      </c>
      <c r="X319" s="158" t="s">
        <v>164</v>
      </c>
      <c r="Y319" s="159" t="str">
        <f>IFERROR(VLOOKUP(X319,TD!$J$51:$K$64,2,0)," ")</f>
        <v>Servicio de atención a incidentes y emergencias.</v>
      </c>
      <c r="Z319" s="160" t="str">
        <f>CONCATENATE(X319,"-",Y319)</f>
        <v>04-Servicio de atención a incidentes y emergencias.</v>
      </c>
      <c r="AA319" s="158" t="s">
        <v>221</v>
      </c>
      <c r="AB319" s="159" t="str">
        <f>IFERROR(VLOOKUP(AA319,TD!$N$51:$O$66,2,0)," ")</f>
        <v>Servicio de atención a emergencias y desastres</v>
      </c>
      <c r="AC319" s="160" t="str">
        <f>CONCATENATE(AA319,"_",AB319)</f>
        <v>004_Servicio de atención a emergencias y desastres</v>
      </c>
      <c r="AD319" s="160" t="str">
        <f>CONCATENATE(Z319," ",AC319)</f>
        <v>04-Servicio de atención a incidentes y emergencias. 004_Servicio de atención a emergencias y desastres</v>
      </c>
      <c r="AE319" s="159" t="str">
        <f>CONCATENATE(U319,V319,W319,X319,AA319)</f>
        <v>O23011745032024025504004</v>
      </c>
      <c r="AF319" s="159" t="str">
        <f>IFERROR(VLOOKUP(AD319,TD!$J$66:$K$89,2,0)," ")</f>
        <v>PM/0131/0104/45030040255</v>
      </c>
      <c r="AG319" s="118" t="s">
        <v>385</v>
      </c>
      <c r="AH319" s="158" t="s">
        <v>193</v>
      </c>
      <c r="AI319" s="161" t="str">
        <f>CONCATENATE(PAA[[#This Row],[Id Interno]],"-",PAA[[#This Row],[tipo de Contrato (TH talento humano - B/S bienes y/o servicios)]],"-",S319,"-",T319,"-",PAA[[#This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320" spans="2:35" ht="112" x14ac:dyDescent="0.35">
      <c r="B320" s="23">
        <v>20260284</v>
      </c>
      <c r="C320" s="99" t="s">
        <v>497</v>
      </c>
      <c r="D320" s="99" t="s">
        <v>105</v>
      </c>
      <c r="E320" s="99" t="s">
        <v>363</v>
      </c>
      <c r="F320" s="156" t="s">
        <v>145</v>
      </c>
      <c r="G320" s="156" t="s">
        <v>373</v>
      </c>
      <c r="H320" s="163">
        <v>3</v>
      </c>
      <c r="I320" s="163">
        <v>15</v>
      </c>
      <c r="J320" s="118">
        <v>15400000</v>
      </c>
      <c r="K320" s="126" t="s">
        <v>398</v>
      </c>
      <c r="L320" s="156" t="s">
        <v>158</v>
      </c>
      <c r="M320" s="162" t="s">
        <v>421</v>
      </c>
      <c r="N320" s="99" t="s">
        <v>198</v>
      </c>
      <c r="O320" s="151" t="s">
        <v>958</v>
      </c>
      <c r="P320" s="156" t="s">
        <v>348</v>
      </c>
      <c r="Q320" s="128">
        <v>80111600</v>
      </c>
      <c r="R320" s="162" t="s">
        <v>211</v>
      </c>
      <c r="S320" s="158" t="str">
        <f>MID(PAA[[#This Row],[Meta Proyecto de Inversión]],1,4)</f>
        <v>8173</v>
      </c>
      <c r="T320" s="158" t="str">
        <f>MID(PAA[[#This Row],[Meta Proyecto de Inversión]],6,1)</f>
        <v>2</v>
      </c>
      <c r="U320" s="159" t="str">
        <f>IFERROR(VLOOKUP(N320,TD!$B$50:$F$54,2,0)," ")</f>
        <v>O230117</v>
      </c>
      <c r="V320" s="159" t="str">
        <f>IFERROR(VLOOKUP(N320,TD!$B$50:$F$54,3,0)," ")</f>
        <v>4503</v>
      </c>
      <c r="W320" s="159">
        <f>IFERROR(VLOOKUP(N320,TD!$B$50:$F$54,4,0)," ")</f>
        <v>20240255</v>
      </c>
      <c r="X320" s="158" t="s">
        <v>164</v>
      </c>
      <c r="Y320" s="159" t="str">
        <f>IFERROR(VLOOKUP(X320,TD!$J$51:$K$64,2,0)," ")</f>
        <v>Servicio de atención a incidentes y emergencias.</v>
      </c>
      <c r="Z320" s="160" t="str">
        <f>CONCATENATE(X320,"-",Y320)</f>
        <v>04-Servicio de atención a incidentes y emergencias.</v>
      </c>
      <c r="AA320" s="158" t="s">
        <v>221</v>
      </c>
      <c r="AB320" s="159" t="str">
        <f>IFERROR(VLOOKUP(AA320,TD!$N$51:$O$66,2,0)," ")</f>
        <v>Servicio de atención a emergencias y desastres</v>
      </c>
      <c r="AC320" s="160" t="str">
        <f>CONCATENATE(AA320,"_",AB320)</f>
        <v>004_Servicio de atención a emergencias y desastres</v>
      </c>
      <c r="AD320" s="160" t="str">
        <f>CONCATENATE(Z320," ",AC320)</f>
        <v>04-Servicio de atención a incidentes y emergencias. 004_Servicio de atención a emergencias y desastres</v>
      </c>
      <c r="AE320" s="159" t="str">
        <f>CONCATENATE(U320,V320,W320,X320,AA320)</f>
        <v>O23011745032024025504004</v>
      </c>
      <c r="AF320" s="159" t="str">
        <f>IFERROR(VLOOKUP(AD320,TD!$J$66:$K$89,2,0)," ")</f>
        <v>PM/0131/0104/45030040255</v>
      </c>
      <c r="AG320" s="118" t="s">
        <v>385</v>
      </c>
      <c r="AH320" s="158" t="s">
        <v>194</v>
      </c>
      <c r="AI320" s="161" t="str">
        <f>CONCATENATE(PAA[[#This Row],[Id Interno]],"-",PAA[[#This Row],[tipo de Contrato (TH talento humano - B/S bienes y/o servicios)]],"-",S320,"-",T320,"-",PAA[[#This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321" spans="2:35" ht="112" x14ac:dyDescent="0.35">
      <c r="B321" s="23">
        <v>20260285</v>
      </c>
      <c r="C321" s="99" t="s">
        <v>498</v>
      </c>
      <c r="D321" s="99" t="s">
        <v>105</v>
      </c>
      <c r="E321" s="99" t="s">
        <v>363</v>
      </c>
      <c r="F321" s="156" t="s">
        <v>144</v>
      </c>
      <c r="G321" s="156" t="s">
        <v>373</v>
      </c>
      <c r="H321" s="163">
        <v>5</v>
      </c>
      <c r="I321" s="163">
        <v>15</v>
      </c>
      <c r="J321" s="118">
        <v>52250000</v>
      </c>
      <c r="K321" s="126" t="s">
        <v>398</v>
      </c>
      <c r="L321" s="156" t="s">
        <v>158</v>
      </c>
      <c r="M321" s="162" t="s">
        <v>421</v>
      </c>
      <c r="N321" s="99" t="s">
        <v>198</v>
      </c>
      <c r="O321" s="151" t="s">
        <v>958</v>
      </c>
      <c r="P321" s="156" t="s">
        <v>348</v>
      </c>
      <c r="Q321" s="128">
        <v>80111600</v>
      </c>
      <c r="R321" s="162" t="s">
        <v>211</v>
      </c>
      <c r="S321" s="158" t="str">
        <f>MID(PAA[[#This Row],[Meta Proyecto de Inversión]],1,4)</f>
        <v>8173</v>
      </c>
      <c r="T321" s="158" t="str">
        <f>MID(PAA[[#This Row],[Meta Proyecto de Inversión]],6,1)</f>
        <v>2</v>
      </c>
      <c r="U321" s="159" t="str">
        <f>IFERROR(VLOOKUP(N321,TD!$B$50:$F$54,2,0)," ")</f>
        <v>O230117</v>
      </c>
      <c r="V321" s="159" t="str">
        <f>IFERROR(VLOOKUP(N321,TD!$B$50:$F$54,3,0)," ")</f>
        <v>4503</v>
      </c>
      <c r="W321" s="159">
        <f>IFERROR(VLOOKUP(N321,TD!$B$50:$F$54,4,0)," ")</f>
        <v>20240255</v>
      </c>
      <c r="X321" s="158" t="s">
        <v>164</v>
      </c>
      <c r="Y321" s="159" t="str">
        <f>IFERROR(VLOOKUP(X321,TD!$J$51:$K$64,2,0)," ")</f>
        <v>Servicio de atención a incidentes y emergencias.</v>
      </c>
      <c r="Z321" s="160" t="str">
        <f>CONCATENATE(X321,"-",Y321)</f>
        <v>04-Servicio de atención a incidentes y emergencias.</v>
      </c>
      <c r="AA321" s="158" t="s">
        <v>221</v>
      </c>
      <c r="AB321" s="159" t="str">
        <f>IFERROR(VLOOKUP(AA321,TD!$N$51:$O$66,2,0)," ")</f>
        <v>Servicio de atención a emergencias y desastres</v>
      </c>
      <c r="AC321" s="160" t="str">
        <f>CONCATENATE(AA321,"_",AB321)</f>
        <v>004_Servicio de atención a emergencias y desastres</v>
      </c>
      <c r="AD321" s="160" t="str">
        <f>CONCATENATE(Z321," ",AC321)</f>
        <v>04-Servicio de atención a incidentes y emergencias. 004_Servicio de atención a emergencias y desastres</v>
      </c>
      <c r="AE321" s="159" t="str">
        <f>CONCATENATE(U321,V321,W321,X321,AA321)</f>
        <v>O23011745032024025504004</v>
      </c>
      <c r="AF321" s="159" t="str">
        <f>IFERROR(VLOOKUP(AD321,TD!$J$66:$K$89,2,0)," ")</f>
        <v>PM/0131/0104/45030040255</v>
      </c>
      <c r="AG321" s="118" t="s">
        <v>385</v>
      </c>
      <c r="AH321" s="158" t="s">
        <v>194</v>
      </c>
      <c r="AI321" s="161" t="str">
        <f>CONCATENATE(PAA[[#This Row],[Id Interno]],"-",PAA[[#This Row],[tipo de Contrato (TH talento humano - B/S bienes y/o servicios)]],"-",S321,"-",T321,"-",PAA[[#This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322" spans="2:35" ht="70" x14ac:dyDescent="0.35">
      <c r="B322" s="23">
        <v>20260286</v>
      </c>
      <c r="C322" s="99" t="s">
        <v>673</v>
      </c>
      <c r="D322" s="99" t="s">
        <v>105</v>
      </c>
      <c r="E322" s="99" t="s">
        <v>363</v>
      </c>
      <c r="F322" s="156" t="s">
        <v>144</v>
      </c>
      <c r="G322" s="156" t="s">
        <v>373</v>
      </c>
      <c r="H322" s="163">
        <v>10</v>
      </c>
      <c r="I322" s="163">
        <v>0</v>
      </c>
      <c r="J322" s="118">
        <v>80000000</v>
      </c>
      <c r="K322" s="126" t="s">
        <v>398</v>
      </c>
      <c r="L322" s="156" t="s">
        <v>158</v>
      </c>
      <c r="M322" s="162" t="s">
        <v>421</v>
      </c>
      <c r="N322" s="99" t="s">
        <v>198</v>
      </c>
      <c r="O322" s="151" t="s">
        <v>958</v>
      </c>
      <c r="P322" s="156" t="s">
        <v>348</v>
      </c>
      <c r="Q322" s="128">
        <v>80111600</v>
      </c>
      <c r="R322" s="162" t="s">
        <v>211</v>
      </c>
      <c r="S322" s="158" t="str">
        <f>MID(PAA[[#This Row],[Meta Proyecto de Inversión]],1,4)</f>
        <v>8173</v>
      </c>
      <c r="T322" s="158" t="str">
        <f>MID(PAA[[#This Row],[Meta Proyecto de Inversión]],6,1)</f>
        <v>2</v>
      </c>
      <c r="U322" s="159" t="str">
        <f>IFERROR(VLOOKUP(N322,TD!$B$50:$F$54,2,0)," ")</f>
        <v>O230117</v>
      </c>
      <c r="V322" s="159" t="str">
        <f>IFERROR(VLOOKUP(N322,TD!$B$50:$F$54,3,0)," ")</f>
        <v>4503</v>
      </c>
      <c r="W322" s="159">
        <f>IFERROR(VLOOKUP(N322,TD!$B$50:$F$54,4,0)," ")</f>
        <v>20240255</v>
      </c>
      <c r="X322" s="158" t="s">
        <v>164</v>
      </c>
      <c r="Y322" s="159" t="str">
        <f>IFERROR(VLOOKUP(X322,TD!$J$51:$K$64,2,0)," ")</f>
        <v>Servicio de atención a incidentes y emergencias.</v>
      </c>
      <c r="Z322" s="160" t="str">
        <f>CONCATENATE(X322,"-",Y322)</f>
        <v>04-Servicio de atención a incidentes y emergencias.</v>
      </c>
      <c r="AA322" s="158" t="s">
        <v>221</v>
      </c>
      <c r="AB322" s="159" t="str">
        <f>IFERROR(VLOOKUP(AA322,TD!$N$51:$O$66,2,0)," ")</f>
        <v>Servicio de atención a emergencias y desastres</v>
      </c>
      <c r="AC322" s="160" t="str">
        <f>CONCATENATE(AA322,"_",AB322)</f>
        <v>004_Servicio de atención a emergencias y desastres</v>
      </c>
      <c r="AD322" s="160" t="str">
        <f>CONCATENATE(Z322," ",AC322)</f>
        <v>04-Servicio de atención a incidentes y emergencias. 004_Servicio de atención a emergencias y desastres</v>
      </c>
      <c r="AE322" s="159" t="str">
        <f>CONCATENATE(U322,V322,W322,X322,AA322)</f>
        <v>O23011745032024025504004</v>
      </c>
      <c r="AF322" s="159" t="str">
        <f>IFERROR(VLOOKUP(AD322,TD!$J$66:$K$89,2,0)," ")</f>
        <v>PM/0131/0104/45030040255</v>
      </c>
      <c r="AG322" s="118" t="s">
        <v>385</v>
      </c>
      <c r="AH322" s="158" t="s">
        <v>193</v>
      </c>
      <c r="AI322" s="161" t="str">
        <f>CONCATENATE(PAA[[#This Row],[Id Interno]],"-",PAA[[#This Row],[tipo de Contrato (TH talento humano - B/S bienes y/o servicios)]],"-",S322,"-",T322,"-",PAA[[#This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323" spans="2:35" ht="84" x14ac:dyDescent="0.35">
      <c r="B323" s="23">
        <v>20260287</v>
      </c>
      <c r="C323" s="99" t="s">
        <v>674</v>
      </c>
      <c r="D323" s="99" t="s">
        <v>105</v>
      </c>
      <c r="E323" s="99" t="s">
        <v>363</v>
      </c>
      <c r="F323" s="156" t="s">
        <v>144</v>
      </c>
      <c r="G323" s="156" t="s">
        <v>373</v>
      </c>
      <c r="H323" s="163">
        <v>10</v>
      </c>
      <c r="I323" s="163">
        <v>0</v>
      </c>
      <c r="J323" s="118">
        <v>49500000</v>
      </c>
      <c r="K323" s="126" t="s">
        <v>398</v>
      </c>
      <c r="L323" s="156" t="s">
        <v>158</v>
      </c>
      <c r="M323" s="162" t="s">
        <v>421</v>
      </c>
      <c r="N323" s="99" t="s">
        <v>198</v>
      </c>
      <c r="O323" s="151" t="s">
        <v>958</v>
      </c>
      <c r="P323" s="156" t="s">
        <v>348</v>
      </c>
      <c r="Q323" s="128">
        <v>80111600</v>
      </c>
      <c r="R323" s="162" t="s">
        <v>211</v>
      </c>
      <c r="S323" s="158" t="str">
        <f>MID(PAA[[#This Row],[Meta Proyecto de Inversión]],1,4)</f>
        <v>8173</v>
      </c>
      <c r="T323" s="158" t="str">
        <f>MID(PAA[[#This Row],[Meta Proyecto de Inversión]],6,1)</f>
        <v>2</v>
      </c>
      <c r="U323" s="159" t="str">
        <f>IFERROR(VLOOKUP(N323,TD!$B$50:$F$54,2,0)," ")</f>
        <v>O230117</v>
      </c>
      <c r="V323" s="159" t="str">
        <f>IFERROR(VLOOKUP(N323,TD!$B$50:$F$54,3,0)," ")</f>
        <v>4503</v>
      </c>
      <c r="W323" s="159">
        <f>IFERROR(VLOOKUP(N323,TD!$B$50:$F$54,4,0)," ")</f>
        <v>20240255</v>
      </c>
      <c r="X323" s="158" t="s">
        <v>164</v>
      </c>
      <c r="Y323" s="159" t="str">
        <f>IFERROR(VLOOKUP(X323,TD!$J$51:$K$64,2,0)," ")</f>
        <v>Servicio de atención a incidentes y emergencias.</v>
      </c>
      <c r="Z323" s="160" t="str">
        <f>CONCATENATE(X323,"-",Y323)</f>
        <v>04-Servicio de atención a incidentes y emergencias.</v>
      </c>
      <c r="AA323" s="158" t="s">
        <v>221</v>
      </c>
      <c r="AB323" s="159" t="str">
        <f>IFERROR(VLOOKUP(AA323,TD!$N$51:$O$66,2,0)," ")</f>
        <v>Servicio de atención a emergencias y desastres</v>
      </c>
      <c r="AC323" s="160" t="str">
        <f>CONCATENATE(AA323,"_",AB323)</f>
        <v>004_Servicio de atención a emergencias y desastres</v>
      </c>
      <c r="AD323" s="160" t="str">
        <f>CONCATENATE(Z323," ",AC323)</f>
        <v>04-Servicio de atención a incidentes y emergencias. 004_Servicio de atención a emergencias y desastres</v>
      </c>
      <c r="AE323" s="159" t="str">
        <f>CONCATENATE(U323,V323,W323,X323,AA323)</f>
        <v>O23011745032024025504004</v>
      </c>
      <c r="AF323" s="159" t="str">
        <f>IFERROR(VLOOKUP(AD323,TD!$J$66:$K$89,2,0)," ")</f>
        <v>PM/0131/0104/45030040255</v>
      </c>
      <c r="AG323" s="118" t="s">
        <v>385</v>
      </c>
      <c r="AH323" s="158" t="s">
        <v>193</v>
      </c>
      <c r="AI323" s="161" t="str">
        <f>CONCATENATE(PAA[[#This Row],[Id Interno]],"-",PAA[[#This Row],[tipo de Contrato (TH talento humano - B/S bienes y/o servicios)]],"-",S323,"-",T323,"-",PAA[[#This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24" spans="2:35" ht="84" x14ac:dyDescent="0.35">
      <c r="B324" s="23">
        <v>20260288</v>
      </c>
      <c r="C324" s="99" t="s">
        <v>675</v>
      </c>
      <c r="D324" s="99" t="s">
        <v>105</v>
      </c>
      <c r="E324" s="99" t="s">
        <v>363</v>
      </c>
      <c r="F324" s="156" t="s">
        <v>144</v>
      </c>
      <c r="G324" s="156" t="s">
        <v>373</v>
      </c>
      <c r="H324" s="163">
        <v>7</v>
      </c>
      <c r="I324" s="163">
        <v>0</v>
      </c>
      <c r="J324" s="118">
        <v>47600000</v>
      </c>
      <c r="K324" s="126" t="s">
        <v>398</v>
      </c>
      <c r="L324" s="156" t="s">
        <v>158</v>
      </c>
      <c r="M324" s="162" t="s">
        <v>421</v>
      </c>
      <c r="N324" s="99" t="s">
        <v>198</v>
      </c>
      <c r="O324" s="151" t="s">
        <v>958</v>
      </c>
      <c r="P324" s="156" t="s">
        <v>348</v>
      </c>
      <c r="Q324" s="128">
        <v>80111600</v>
      </c>
      <c r="R324" s="162" t="s">
        <v>211</v>
      </c>
      <c r="S324" s="158" t="str">
        <f>MID(PAA[[#This Row],[Meta Proyecto de Inversión]],1,4)</f>
        <v>8173</v>
      </c>
      <c r="T324" s="158" t="str">
        <f>MID(PAA[[#This Row],[Meta Proyecto de Inversión]],6,1)</f>
        <v>2</v>
      </c>
      <c r="U324" s="159" t="str">
        <f>IFERROR(VLOOKUP(N324,TD!$B$50:$F$54,2,0)," ")</f>
        <v>O230117</v>
      </c>
      <c r="V324" s="159" t="str">
        <f>IFERROR(VLOOKUP(N324,TD!$B$50:$F$54,3,0)," ")</f>
        <v>4503</v>
      </c>
      <c r="W324" s="159">
        <f>IFERROR(VLOOKUP(N324,TD!$B$50:$F$54,4,0)," ")</f>
        <v>20240255</v>
      </c>
      <c r="X324" s="158" t="s">
        <v>164</v>
      </c>
      <c r="Y324" s="159" t="str">
        <f>IFERROR(VLOOKUP(X324,TD!$J$51:$K$64,2,0)," ")</f>
        <v>Servicio de atención a incidentes y emergencias.</v>
      </c>
      <c r="Z324" s="160" t="str">
        <f>CONCATENATE(X324,"-",Y324)</f>
        <v>04-Servicio de atención a incidentes y emergencias.</v>
      </c>
      <c r="AA324" s="158" t="s">
        <v>221</v>
      </c>
      <c r="AB324" s="159" t="str">
        <f>IFERROR(VLOOKUP(AA324,TD!$N$51:$O$66,2,0)," ")</f>
        <v>Servicio de atención a emergencias y desastres</v>
      </c>
      <c r="AC324" s="160" t="str">
        <f>CONCATENATE(AA324,"_",AB324)</f>
        <v>004_Servicio de atención a emergencias y desastres</v>
      </c>
      <c r="AD324" s="160" t="str">
        <f>CONCATENATE(Z324," ",AC324)</f>
        <v>04-Servicio de atención a incidentes y emergencias. 004_Servicio de atención a emergencias y desastres</v>
      </c>
      <c r="AE324" s="159" t="str">
        <f>CONCATENATE(U324,V324,W324,X324,AA324)</f>
        <v>O23011745032024025504004</v>
      </c>
      <c r="AF324" s="159" t="str">
        <f>IFERROR(VLOOKUP(AD324,TD!$J$66:$K$89,2,0)," ")</f>
        <v>PM/0131/0104/45030040255</v>
      </c>
      <c r="AG324" s="118" t="s">
        <v>385</v>
      </c>
      <c r="AH324" s="158" t="s">
        <v>193</v>
      </c>
      <c r="AI324" s="161" t="str">
        <f>CONCATENATE(PAA[[#This Row],[Id Interno]],"-",PAA[[#This Row],[tipo de Contrato (TH talento humano - B/S bienes y/o servicios)]],"-",S324,"-",T324,"-",PAA[[#This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25" spans="2:35" ht="70" x14ac:dyDescent="0.35">
      <c r="B325" s="23">
        <v>20260289</v>
      </c>
      <c r="C325" s="99" t="s">
        <v>879</v>
      </c>
      <c r="D325" s="99" t="s">
        <v>105</v>
      </c>
      <c r="E325" s="99" t="s">
        <v>363</v>
      </c>
      <c r="F325" s="156" t="s">
        <v>144</v>
      </c>
      <c r="G325" s="156" t="s">
        <v>379</v>
      </c>
      <c r="H325" s="163">
        <v>6</v>
      </c>
      <c r="I325" s="163">
        <v>0</v>
      </c>
      <c r="J325" s="118">
        <v>43200000</v>
      </c>
      <c r="K325" s="126" t="s">
        <v>398</v>
      </c>
      <c r="L325" s="156" t="s">
        <v>158</v>
      </c>
      <c r="M325" s="162" t="s">
        <v>421</v>
      </c>
      <c r="N325" s="99" t="s">
        <v>198</v>
      </c>
      <c r="O325" s="151" t="s">
        <v>958</v>
      </c>
      <c r="P325" s="156" t="s">
        <v>348</v>
      </c>
      <c r="Q325" s="128">
        <v>80111600</v>
      </c>
      <c r="R325" s="162" t="s">
        <v>211</v>
      </c>
      <c r="S325" s="158" t="str">
        <f>MID(PAA[[#This Row],[Meta Proyecto de Inversión]],1,4)</f>
        <v>8173</v>
      </c>
      <c r="T325" s="158" t="str">
        <f>MID(PAA[[#This Row],[Meta Proyecto de Inversión]],6,1)</f>
        <v>2</v>
      </c>
      <c r="U325" s="159" t="str">
        <f>IFERROR(VLOOKUP(N325,TD!$B$50:$F$54,2,0)," ")</f>
        <v>O230117</v>
      </c>
      <c r="V325" s="159" t="str">
        <f>IFERROR(VLOOKUP(N325,TD!$B$50:$F$54,3,0)," ")</f>
        <v>4503</v>
      </c>
      <c r="W325" s="159">
        <f>IFERROR(VLOOKUP(N325,TD!$B$50:$F$54,4,0)," ")</f>
        <v>20240255</v>
      </c>
      <c r="X325" s="158" t="s">
        <v>164</v>
      </c>
      <c r="Y325" s="159" t="str">
        <f>IFERROR(VLOOKUP(X325,TD!$J$51:$K$64,2,0)," ")</f>
        <v>Servicio de atención a incidentes y emergencias.</v>
      </c>
      <c r="Z325" s="160" t="str">
        <f>CONCATENATE(X325,"-",Y325)</f>
        <v>04-Servicio de atención a incidentes y emergencias.</v>
      </c>
      <c r="AA325" s="158" t="s">
        <v>221</v>
      </c>
      <c r="AB325" s="159" t="str">
        <f>IFERROR(VLOOKUP(AA325,TD!$N$51:$O$66,2,0)," ")</f>
        <v>Servicio de atención a emergencias y desastres</v>
      </c>
      <c r="AC325" s="160" t="str">
        <f>CONCATENATE(AA325,"_",AB325)</f>
        <v>004_Servicio de atención a emergencias y desastres</v>
      </c>
      <c r="AD325" s="160" t="str">
        <f>CONCATENATE(Z325," ",AC325)</f>
        <v>04-Servicio de atención a incidentes y emergencias. 004_Servicio de atención a emergencias y desastres</v>
      </c>
      <c r="AE325" s="159" t="str">
        <f>CONCATENATE(U325,V325,W325,X325,AA325)</f>
        <v>O23011745032024025504004</v>
      </c>
      <c r="AF325" s="159" t="str">
        <f>IFERROR(VLOOKUP(AD325,TD!$J$66:$K$89,2,0)," ")</f>
        <v>PM/0131/0104/45030040255</v>
      </c>
      <c r="AG325" s="118" t="s">
        <v>385</v>
      </c>
      <c r="AH325" s="158" t="s">
        <v>193</v>
      </c>
      <c r="AI325" s="161" t="str">
        <f>CONCATENATE(PAA[[#This Row],[Id Interno]],"-",PAA[[#This Row],[tipo de Contrato (TH talento humano - B/S bienes y/o servicios)]],"-",S325,"-",T325,"-",PAA[[#This Row],[Objeto de la contratación]])</f>
        <v>20260289-TH-8173-2-Prestación de servicios profesionales para apoyar el fortalecimiento de la dependencia y la articulación con entidades externas, para el desarrollo de los programas a cargo de la Subdirección Operativa-S. O.</v>
      </c>
    </row>
    <row r="326" spans="2:35" ht="84" x14ac:dyDescent="0.35">
      <c r="B326" s="23">
        <v>20260290</v>
      </c>
      <c r="C326" s="99" t="s">
        <v>880</v>
      </c>
      <c r="D326" s="99" t="s">
        <v>105</v>
      </c>
      <c r="E326" s="99" t="s">
        <v>363</v>
      </c>
      <c r="F326" s="156" t="s">
        <v>144</v>
      </c>
      <c r="G326" s="156" t="s">
        <v>373</v>
      </c>
      <c r="H326" s="163">
        <v>8</v>
      </c>
      <c r="I326" s="163">
        <v>0</v>
      </c>
      <c r="J326" s="118">
        <v>41200000</v>
      </c>
      <c r="K326" s="126" t="s">
        <v>398</v>
      </c>
      <c r="L326" s="156" t="s">
        <v>158</v>
      </c>
      <c r="M326" s="162" t="s">
        <v>421</v>
      </c>
      <c r="N326" s="99" t="s">
        <v>198</v>
      </c>
      <c r="O326" s="151" t="s">
        <v>958</v>
      </c>
      <c r="P326" s="156" t="s">
        <v>348</v>
      </c>
      <c r="Q326" s="128">
        <v>80111600</v>
      </c>
      <c r="R326" s="162" t="s">
        <v>211</v>
      </c>
      <c r="S326" s="158" t="str">
        <f>MID(PAA[[#This Row],[Meta Proyecto de Inversión]],1,4)</f>
        <v>8173</v>
      </c>
      <c r="T326" s="158" t="str">
        <f>MID(PAA[[#This Row],[Meta Proyecto de Inversión]],6,1)</f>
        <v>2</v>
      </c>
      <c r="U326" s="159" t="str">
        <f>IFERROR(VLOOKUP(N326,TD!$B$50:$F$54,2,0)," ")</f>
        <v>O230117</v>
      </c>
      <c r="V326" s="159" t="str">
        <f>IFERROR(VLOOKUP(N326,TD!$B$50:$F$54,3,0)," ")</f>
        <v>4503</v>
      </c>
      <c r="W326" s="159">
        <f>IFERROR(VLOOKUP(N326,TD!$B$50:$F$54,4,0)," ")</f>
        <v>20240255</v>
      </c>
      <c r="X326" s="158" t="s">
        <v>164</v>
      </c>
      <c r="Y326" s="159" t="str">
        <f>IFERROR(VLOOKUP(X326,TD!$J$51:$K$64,2,0)," ")</f>
        <v>Servicio de atención a incidentes y emergencias.</v>
      </c>
      <c r="Z326" s="160" t="str">
        <f>CONCATENATE(X326,"-",Y326)</f>
        <v>04-Servicio de atención a incidentes y emergencias.</v>
      </c>
      <c r="AA326" s="158" t="s">
        <v>221</v>
      </c>
      <c r="AB326" s="159" t="str">
        <f>IFERROR(VLOOKUP(AA326,TD!$N$51:$O$66,2,0)," ")</f>
        <v>Servicio de atención a emergencias y desastres</v>
      </c>
      <c r="AC326" s="160" t="str">
        <f>CONCATENATE(AA326,"_",AB326)</f>
        <v>004_Servicio de atención a emergencias y desastres</v>
      </c>
      <c r="AD326" s="160" t="str">
        <f>CONCATENATE(Z326," ",AC326)</f>
        <v>04-Servicio de atención a incidentes y emergencias. 004_Servicio de atención a emergencias y desastres</v>
      </c>
      <c r="AE326" s="159" t="str">
        <f>CONCATENATE(U326,V326,W326,X326,AA326)</f>
        <v>O23011745032024025504004</v>
      </c>
      <c r="AF326" s="159" t="str">
        <f>IFERROR(VLOOKUP(AD326,TD!$J$66:$K$89,2,0)," ")</f>
        <v>PM/0131/0104/45030040255</v>
      </c>
      <c r="AG326" s="118" t="s">
        <v>385</v>
      </c>
      <c r="AH326" s="158" t="s">
        <v>193</v>
      </c>
      <c r="AI326" s="161" t="str">
        <f>CONCATENATE(PAA[[#This Row],[Id Interno]],"-",PAA[[#This Row],[tipo de Contrato (TH talento humano - B/S bienes y/o servicios)]],"-",S326,"-",T326,"-",PAA[[#This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27" spans="2:35" ht="70" x14ac:dyDescent="0.35">
      <c r="B327" s="23">
        <v>20260291</v>
      </c>
      <c r="C327" s="99" t="s">
        <v>676</v>
      </c>
      <c r="D327" s="99" t="s">
        <v>105</v>
      </c>
      <c r="E327" s="99" t="s">
        <v>363</v>
      </c>
      <c r="F327" s="156" t="s">
        <v>144</v>
      </c>
      <c r="G327" s="156" t="s">
        <v>373</v>
      </c>
      <c r="H327" s="163">
        <v>10</v>
      </c>
      <c r="I327" s="163">
        <v>0</v>
      </c>
      <c r="J327" s="118">
        <v>67000000</v>
      </c>
      <c r="K327" s="126" t="s">
        <v>398</v>
      </c>
      <c r="L327" s="156" t="s">
        <v>158</v>
      </c>
      <c r="M327" s="162" t="s">
        <v>421</v>
      </c>
      <c r="N327" s="99" t="s">
        <v>198</v>
      </c>
      <c r="O327" s="151" t="s">
        <v>958</v>
      </c>
      <c r="P327" s="156" t="s">
        <v>348</v>
      </c>
      <c r="Q327" s="128">
        <v>80111600</v>
      </c>
      <c r="R327" s="162" t="s">
        <v>211</v>
      </c>
      <c r="S327" s="158" t="str">
        <f>MID(PAA[[#This Row],[Meta Proyecto de Inversión]],1,4)</f>
        <v>8173</v>
      </c>
      <c r="T327" s="158" t="str">
        <f>MID(PAA[[#This Row],[Meta Proyecto de Inversión]],6,1)</f>
        <v>2</v>
      </c>
      <c r="U327" s="159" t="str">
        <f>IFERROR(VLOOKUP(N327,TD!$B$50:$F$54,2,0)," ")</f>
        <v>O230117</v>
      </c>
      <c r="V327" s="159" t="str">
        <f>IFERROR(VLOOKUP(N327,TD!$B$50:$F$54,3,0)," ")</f>
        <v>4503</v>
      </c>
      <c r="W327" s="159">
        <f>IFERROR(VLOOKUP(N327,TD!$B$50:$F$54,4,0)," ")</f>
        <v>20240255</v>
      </c>
      <c r="X327" s="158" t="s">
        <v>164</v>
      </c>
      <c r="Y327" s="159" t="str">
        <f>IFERROR(VLOOKUP(X327,TD!$J$51:$K$64,2,0)," ")</f>
        <v>Servicio de atención a incidentes y emergencias.</v>
      </c>
      <c r="Z327" s="160" t="str">
        <f>CONCATENATE(X327,"-",Y327)</f>
        <v>04-Servicio de atención a incidentes y emergencias.</v>
      </c>
      <c r="AA327" s="158" t="s">
        <v>221</v>
      </c>
      <c r="AB327" s="159" t="str">
        <f>IFERROR(VLOOKUP(AA327,TD!$N$51:$O$66,2,0)," ")</f>
        <v>Servicio de atención a emergencias y desastres</v>
      </c>
      <c r="AC327" s="160" t="str">
        <f>CONCATENATE(AA327,"_",AB327)</f>
        <v>004_Servicio de atención a emergencias y desastres</v>
      </c>
      <c r="AD327" s="160" t="str">
        <f>CONCATENATE(Z327," ",AC327)</f>
        <v>04-Servicio de atención a incidentes y emergencias. 004_Servicio de atención a emergencias y desastres</v>
      </c>
      <c r="AE327" s="159" t="str">
        <f>CONCATENATE(U327,V327,W327,X327,AA327)</f>
        <v>O23011745032024025504004</v>
      </c>
      <c r="AF327" s="159" t="str">
        <f>IFERROR(VLOOKUP(AD327,TD!$J$66:$K$89,2,0)," ")</f>
        <v>PM/0131/0104/45030040255</v>
      </c>
      <c r="AG327" s="118" t="s">
        <v>385</v>
      </c>
      <c r="AH327" s="158" t="s">
        <v>193</v>
      </c>
      <c r="AI327" s="161" t="str">
        <f>CONCATENATE(PAA[[#This Row],[Id Interno]],"-",PAA[[#This Row],[tipo de Contrato (TH talento humano - B/S bienes y/o servicios)]],"-",S327,"-",T327,"-",PAA[[#This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28" spans="2:35" ht="84" x14ac:dyDescent="0.35">
      <c r="B328" s="23">
        <v>20260292</v>
      </c>
      <c r="C328" s="99" t="s">
        <v>881</v>
      </c>
      <c r="D328" s="99" t="s">
        <v>105</v>
      </c>
      <c r="E328" s="99" t="s">
        <v>363</v>
      </c>
      <c r="F328" s="156" t="s">
        <v>144</v>
      </c>
      <c r="G328" s="156" t="s">
        <v>373</v>
      </c>
      <c r="H328" s="163">
        <v>8</v>
      </c>
      <c r="I328" s="163">
        <v>0</v>
      </c>
      <c r="J328" s="118">
        <v>65600000</v>
      </c>
      <c r="K328" s="126" t="s">
        <v>398</v>
      </c>
      <c r="L328" s="156" t="s">
        <v>158</v>
      </c>
      <c r="M328" s="162" t="s">
        <v>421</v>
      </c>
      <c r="N328" s="99" t="s">
        <v>198</v>
      </c>
      <c r="O328" s="151" t="s">
        <v>958</v>
      </c>
      <c r="P328" s="156" t="s">
        <v>348</v>
      </c>
      <c r="Q328" s="128">
        <v>80111600</v>
      </c>
      <c r="R328" s="162" t="s">
        <v>211</v>
      </c>
      <c r="S328" s="158" t="str">
        <f>MID(PAA[[#This Row],[Meta Proyecto de Inversión]],1,4)</f>
        <v>8173</v>
      </c>
      <c r="T328" s="158" t="str">
        <f>MID(PAA[[#This Row],[Meta Proyecto de Inversión]],6,1)</f>
        <v>2</v>
      </c>
      <c r="U328" s="159" t="str">
        <f>IFERROR(VLOOKUP(N328,TD!$B$50:$F$54,2,0)," ")</f>
        <v>O230117</v>
      </c>
      <c r="V328" s="159" t="str">
        <f>IFERROR(VLOOKUP(N328,TD!$B$50:$F$54,3,0)," ")</f>
        <v>4503</v>
      </c>
      <c r="W328" s="159">
        <f>IFERROR(VLOOKUP(N328,TD!$B$50:$F$54,4,0)," ")</f>
        <v>20240255</v>
      </c>
      <c r="X328" s="158" t="s">
        <v>164</v>
      </c>
      <c r="Y328" s="159" t="str">
        <f>IFERROR(VLOOKUP(X328,TD!$J$51:$K$64,2,0)," ")</f>
        <v>Servicio de atención a incidentes y emergencias.</v>
      </c>
      <c r="Z328" s="160" t="str">
        <f>CONCATENATE(X328,"-",Y328)</f>
        <v>04-Servicio de atención a incidentes y emergencias.</v>
      </c>
      <c r="AA328" s="158" t="s">
        <v>221</v>
      </c>
      <c r="AB328" s="159" t="str">
        <f>IFERROR(VLOOKUP(AA328,TD!$N$51:$O$66,2,0)," ")</f>
        <v>Servicio de atención a emergencias y desastres</v>
      </c>
      <c r="AC328" s="160" t="str">
        <f>CONCATENATE(AA328,"_",AB328)</f>
        <v>004_Servicio de atención a emergencias y desastres</v>
      </c>
      <c r="AD328" s="160" t="str">
        <f>CONCATENATE(Z328," ",AC328)</f>
        <v>04-Servicio de atención a incidentes y emergencias. 004_Servicio de atención a emergencias y desastres</v>
      </c>
      <c r="AE328" s="159" t="str">
        <f>CONCATENATE(U328,V328,W328,X328,AA328)</f>
        <v>O23011745032024025504004</v>
      </c>
      <c r="AF328" s="159" t="str">
        <f>IFERROR(VLOOKUP(AD328,TD!$J$66:$K$89,2,0)," ")</f>
        <v>PM/0131/0104/45030040255</v>
      </c>
      <c r="AG328" s="118" t="s">
        <v>385</v>
      </c>
      <c r="AH328" s="158" t="s">
        <v>193</v>
      </c>
      <c r="AI328" s="161" t="str">
        <f>CONCATENATE(PAA[[#This Row],[Id Interno]],"-",PAA[[#This Row],[tipo de Contrato (TH talento humano - B/S bienes y/o servicios)]],"-",S328,"-",T328,"-",PAA[[#This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29" spans="2:35" ht="70" x14ac:dyDescent="0.35">
      <c r="B329" s="23">
        <v>20260293</v>
      </c>
      <c r="C329" s="99" t="s">
        <v>882</v>
      </c>
      <c r="D329" s="99" t="s">
        <v>105</v>
      </c>
      <c r="E329" s="99" t="s">
        <v>363</v>
      </c>
      <c r="F329" s="156" t="s">
        <v>144</v>
      </c>
      <c r="G329" s="156" t="s">
        <v>373</v>
      </c>
      <c r="H329" s="163">
        <v>10</v>
      </c>
      <c r="I329" s="163">
        <v>0</v>
      </c>
      <c r="J329" s="118">
        <v>72000000</v>
      </c>
      <c r="K329" s="126" t="s">
        <v>398</v>
      </c>
      <c r="L329" s="156" t="s">
        <v>158</v>
      </c>
      <c r="M329" s="162" t="s">
        <v>421</v>
      </c>
      <c r="N329" s="99" t="s">
        <v>198</v>
      </c>
      <c r="O329" s="151" t="s">
        <v>958</v>
      </c>
      <c r="P329" s="156" t="s">
        <v>348</v>
      </c>
      <c r="Q329" s="128">
        <v>80111600</v>
      </c>
      <c r="R329" s="162" t="s">
        <v>211</v>
      </c>
      <c r="S329" s="158" t="str">
        <f>MID(PAA[[#This Row],[Meta Proyecto de Inversión]],1,4)</f>
        <v>8173</v>
      </c>
      <c r="T329" s="158" t="str">
        <f>MID(PAA[[#This Row],[Meta Proyecto de Inversión]],6,1)</f>
        <v>2</v>
      </c>
      <c r="U329" s="159" t="str">
        <f>IFERROR(VLOOKUP(N329,TD!$B$50:$F$54,2,0)," ")</f>
        <v>O230117</v>
      </c>
      <c r="V329" s="159" t="str">
        <f>IFERROR(VLOOKUP(N329,TD!$B$50:$F$54,3,0)," ")</f>
        <v>4503</v>
      </c>
      <c r="W329" s="159">
        <f>IFERROR(VLOOKUP(N329,TD!$B$50:$F$54,4,0)," ")</f>
        <v>20240255</v>
      </c>
      <c r="X329" s="158" t="s">
        <v>164</v>
      </c>
      <c r="Y329" s="159" t="str">
        <f>IFERROR(VLOOKUP(X329,TD!$J$51:$K$64,2,0)," ")</f>
        <v>Servicio de atención a incidentes y emergencias.</v>
      </c>
      <c r="Z329" s="160" t="str">
        <f>CONCATENATE(X329,"-",Y329)</f>
        <v>04-Servicio de atención a incidentes y emergencias.</v>
      </c>
      <c r="AA329" s="158" t="s">
        <v>221</v>
      </c>
      <c r="AB329" s="159" t="str">
        <f>IFERROR(VLOOKUP(AA329,TD!$N$51:$O$66,2,0)," ")</f>
        <v>Servicio de atención a emergencias y desastres</v>
      </c>
      <c r="AC329" s="160" t="str">
        <f>CONCATENATE(AA329,"_",AB329)</f>
        <v>004_Servicio de atención a emergencias y desastres</v>
      </c>
      <c r="AD329" s="160" t="str">
        <f>CONCATENATE(Z329," ",AC329)</f>
        <v>04-Servicio de atención a incidentes y emergencias. 004_Servicio de atención a emergencias y desastres</v>
      </c>
      <c r="AE329" s="159" t="str">
        <f>CONCATENATE(U329,V329,W329,X329,AA329)</f>
        <v>O23011745032024025504004</v>
      </c>
      <c r="AF329" s="159" t="str">
        <f>IFERROR(VLOOKUP(AD329,TD!$J$66:$K$89,2,0)," ")</f>
        <v>PM/0131/0104/45030040255</v>
      </c>
      <c r="AG329" s="118" t="s">
        <v>385</v>
      </c>
      <c r="AH329" s="158" t="s">
        <v>193</v>
      </c>
      <c r="AI329" s="161" t="str">
        <f>CONCATENATE(PAA[[#This Row],[Id Interno]],"-",PAA[[#This Row],[tipo de Contrato (TH talento humano - B/S bienes y/o servicios)]],"-",S329,"-",T329,"-",PAA[[#This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30" spans="2:35" ht="56" x14ac:dyDescent="0.35">
      <c r="B330" s="23">
        <v>20260294</v>
      </c>
      <c r="C330" s="99" t="s">
        <v>883</v>
      </c>
      <c r="D330" s="99" t="s">
        <v>105</v>
      </c>
      <c r="E330" s="99" t="s">
        <v>363</v>
      </c>
      <c r="F330" s="156" t="s">
        <v>144</v>
      </c>
      <c r="G330" s="156" t="s">
        <v>373</v>
      </c>
      <c r="H330" s="163">
        <v>10</v>
      </c>
      <c r="I330" s="163">
        <v>0</v>
      </c>
      <c r="J330" s="118">
        <v>97000000</v>
      </c>
      <c r="K330" s="126" t="s">
        <v>398</v>
      </c>
      <c r="L330" s="156" t="s">
        <v>158</v>
      </c>
      <c r="M330" s="162" t="s">
        <v>421</v>
      </c>
      <c r="N330" s="99" t="s">
        <v>198</v>
      </c>
      <c r="O330" s="151" t="s">
        <v>958</v>
      </c>
      <c r="P330" s="156" t="s">
        <v>348</v>
      </c>
      <c r="Q330" s="128">
        <v>80111600</v>
      </c>
      <c r="R330" s="162" t="s">
        <v>211</v>
      </c>
      <c r="S330" s="158" t="str">
        <f>MID(PAA[[#This Row],[Meta Proyecto de Inversión]],1,4)</f>
        <v>8173</v>
      </c>
      <c r="T330" s="158" t="str">
        <f>MID(PAA[[#This Row],[Meta Proyecto de Inversión]],6,1)</f>
        <v>2</v>
      </c>
      <c r="U330" s="159" t="str">
        <f>IFERROR(VLOOKUP(N330,TD!$B$50:$F$54,2,0)," ")</f>
        <v>O230117</v>
      </c>
      <c r="V330" s="159" t="str">
        <f>IFERROR(VLOOKUP(N330,TD!$B$50:$F$54,3,0)," ")</f>
        <v>4503</v>
      </c>
      <c r="W330" s="159">
        <f>IFERROR(VLOOKUP(N330,TD!$B$50:$F$54,4,0)," ")</f>
        <v>20240255</v>
      </c>
      <c r="X330" s="158" t="s">
        <v>164</v>
      </c>
      <c r="Y330" s="159" t="str">
        <f>IFERROR(VLOOKUP(X330,TD!$J$51:$K$64,2,0)," ")</f>
        <v>Servicio de atención a incidentes y emergencias.</v>
      </c>
      <c r="Z330" s="160" t="str">
        <f>CONCATENATE(X330,"-",Y330)</f>
        <v>04-Servicio de atención a incidentes y emergencias.</v>
      </c>
      <c r="AA330" s="158" t="s">
        <v>221</v>
      </c>
      <c r="AB330" s="159" t="str">
        <f>IFERROR(VLOOKUP(AA330,TD!$N$51:$O$66,2,0)," ")</f>
        <v>Servicio de atención a emergencias y desastres</v>
      </c>
      <c r="AC330" s="160" t="str">
        <f>CONCATENATE(AA330,"_",AB330)</f>
        <v>004_Servicio de atención a emergencias y desastres</v>
      </c>
      <c r="AD330" s="160" t="str">
        <f>CONCATENATE(Z330," ",AC330)</f>
        <v>04-Servicio de atención a incidentes y emergencias. 004_Servicio de atención a emergencias y desastres</v>
      </c>
      <c r="AE330" s="159" t="str">
        <f>CONCATENATE(U330,V330,W330,X330,AA330)</f>
        <v>O23011745032024025504004</v>
      </c>
      <c r="AF330" s="159" t="str">
        <f>IFERROR(VLOOKUP(AD330,TD!$J$66:$K$89,2,0)," ")</f>
        <v>PM/0131/0104/45030040255</v>
      </c>
      <c r="AG330" s="118" t="s">
        <v>385</v>
      </c>
      <c r="AH330" s="158" t="s">
        <v>193</v>
      </c>
      <c r="AI330" s="161" t="str">
        <f>CONCATENATE(PAA[[#This Row],[Id Interno]],"-",PAA[[#This Row],[tipo de Contrato (TH talento humano - B/S bienes y/o servicios)]],"-",S330,"-",T330,"-",PAA[[#This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31" spans="2:35" ht="56" x14ac:dyDescent="0.35">
      <c r="B331" s="23">
        <v>20260295</v>
      </c>
      <c r="C331" s="99" t="s">
        <v>882</v>
      </c>
      <c r="D331" s="99" t="s">
        <v>105</v>
      </c>
      <c r="E331" s="99" t="s">
        <v>363</v>
      </c>
      <c r="F331" s="156" t="s">
        <v>144</v>
      </c>
      <c r="G331" s="156" t="s">
        <v>373</v>
      </c>
      <c r="H331" s="163">
        <v>10</v>
      </c>
      <c r="I331" s="163">
        <v>0</v>
      </c>
      <c r="J331" s="118">
        <v>72000000</v>
      </c>
      <c r="K331" s="126" t="s">
        <v>398</v>
      </c>
      <c r="L331" s="156" t="s">
        <v>158</v>
      </c>
      <c r="M331" s="162" t="s">
        <v>421</v>
      </c>
      <c r="N331" s="99" t="s">
        <v>198</v>
      </c>
      <c r="O331" s="151" t="s">
        <v>958</v>
      </c>
      <c r="P331" s="156" t="s">
        <v>348</v>
      </c>
      <c r="Q331" s="128">
        <v>80111600</v>
      </c>
      <c r="R331" s="162" t="s">
        <v>211</v>
      </c>
      <c r="S331" s="158" t="str">
        <f>MID(PAA[[#This Row],[Meta Proyecto de Inversión]],1,4)</f>
        <v>8173</v>
      </c>
      <c r="T331" s="158" t="str">
        <f>MID(PAA[[#This Row],[Meta Proyecto de Inversión]],6,1)</f>
        <v>2</v>
      </c>
      <c r="U331" s="159" t="str">
        <f>IFERROR(VLOOKUP(N331,TD!$B$50:$F$54,2,0)," ")</f>
        <v>O230117</v>
      </c>
      <c r="V331" s="159" t="str">
        <f>IFERROR(VLOOKUP(N331,TD!$B$50:$F$54,3,0)," ")</f>
        <v>4503</v>
      </c>
      <c r="W331" s="159">
        <f>IFERROR(VLOOKUP(N331,TD!$B$50:$F$54,4,0)," ")</f>
        <v>20240255</v>
      </c>
      <c r="X331" s="158" t="s">
        <v>164</v>
      </c>
      <c r="Y331" s="159" t="str">
        <f>IFERROR(VLOOKUP(X331,TD!$J$51:$K$64,2,0)," ")</f>
        <v>Servicio de atención a incidentes y emergencias.</v>
      </c>
      <c r="Z331" s="160" t="str">
        <f>CONCATENATE(X331,"-",Y331)</f>
        <v>04-Servicio de atención a incidentes y emergencias.</v>
      </c>
      <c r="AA331" s="158" t="s">
        <v>221</v>
      </c>
      <c r="AB331" s="159" t="str">
        <f>IFERROR(VLOOKUP(AA331,TD!$N$51:$O$66,2,0)," ")</f>
        <v>Servicio de atención a emergencias y desastres</v>
      </c>
      <c r="AC331" s="160" t="str">
        <f>CONCATENATE(AA331,"_",AB331)</f>
        <v>004_Servicio de atención a emergencias y desastres</v>
      </c>
      <c r="AD331" s="160" t="str">
        <f>CONCATENATE(Z331," ",AC331)</f>
        <v>04-Servicio de atención a incidentes y emergencias. 004_Servicio de atención a emergencias y desastres</v>
      </c>
      <c r="AE331" s="159" t="str">
        <f>CONCATENATE(U331,V331,W331,X331,AA331)</f>
        <v>O23011745032024025504004</v>
      </c>
      <c r="AF331" s="159" t="str">
        <f>IFERROR(VLOOKUP(AD331,TD!$J$66:$K$89,2,0)," ")</f>
        <v>PM/0131/0104/45030040255</v>
      </c>
      <c r="AG331" s="118" t="s">
        <v>385</v>
      </c>
      <c r="AH331" s="158" t="s">
        <v>193</v>
      </c>
      <c r="AI331" s="161" t="str">
        <f>CONCATENATE(PAA[[#This Row],[Id Interno]],"-",PAA[[#This Row],[tipo de Contrato (TH talento humano - B/S bienes y/o servicios)]],"-",S331,"-",T331,"-",PAA[[#This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32" spans="2:35" ht="70" x14ac:dyDescent="0.35">
      <c r="B332" s="23">
        <v>20260296</v>
      </c>
      <c r="C332" s="99" t="s">
        <v>499</v>
      </c>
      <c r="D332" s="99" t="s">
        <v>105</v>
      </c>
      <c r="E332" s="99" t="s">
        <v>363</v>
      </c>
      <c r="F332" s="156" t="s">
        <v>144</v>
      </c>
      <c r="G332" s="156" t="s">
        <v>373</v>
      </c>
      <c r="H332" s="163">
        <v>5</v>
      </c>
      <c r="I332" s="163">
        <v>0</v>
      </c>
      <c r="J332" s="118">
        <v>32500000</v>
      </c>
      <c r="K332" s="126" t="s">
        <v>398</v>
      </c>
      <c r="L332" s="156" t="s">
        <v>158</v>
      </c>
      <c r="M332" s="162" t="s">
        <v>421</v>
      </c>
      <c r="N332" s="99" t="s">
        <v>198</v>
      </c>
      <c r="O332" s="151" t="s">
        <v>958</v>
      </c>
      <c r="P332" s="156" t="s">
        <v>348</v>
      </c>
      <c r="Q332" s="128">
        <v>80111600</v>
      </c>
      <c r="R332" s="162" t="s">
        <v>211</v>
      </c>
      <c r="S332" s="158" t="str">
        <f>MID(PAA[[#This Row],[Meta Proyecto de Inversión]],1,4)</f>
        <v>8173</v>
      </c>
      <c r="T332" s="158" t="str">
        <f>MID(PAA[[#This Row],[Meta Proyecto de Inversión]],6,1)</f>
        <v>2</v>
      </c>
      <c r="U332" s="159" t="str">
        <f>IFERROR(VLOOKUP(N332,TD!$B$50:$F$54,2,0)," ")</f>
        <v>O230117</v>
      </c>
      <c r="V332" s="159" t="str">
        <f>IFERROR(VLOOKUP(N332,TD!$B$50:$F$54,3,0)," ")</f>
        <v>4503</v>
      </c>
      <c r="W332" s="159">
        <f>IFERROR(VLOOKUP(N332,TD!$B$50:$F$54,4,0)," ")</f>
        <v>20240255</v>
      </c>
      <c r="X332" s="158" t="s">
        <v>164</v>
      </c>
      <c r="Y332" s="159" t="str">
        <f>IFERROR(VLOOKUP(X332,TD!$J$51:$K$64,2,0)," ")</f>
        <v>Servicio de atención a incidentes y emergencias.</v>
      </c>
      <c r="Z332" s="160" t="str">
        <f>CONCATENATE(X332,"-",Y332)</f>
        <v>04-Servicio de atención a incidentes y emergencias.</v>
      </c>
      <c r="AA332" s="158" t="s">
        <v>221</v>
      </c>
      <c r="AB332" s="159" t="str">
        <f>IFERROR(VLOOKUP(AA332,TD!$N$51:$O$66,2,0)," ")</f>
        <v>Servicio de atención a emergencias y desastres</v>
      </c>
      <c r="AC332" s="160" t="str">
        <f>CONCATENATE(AA332,"_",AB332)</f>
        <v>004_Servicio de atención a emergencias y desastres</v>
      </c>
      <c r="AD332" s="160" t="str">
        <f>CONCATENATE(Z332," ",AC332)</f>
        <v>04-Servicio de atención a incidentes y emergencias. 004_Servicio de atención a emergencias y desastres</v>
      </c>
      <c r="AE332" s="159" t="str">
        <f>CONCATENATE(U332,V332,W332,X332,AA332)</f>
        <v>O23011745032024025504004</v>
      </c>
      <c r="AF332" s="159" t="str">
        <f>IFERROR(VLOOKUP(AD332,TD!$J$66:$K$89,2,0)," ")</f>
        <v>PM/0131/0104/45030040255</v>
      </c>
      <c r="AG332" s="118" t="s">
        <v>385</v>
      </c>
      <c r="AH332" s="158" t="s">
        <v>194</v>
      </c>
      <c r="AI332" s="161" t="str">
        <f>CONCATENATE(PAA[[#This Row],[Id Interno]],"-",PAA[[#This Row],[tipo de Contrato (TH talento humano - B/S bienes y/o servicios)]],"-",S332,"-",T332,"-",PAA[[#This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33" spans="2:35" ht="70" x14ac:dyDescent="0.35">
      <c r="B333" s="23">
        <v>20260297</v>
      </c>
      <c r="C333" s="99" t="s">
        <v>956</v>
      </c>
      <c r="D333" s="99" t="s">
        <v>105</v>
      </c>
      <c r="E333" s="99" t="s">
        <v>363</v>
      </c>
      <c r="F333" s="156" t="s">
        <v>144</v>
      </c>
      <c r="G333" s="156" t="s">
        <v>373</v>
      </c>
      <c r="H333" s="163">
        <v>4</v>
      </c>
      <c r="I333" s="163">
        <v>15</v>
      </c>
      <c r="J333" s="118">
        <v>42750000</v>
      </c>
      <c r="K333" s="126" t="s">
        <v>398</v>
      </c>
      <c r="L333" s="156" t="s">
        <v>158</v>
      </c>
      <c r="M333" s="162" t="s">
        <v>421</v>
      </c>
      <c r="N333" s="99" t="s">
        <v>198</v>
      </c>
      <c r="O333" s="151" t="s">
        <v>958</v>
      </c>
      <c r="P333" s="156" t="s">
        <v>348</v>
      </c>
      <c r="Q333" s="128">
        <v>80111600</v>
      </c>
      <c r="R333" s="162" t="s">
        <v>211</v>
      </c>
      <c r="S333" s="158" t="str">
        <f>MID(PAA[[#This Row],[Meta Proyecto de Inversión]],1,4)</f>
        <v>8173</v>
      </c>
      <c r="T333" s="158" t="str">
        <f>MID(PAA[[#This Row],[Meta Proyecto de Inversión]],6,1)</f>
        <v>2</v>
      </c>
      <c r="U333" s="159" t="str">
        <f>IFERROR(VLOOKUP(N333,TD!$B$50:$F$54,2,0)," ")</f>
        <v>O230117</v>
      </c>
      <c r="V333" s="159" t="str">
        <f>IFERROR(VLOOKUP(N333,TD!$B$50:$F$54,3,0)," ")</f>
        <v>4503</v>
      </c>
      <c r="W333" s="159">
        <f>IFERROR(VLOOKUP(N333,TD!$B$50:$F$54,4,0)," ")</f>
        <v>20240255</v>
      </c>
      <c r="X333" s="158" t="s">
        <v>164</v>
      </c>
      <c r="Y333" s="159" t="str">
        <f>IFERROR(VLOOKUP(X333,TD!$J$51:$K$64,2,0)," ")</f>
        <v>Servicio de atención a incidentes y emergencias.</v>
      </c>
      <c r="Z333" s="160" t="str">
        <f>CONCATENATE(X333,"-",Y333)</f>
        <v>04-Servicio de atención a incidentes y emergencias.</v>
      </c>
      <c r="AA333" s="158" t="s">
        <v>221</v>
      </c>
      <c r="AB333" s="159" t="str">
        <f>IFERROR(VLOOKUP(AA333,TD!$N$51:$O$66,2,0)," ")</f>
        <v>Servicio de atención a emergencias y desastres</v>
      </c>
      <c r="AC333" s="160" t="str">
        <f>CONCATENATE(AA333,"_",AB333)</f>
        <v>004_Servicio de atención a emergencias y desastres</v>
      </c>
      <c r="AD333" s="160" t="str">
        <f>CONCATENATE(Z333," ",AC333)</f>
        <v>04-Servicio de atención a incidentes y emergencias. 004_Servicio de atención a emergencias y desastres</v>
      </c>
      <c r="AE333" s="159" t="str">
        <f>CONCATENATE(U333,V333,W333,X333,AA333)</f>
        <v>O23011745032024025504004</v>
      </c>
      <c r="AF333" s="159" t="str">
        <f>IFERROR(VLOOKUP(AD333,TD!$J$66:$K$89,2,0)," ")</f>
        <v>PM/0131/0104/45030040255</v>
      </c>
      <c r="AG333" s="118" t="s">
        <v>385</v>
      </c>
      <c r="AH333" s="158" t="s">
        <v>194</v>
      </c>
      <c r="AI333" s="161" t="str">
        <f>CONCATENATE(PAA[[#This Row],[Id Interno]],"-",PAA[[#This Row],[tipo de Contrato (TH talento humano - B/S bienes y/o servicios)]],"-",S333,"-",T333,"-",PAA[[#This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34" spans="2:35" ht="70" x14ac:dyDescent="0.35">
      <c r="B334" s="23">
        <v>20260298</v>
      </c>
      <c r="C334" s="99" t="s">
        <v>500</v>
      </c>
      <c r="D334" s="99" t="s">
        <v>105</v>
      </c>
      <c r="E334" s="99" t="s">
        <v>363</v>
      </c>
      <c r="F334" s="156" t="s">
        <v>144</v>
      </c>
      <c r="G334" s="156" t="s">
        <v>373</v>
      </c>
      <c r="H334" s="163">
        <v>4</v>
      </c>
      <c r="I334" s="163">
        <v>15</v>
      </c>
      <c r="J334" s="118">
        <v>42750000</v>
      </c>
      <c r="K334" s="126" t="s">
        <v>398</v>
      </c>
      <c r="L334" s="156" t="s">
        <v>158</v>
      </c>
      <c r="M334" s="162" t="s">
        <v>421</v>
      </c>
      <c r="N334" s="99" t="s">
        <v>198</v>
      </c>
      <c r="O334" s="151" t="s">
        <v>958</v>
      </c>
      <c r="P334" s="156" t="s">
        <v>348</v>
      </c>
      <c r="Q334" s="128">
        <v>80111600</v>
      </c>
      <c r="R334" s="162" t="s">
        <v>211</v>
      </c>
      <c r="S334" s="158" t="str">
        <f>MID(PAA[[#This Row],[Meta Proyecto de Inversión]],1,4)</f>
        <v>8173</v>
      </c>
      <c r="T334" s="158" t="str">
        <f>MID(PAA[[#This Row],[Meta Proyecto de Inversión]],6,1)</f>
        <v>2</v>
      </c>
      <c r="U334" s="159" t="str">
        <f>IFERROR(VLOOKUP(N334,TD!$B$50:$F$54,2,0)," ")</f>
        <v>O230117</v>
      </c>
      <c r="V334" s="159" t="str">
        <f>IFERROR(VLOOKUP(N334,TD!$B$50:$F$54,3,0)," ")</f>
        <v>4503</v>
      </c>
      <c r="W334" s="159">
        <f>IFERROR(VLOOKUP(N334,TD!$B$50:$F$54,4,0)," ")</f>
        <v>20240255</v>
      </c>
      <c r="X334" s="158" t="s">
        <v>164</v>
      </c>
      <c r="Y334" s="159" t="str">
        <f>IFERROR(VLOOKUP(X334,TD!$J$51:$K$64,2,0)," ")</f>
        <v>Servicio de atención a incidentes y emergencias.</v>
      </c>
      <c r="Z334" s="160" t="str">
        <f>CONCATENATE(X334,"-",Y334)</f>
        <v>04-Servicio de atención a incidentes y emergencias.</v>
      </c>
      <c r="AA334" s="158" t="s">
        <v>221</v>
      </c>
      <c r="AB334" s="159" t="str">
        <f>IFERROR(VLOOKUP(AA334,TD!$N$51:$O$66,2,0)," ")</f>
        <v>Servicio de atención a emergencias y desastres</v>
      </c>
      <c r="AC334" s="160" t="str">
        <f>CONCATENATE(AA334,"_",AB334)</f>
        <v>004_Servicio de atención a emergencias y desastres</v>
      </c>
      <c r="AD334" s="160" t="str">
        <f>CONCATENATE(Z334," ",AC334)</f>
        <v>04-Servicio de atención a incidentes y emergencias. 004_Servicio de atención a emergencias y desastres</v>
      </c>
      <c r="AE334" s="159" t="str">
        <f>CONCATENATE(U334,V334,W334,X334,AA334)</f>
        <v>O23011745032024025504004</v>
      </c>
      <c r="AF334" s="159" t="str">
        <f>IFERROR(VLOOKUP(AD334,TD!$J$66:$K$89,2,0)," ")</f>
        <v>PM/0131/0104/45030040255</v>
      </c>
      <c r="AG334" s="118" t="s">
        <v>385</v>
      </c>
      <c r="AH334" s="158" t="s">
        <v>194</v>
      </c>
      <c r="AI334" s="161" t="str">
        <f>CONCATENATE(PAA[[#This Row],[Id Interno]],"-",PAA[[#This Row],[tipo de Contrato (TH talento humano - B/S bienes y/o servicios)]],"-",S334,"-",T334,"-",PAA[[#This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35" spans="2:35" ht="98" x14ac:dyDescent="0.35">
      <c r="B335" s="23">
        <v>20260299</v>
      </c>
      <c r="C335" s="99" t="s">
        <v>501</v>
      </c>
      <c r="D335" s="99" t="s">
        <v>105</v>
      </c>
      <c r="E335" s="99" t="s">
        <v>363</v>
      </c>
      <c r="F335" s="156" t="s">
        <v>144</v>
      </c>
      <c r="G335" s="156" t="s">
        <v>373</v>
      </c>
      <c r="H335" s="163">
        <v>3</v>
      </c>
      <c r="I335" s="163">
        <v>0</v>
      </c>
      <c r="J335" s="118">
        <v>28500000</v>
      </c>
      <c r="K335" s="126" t="s">
        <v>398</v>
      </c>
      <c r="L335" s="156" t="s">
        <v>158</v>
      </c>
      <c r="M335" s="162" t="s">
        <v>421</v>
      </c>
      <c r="N335" s="99" t="s">
        <v>198</v>
      </c>
      <c r="O335" s="151" t="s">
        <v>958</v>
      </c>
      <c r="P335" s="156" t="s">
        <v>348</v>
      </c>
      <c r="Q335" s="128">
        <v>80111600</v>
      </c>
      <c r="R335" s="162" t="s">
        <v>211</v>
      </c>
      <c r="S335" s="158" t="str">
        <f>MID(PAA[[#This Row],[Meta Proyecto de Inversión]],1,4)</f>
        <v>8173</v>
      </c>
      <c r="T335" s="158" t="str">
        <f>MID(PAA[[#This Row],[Meta Proyecto de Inversión]],6,1)</f>
        <v>2</v>
      </c>
      <c r="U335" s="159" t="str">
        <f>IFERROR(VLOOKUP(N335,TD!$B$50:$F$54,2,0)," ")</f>
        <v>O230117</v>
      </c>
      <c r="V335" s="159" t="str">
        <f>IFERROR(VLOOKUP(N335,TD!$B$50:$F$54,3,0)," ")</f>
        <v>4503</v>
      </c>
      <c r="W335" s="159">
        <f>IFERROR(VLOOKUP(N335,TD!$B$50:$F$54,4,0)," ")</f>
        <v>20240255</v>
      </c>
      <c r="X335" s="158" t="s">
        <v>164</v>
      </c>
      <c r="Y335" s="159" t="str">
        <f>IFERROR(VLOOKUP(X335,TD!$J$51:$K$64,2,0)," ")</f>
        <v>Servicio de atención a incidentes y emergencias.</v>
      </c>
      <c r="Z335" s="160" t="str">
        <f>CONCATENATE(X335,"-",Y335)</f>
        <v>04-Servicio de atención a incidentes y emergencias.</v>
      </c>
      <c r="AA335" s="158" t="s">
        <v>221</v>
      </c>
      <c r="AB335" s="159" t="str">
        <f>IFERROR(VLOOKUP(AA335,TD!$N$51:$O$66,2,0)," ")</f>
        <v>Servicio de atención a emergencias y desastres</v>
      </c>
      <c r="AC335" s="160" t="str">
        <f>CONCATENATE(AA335,"_",AB335)</f>
        <v>004_Servicio de atención a emergencias y desastres</v>
      </c>
      <c r="AD335" s="160" t="str">
        <f>CONCATENATE(Z335," ",AC335)</f>
        <v>04-Servicio de atención a incidentes y emergencias. 004_Servicio de atención a emergencias y desastres</v>
      </c>
      <c r="AE335" s="159" t="str">
        <f>CONCATENATE(U335,V335,W335,X335,AA335)</f>
        <v>O23011745032024025504004</v>
      </c>
      <c r="AF335" s="159" t="str">
        <f>IFERROR(VLOOKUP(AD335,TD!$J$66:$K$89,2,0)," ")</f>
        <v>PM/0131/0104/45030040255</v>
      </c>
      <c r="AG335" s="118" t="s">
        <v>385</v>
      </c>
      <c r="AH335" s="158" t="s">
        <v>194</v>
      </c>
      <c r="AI335" s="161" t="str">
        <f>CONCATENATE(PAA[[#This Row],[Id Interno]],"-",PAA[[#This Row],[tipo de Contrato (TH talento humano - B/S bienes y/o servicios)]],"-",S335,"-",T335,"-",PAA[[#This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36" spans="2:35" ht="56" x14ac:dyDescent="0.35">
      <c r="B336" s="23">
        <v>20260300</v>
      </c>
      <c r="C336" s="99" t="s">
        <v>884</v>
      </c>
      <c r="D336" s="99" t="s">
        <v>105</v>
      </c>
      <c r="E336" s="99" t="s">
        <v>363</v>
      </c>
      <c r="F336" s="156" t="s">
        <v>144</v>
      </c>
      <c r="G336" s="156" t="s">
        <v>373</v>
      </c>
      <c r="H336" s="163">
        <v>8</v>
      </c>
      <c r="I336" s="163">
        <v>0</v>
      </c>
      <c r="J336" s="118">
        <v>72000000</v>
      </c>
      <c r="K336" s="126" t="s">
        <v>398</v>
      </c>
      <c r="L336" s="156" t="s">
        <v>158</v>
      </c>
      <c r="M336" s="162" t="s">
        <v>421</v>
      </c>
      <c r="N336" s="99" t="s">
        <v>198</v>
      </c>
      <c r="O336" s="151" t="s">
        <v>958</v>
      </c>
      <c r="P336" s="156" t="s">
        <v>348</v>
      </c>
      <c r="Q336" s="128">
        <v>80111600</v>
      </c>
      <c r="R336" s="162" t="s">
        <v>211</v>
      </c>
      <c r="S336" s="158" t="str">
        <f>MID(PAA[[#This Row],[Meta Proyecto de Inversión]],1,4)</f>
        <v>8173</v>
      </c>
      <c r="T336" s="158" t="str">
        <f>MID(PAA[[#This Row],[Meta Proyecto de Inversión]],6,1)</f>
        <v>2</v>
      </c>
      <c r="U336" s="159" t="str">
        <f>IFERROR(VLOOKUP(N336,TD!$B$50:$F$54,2,0)," ")</f>
        <v>O230117</v>
      </c>
      <c r="V336" s="159" t="str">
        <f>IFERROR(VLOOKUP(N336,TD!$B$50:$F$54,3,0)," ")</f>
        <v>4503</v>
      </c>
      <c r="W336" s="159">
        <f>IFERROR(VLOOKUP(N336,TD!$B$50:$F$54,4,0)," ")</f>
        <v>20240255</v>
      </c>
      <c r="X336" s="158" t="s">
        <v>164</v>
      </c>
      <c r="Y336" s="159" t="str">
        <f>IFERROR(VLOOKUP(X336,TD!$J$51:$K$64,2,0)," ")</f>
        <v>Servicio de atención a incidentes y emergencias.</v>
      </c>
      <c r="Z336" s="160" t="str">
        <f>CONCATENATE(X336,"-",Y336)</f>
        <v>04-Servicio de atención a incidentes y emergencias.</v>
      </c>
      <c r="AA336" s="158" t="s">
        <v>221</v>
      </c>
      <c r="AB336" s="159" t="str">
        <f>IFERROR(VLOOKUP(AA336,TD!$N$51:$O$66,2,0)," ")</f>
        <v>Servicio de atención a emergencias y desastres</v>
      </c>
      <c r="AC336" s="160" t="str">
        <f>CONCATENATE(AA336,"_",AB336)</f>
        <v>004_Servicio de atención a emergencias y desastres</v>
      </c>
      <c r="AD336" s="160" t="str">
        <f>CONCATENATE(Z336," ",AC336)</f>
        <v>04-Servicio de atención a incidentes y emergencias. 004_Servicio de atención a emergencias y desastres</v>
      </c>
      <c r="AE336" s="159" t="str">
        <f>CONCATENATE(U336,V336,W336,X336,AA336)</f>
        <v>O23011745032024025504004</v>
      </c>
      <c r="AF336" s="159" t="str">
        <f>IFERROR(VLOOKUP(AD336,TD!$J$66:$K$89,2,0)," ")</f>
        <v>PM/0131/0104/45030040255</v>
      </c>
      <c r="AG336" s="118" t="s">
        <v>385</v>
      </c>
      <c r="AH336" s="158" t="s">
        <v>193</v>
      </c>
      <c r="AI336" s="161" t="str">
        <f>CONCATENATE(PAA[[#This Row],[Id Interno]],"-",PAA[[#This Row],[tipo de Contrato (TH talento humano - B/S bienes y/o servicios)]],"-",S336,"-",T336,"-",PAA[[#This Row],[Objeto de la contratación]])</f>
        <v>20260300-TH-8173-2-Prestación de servicios profesionales para apoyar jurídicamente los proyectos, procesos y procedimientos, para e desarrollo de los programas de la subdirección operativa-S.O</v>
      </c>
    </row>
    <row r="337" spans="2:35" ht="70" x14ac:dyDescent="0.35">
      <c r="B337" s="23">
        <v>20260301</v>
      </c>
      <c r="C337" s="99" t="s">
        <v>885</v>
      </c>
      <c r="D337" s="99" t="s">
        <v>105</v>
      </c>
      <c r="E337" s="99" t="s">
        <v>363</v>
      </c>
      <c r="F337" s="156" t="s">
        <v>144</v>
      </c>
      <c r="G337" s="156" t="s">
        <v>373</v>
      </c>
      <c r="H337" s="163">
        <v>10</v>
      </c>
      <c r="I337" s="163">
        <v>0</v>
      </c>
      <c r="J337" s="118">
        <v>97000000</v>
      </c>
      <c r="K337" s="126" t="s">
        <v>398</v>
      </c>
      <c r="L337" s="156" t="s">
        <v>158</v>
      </c>
      <c r="M337" s="162" t="s">
        <v>421</v>
      </c>
      <c r="N337" s="99" t="s">
        <v>198</v>
      </c>
      <c r="O337" s="151" t="s">
        <v>958</v>
      </c>
      <c r="P337" s="156" t="s">
        <v>348</v>
      </c>
      <c r="Q337" s="128">
        <v>80111600</v>
      </c>
      <c r="R337" s="162" t="s">
        <v>211</v>
      </c>
      <c r="S337" s="158" t="str">
        <f>MID(PAA[[#This Row],[Meta Proyecto de Inversión]],1,4)</f>
        <v>8173</v>
      </c>
      <c r="T337" s="158" t="str">
        <f>MID(PAA[[#This Row],[Meta Proyecto de Inversión]],6,1)</f>
        <v>2</v>
      </c>
      <c r="U337" s="159" t="str">
        <f>IFERROR(VLOOKUP(N337,TD!$B$50:$F$54,2,0)," ")</f>
        <v>O230117</v>
      </c>
      <c r="V337" s="159" t="str">
        <f>IFERROR(VLOOKUP(N337,TD!$B$50:$F$54,3,0)," ")</f>
        <v>4503</v>
      </c>
      <c r="W337" s="159">
        <f>IFERROR(VLOOKUP(N337,TD!$B$50:$F$54,4,0)," ")</f>
        <v>20240255</v>
      </c>
      <c r="X337" s="158" t="s">
        <v>164</v>
      </c>
      <c r="Y337" s="159" t="str">
        <f>IFERROR(VLOOKUP(X337,TD!$J$51:$K$64,2,0)," ")</f>
        <v>Servicio de atención a incidentes y emergencias.</v>
      </c>
      <c r="Z337" s="160" t="str">
        <f>CONCATENATE(X337,"-",Y337)</f>
        <v>04-Servicio de atención a incidentes y emergencias.</v>
      </c>
      <c r="AA337" s="158" t="s">
        <v>221</v>
      </c>
      <c r="AB337" s="159" t="str">
        <f>IFERROR(VLOOKUP(AA337,TD!$N$51:$O$66,2,0)," ")</f>
        <v>Servicio de atención a emergencias y desastres</v>
      </c>
      <c r="AC337" s="160" t="str">
        <f>CONCATENATE(AA337,"_",AB337)</f>
        <v>004_Servicio de atención a emergencias y desastres</v>
      </c>
      <c r="AD337" s="160" t="str">
        <f>CONCATENATE(Z337," ",AC337)</f>
        <v>04-Servicio de atención a incidentes y emergencias. 004_Servicio de atención a emergencias y desastres</v>
      </c>
      <c r="AE337" s="159" t="str">
        <f>CONCATENATE(U337,V337,W337,X337,AA337)</f>
        <v>O23011745032024025504004</v>
      </c>
      <c r="AF337" s="159" t="str">
        <f>IFERROR(VLOOKUP(AD337,TD!$J$66:$K$89,2,0)," ")</f>
        <v>PM/0131/0104/45030040255</v>
      </c>
      <c r="AG337" s="118" t="s">
        <v>385</v>
      </c>
      <c r="AH337" s="158" t="s">
        <v>193</v>
      </c>
      <c r="AI337" s="161" t="str">
        <f>CONCATENATE(PAA[[#This Row],[Id Interno]],"-",PAA[[#This Row],[tipo de Contrato (TH talento humano - B/S bienes y/o servicios)]],"-",S337,"-",T337,"-",PAA[[#This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38" spans="2:35" ht="98" x14ac:dyDescent="0.35">
      <c r="B338" s="23">
        <v>20260302</v>
      </c>
      <c r="C338" s="99" t="s">
        <v>886</v>
      </c>
      <c r="D338" s="99" t="s">
        <v>105</v>
      </c>
      <c r="E338" s="99" t="s">
        <v>363</v>
      </c>
      <c r="F338" s="156" t="s">
        <v>144</v>
      </c>
      <c r="G338" s="156" t="s">
        <v>373</v>
      </c>
      <c r="H338" s="163">
        <v>8</v>
      </c>
      <c r="I338" s="163">
        <v>0</v>
      </c>
      <c r="J338" s="118">
        <v>37600000</v>
      </c>
      <c r="K338" s="126" t="s">
        <v>398</v>
      </c>
      <c r="L338" s="156" t="s">
        <v>158</v>
      </c>
      <c r="M338" s="162" t="s">
        <v>421</v>
      </c>
      <c r="N338" s="99" t="s">
        <v>198</v>
      </c>
      <c r="O338" s="151" t="s">
        <v>958</v>
      </c>
      <c r="P338" s="156" t="s">
        <v>348</v>
      </c>
      <c r="Q338" s="128">
        <v>80111600</v>
      </c>
      <c r="R338" s="162" t="s">
        <v>211</v>
      </c>
      <c r="S338" s="158" t="str">
        <f>MID(PAA[[#This Row],[Meta Proyecto de Inversión]],1,4)</f>
        <v>8173</v>
      </c>
      <c r="T338" s="158" t="str">
        <f>MID(PAA[[#This Row],[Meta Proyecto de Inversión]],6,1)</f>
        <v>2</v>
      </c>
      <c r="U338" s="159" t="str">
        <f>IFERROR(VLOOKUP(N338,TD!$B$50:$F$54,2,0)," ")</f>
        <v>O230117</v>
      </c>
      <c r="V338" s="159" t="str">
        <f>IFERROR(VLOOKUP(N338,TD!$B$50:$F$54,3,0)," ")</f>
        <v>4503</v>
      </c>
      <c r="W338" s="159">
        <f>IFERROR(VLOOKUP(N338,TD!$B$50:$F$54,4,0)," ")</f>
        <v>20240255</v>
      </c>
      <c r="X338" s="158" t="s">
        <v>164</v>
      </c>
      <c r="Y338" s="159" t="str">
        <f>IFERROR(VLOOKUP(X338,TD!$J$51:$K$64,2,0)," ")</f>
        <v>Servicio de atención a incidentes y emergencias.</v>
      </c>
      <c r="Z338" s="160" t="str">
        <f>CONCATENATE(X338,"-",Y338)</f>
        <v>04-Servicio de atención a incidentes y emergencias.</v>
      </c>
      <c r="AA338" s="158" t="s">
        <v>221</v>
      </c>
      <c r="AB338" s="159" t="str">
        <f>IFERROR(VLOOKUP(AA338,TD!$N$51:$O$66,2,0)," ")</f>
        <v>Servicio de atención a emergencias y desastres</v>
      </c>
      <c r="AC338" s="160" t="str">
        <f>CONCATENATE(AA338,"_",AB338)</f>
        <v>004_Servicio de atención a emergencias y desastres</v>
      </c>
      <c r="AD338" s="160" t="str">
        <f>CONCATENATE(Z338," ",AC338)</f>
        <v>04-Servicio de atención a incidentes y emergencias. 004_Servicio de atención a emergencias y desastres</v>
      </c>
      <c r="AE338" s="159" t="str">
        <f>CONCATENATE(U338,V338,W338,X338,AA338)</f>
        <v>O23011745032024025504004</v>
      </c>
      <c r="AF338" s="159" t="str">
        <f>IFERROR(VLOOKUP(AD338,TD!$J$66:$K$89,2,0)," ")</f>
        <v>PM/0131/0104/45030040255</v>
      </c>
      <c r="AG338" s="118" t="s">
        <v>385</v>
      </c>
      <c r="AH338" s="158" t="s">
        <v>193</v>
      </c>
      <c r="AI338" s="161" t="str">
        <f>CONCATENATE(PAA[[#This Row],[Id Interno]],"-",PAA[[#This Row],[tipo de Contrato (TH talento humano - B/S bienes y/o servicios)]],"-",S338,"-",T338,"-",PAA[[#This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39" spans="2:35" ht="98" x14ac:dyDescent="0.35">
      <c r="B339" s="23">
        <v>20260303</v>
      </c>
      <c r="C339" s="99" t="s">
        <v>887</v>
      </c>
      <c r="D339" s="99" t="s">
        <v>105</v>
      </c>
      <c r="E339" s="99" t="s">
        <v>363</v>
      </c>
      <c r="F339" s="156" t="s">
        <v>144</v>
      </c>
      <c r="G339" s="156" t="s">
        <v>373</v>
      </c>
      <c r="H339" s="163">
        <v>10</v>
      </c>
      <c r="I339" s="163">
        <v>0</v>
      </c>
      <c r="J339" s="118">
        <v>97000000</v>
      </c>
      <c r="K339" s="126" t="s">
        <v>398</v>
      </c>
      <c r="L339" s="156" t="s">
        <v>158</v>
      </c>
      <c r="M339" s="162" t="s">
        <v>421</v>
      </c>
      <c r="N339" s="99" t="s">
        <v>198</v>
      </c>
      <c r="O339" s="151" t="s">
        <v>958</v>
      </c>
      <c r="P339" s="156" t="s">
        <v>348</v>
      </c>
      <c r="Q339" s="128">
        <v>80111600</v>
      </c>
      <c r="R339" s="162" t="s">
        <v>211</v>
      </c>
      <c r="S339" s="158" t="str">
        <f>MID(PAA[[#This Row],[Meta Proyecto de Inversión]],1,4)</f>
        <v>8173</v>
      </c>
      <c r="T339" s="158" t="str">
        <f>MID(PAA[[#This Row],[Meta Proyecto de Inversión]],6,1)</f>
        <v>2</v>
      </c>
      <c r="U339" s="159" t="str">
        <f>IFERROR(VLOOKUP(N339,TD!$B$50:$F$54,2,0)," ")</f>
        <v>O230117</v>
      </c>
      <c r="V339" s="159" t="str">
        <f>IFERROR(VLOOKUP(N339,TD!$B$50:$F$54,3,0)," ")</f>
        <v>4503</v>
      </c>
      <c r="W339" s="159">
        <f>IFERROR(VLOOKUP(N339,TD!$B$50:$F$54,4,0)," ")</f>
        <v>20240255</v>
      </c>
      <c r="X339" s="158" t="s">
        <v>164</v>
      </c>
      <c r="Y339" s="159" t="str">
        <f>IFERROR(VLOOKUP(X339,TD!$J$51:$K$64,2,0)," ")</f>
        <v>Servicio de atención a incidentes y emergencias.</v>
      </c>
      <c r="Z339" s="160" t="str">
        <f>CONCATENATE(X339,"-",Y339)</f>
        <v>04-Servicio de atención a incidentes y emergencias.</v>
      </c>
      <c r="AA339" s="158" t="s">
        <v>221</v>
      </c>
      <c r="AB339" s="159" t="str">
        <f>IFERROR(VLOOKUP(AA339,TD!$N$51:$O$66,2,0)," ")</f>
        <v>Servicio de atención a emergencias y desastres</v>
      </c>
      <c r="AC339" s="160" t="str">
        <f>CONCATENATE(AA339,"_",AB339)</f>
        <v>004_Servicio de atención a emergencias y desastres</v>
      </c>
      <c r="AD339" s="160" t="str">
        <f>CONCATENATE(Z339," ",AC339)</f>
        <v>04-Servicio de atención a incidentes y emergencias. 004_Servicio de atención a emergencias y desastres</v>
      </c>
      <c r="AE339" s="159" t="str">
        <f>CONCATENATE(U339,V339,W339,X339,AA339)</f>
        <v>O23011745032024025504004</v>
      </c>
      <c r="AF339" s="159" t="str">
        <f>IFERROR(VLOOKUP(AD339,TD!$J$66:$K$89,2,0)," ")</f>
        <v>PM/0131/0104/45030040255</v>
      </c>
      <c r="AG339" s="118" t="s">
        <v>385</v>
      </c>
      <c r="AH339" s="158" t="s">
        <v>193</v>
      </c>
      <c r="AI339" s="161" t="str">
        <f>CONCATENATE(PAA[[#This Row],[Id Interno]],"-",PAA[[#This Row],[tipo de Contrato (TH talento humano - B/S bienes y/o servicios)]],"-",S339,"-",T339,"-",PAA[[#This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40" spans="2:35" ht="56" x14ac:dyDescent="0.35">
      <c r="B340" s="23">
        <v>20260304</v>
      </c>
      <c r="C340" s="99" t="s">
        <v>888</v>
      </c>
      <c r="D340" s="99" t="s">
        <v>105</v>
      </c>
      <c r="E340" s="99" t="s">
        <v>363</v>
      </c>
      <c r="F340" s="156" t="s">
        <v>144</v>
      </c>
      <c r="G340" s="156" t="s">
        <v>373</v>
      </c>
      <c r="H340" s="163">
        <v>8</v>
      </c>
      <c r="I340" s="163">
        <v>0</v>
      </c>
      <c r="J340" s="118">
        <v>44800000</v>
      </c>
      <c r="K340" s="126" t="s">
        <v>398</v>
      </c>
      <c r="L340" s="156" t="s">
        <v>158</v>
      </c>
      <c r="M340" s="162" t="s">
        <v>421</v>
      </c>
      <c r="N340" s="99" t="s">
        <v>198</v>
      </c>
      <c r="O340" s="151" t="s">
        <v>958</v>
      </c>
      <c r="P340" s="156" t="s">
        <v>348</v>
      </c>
      <c r="Q340" s="128">
        <v>80111600</v>
      </c>
      <c r="R340" s="162" t="s">
        <v>211</v>
      </c>
      <c r="S340" s="158" t="str">
        <f>MID(PAA[[#This Row],[Meta Proyecto de Inversión]],1,4)</f>
        <v>8173</v>
      </c>
      <c r="T340" s="158" t="str">
        <f>MID(PAA[[#This Row],[Meta Proyecto de Inversión]],6,1)</f>
        <v>2</v>
      </c>
      <c r="U340" s="159" t="str">
        <f>IFERROR(VLOOKUP(N340,TD!$B$50:$F$54,2,0)," ")</f>
        <v>O230117</v>
      </c>
      <c r="V340" s="159" t="str">
        <f>IFERROR(VLOOKUP(N340,TD!$B$50:$F$54,3,0)," ")</f>
        <v>4503</v>
      </c>
      <c r="W340" s="159">
        <f>IFERROR(VLOOKUP(N340,TD!$B$50:$F$54,4,0)," ")</f>
        <v>20240255</v>
      </c>
      <c r="X340" s="158" t="s">
        <v>164</v>
      </c>
      <c r="Y340" s="159" t="str">
        <f>IFERROR(VLOOKUP(X340,TD!$J$51:$K$64,2,0)," ")</f>
        <v>Servicio de atención a incidentes y emergencias.</v>
      </c>
      <c r="Z340" s="160" t="str">
        <f>CONCATENATE(X340,"-",Y340)</f>
        <v>04-Servicio de atención a incidentes y emergencias.</v>
      </c>
      <c r="AA340" s="158" t="s">
        <v>221</v>
      </c>
      <c r="AB340" s="159" t="str">
        <f>IFERROR(VLOOKUP(AA340,TD!$N$51:$O$66,2,0)," ")</f>
        <v>Servicio de atención a emergencias y desastres</v>
      </c>
      <c r="AC340" s="160" t="str">
        <f>CONCATENATE(AA340,"_",AB340)</f>
        <v>004_Servicio de atención a emergencias y desastres</v>
      </c>
      <c r="AD340" s="160" t="str">
        <f>CONCATENATE(Z340," ",AC340)</f>
        <v>04-Servicio de atención a incidentes y emergencias. 004_Servicio de atención a emergencias y desastres</v>
      </c>
      <c r="AE340" s="159" t="str">
        <f>CONCATENATE(U340,V340,W340,X340,AA340)</f>
        <v>O23011745032024025504004</v>
      </c>
      <c r="AF340" s="159" t="str">
        <f>IFERROR(VLOOKUP(AD340,TD!$J$66:$K$89,2,0)," ")</f>
        <v>PM/0131/0104/45030040255</v>
      </c>
      <c r="AG340" s="118" t="s">
        <v>385</v>
      </c>
      <c r="AH340" s="158" t="s">
        <v>193</v>
      </c>
      <c r="AI340" s="161" t="str">
        <f>CONCATENATE(PAA[[#This Row],[Id Interno]],"-",PAA[[#This Row],[tipo de Contrato (TH talento humano - B/S bienes y/o servicios)]],"-",S340,"-",T340,"-",PAA[[#This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41" spans="2:35" ht="84" x14ac:dyDescent="0.35">
      <c r="B341" s="23">
        <v>20260305</v>
      </c>
      <c r="C341" s="99" t="s">
        <v>889</v>
      </c>
      <c r="D341" s="99" t="s">
        <v>105</v>
      </c>
      <c r="E341" s="99" t="s">
        <v>363</v>
      </c>
      <c r="F341" s="156" t="s">
        <v>144</v>
      </c>
      <c r="G341" s="156" t="s">
        <v>373</v>
      </c>
      <c r="H341" s="163">
        <v>9</v>
      </c>
      <c r="I341" s="163">
        <v>0</v>
      </c>
      <c r="J341" s="118">
        <v>29700000</v>
      </c>
      <c r="K341" s="126" t="s">
        <v>398</v>
      </c>
      <c r="L341" s="156" t="s">
        <v>158</v>
      </c>
      <c r="M341" s="162" t="s">
        <v>421</v>
      </c>
      <c r="N341" s="99" t="s">
        <v>198</v>
      </c>
      <c r="O341" s="151" t="s">
        <v>958</v>
      </c>
      <c r="P341" s="156" t="s">
        <v>348</v>
      </c>
      <c r="Q341" s="128">
        <v>80111600</v>
      </c>
      <c r="R341" s="162" t="s">
        <v>211</v>
      </c>
      <c r="S341" s="158" t="str">
        <f>MID(PAA[[#This Row],[Meta Proyecto de Inversión]],1,4)</f>
        <v>8173</v>
      </c>
      <c r="T341" s="158" t="str">
        <f>MID(PAA[[#This Row],[Meta Proyecto de Inversión]],6,1)</f>
        <v>2</v>
      </c>
      <c r="U341" s="159" t="str">
        <f>IFERROR(VLOOKUP(N341,TD!$B$50:$F$54,2,0)," ")</f>
        <v>O230117</v>
      </c>
      <c r="V341" s="159" t="str">
        <f>IFERROR(VLOOKUP(N341,TD!$B$50:$F$54,3,0)," ")</f>
        <v>4503</v>
      </c>
      <c r="W341" s="159">
        <f>IFERROR(VLOOKUP(N341,TD!$B$50:$F$54,4,0)," ")</f>
        <v>20240255</v>
      </c>
      <c r="X341" s="158" t="s">
        <v>164</v>
      </c>
      <c r="Y341" s="159" t="str">
        <f>IFERROR(VLOOKUP(X341,TD!$J$51:$K$64,2,0)," ")</f>
        <v>Servicio de atención a incidentes y emergencias.</v>
      </c>
      <c r="Z341" s="160" t="str">
        <f>CONCATENATE(X341,"-",Y341)</f>
        <v>04-Servicio de atención a incidentes y emergencias.</v>
      </c>
      <c r="AA341" s="158" t="s">
        <v>221</v>
      </c>
      <c r="AB341" s="159" t="str">
        <f>IFERROR(VLOOKUP(AA341,TD!$N$51:$O$66,2,0)," ")</f>
        <v>Servicio de atención a emergencias y desastres</v>
      </c>
      <c r="AC341" s="160" t="str">
        <f>CONCATENATE(AA341,"_",AB341)</f>
        <v>004_Servicio de atención a emergencias y desastres</v>
      </c>
      <c r="AD341" s="160" t="str">
        <f>CONCATENATE(Z341," ",AC341)</f>
        <v>04-Servicio de atención a incidentes y emergencias. 004_Servicio de atención a emergencias y desastres</v>
      </c>
      <c r="AE341" s="159" t="str">
        <f>CONCATENATE(U341,V341,W341,X341,AA341)</f>
        <v>O23011745032024025504004</v>
      </c>
      <c r="AF341" s="159" t="str">
        <f>IFERROR(VLOOKUP(AD341,TD!$J$66:$K$89,2,0)," ")</f>
        <v>PM/0131/0104/45030040255</v>
      </c>
      <c r="AG341" s="118" t="s">
        <v>385</v>
      </c>
      <c r="AH341" s="158" t="s">
        <v>193</v>
      </c>
      <c r="AI341" s="161" t="str">
        <f>CONCATENATE(PAA[[#This Row],[Id Interno]],"-",PAA[[#This Row],[tipo de Contrato (TH talento humano - B/S bienes y/o servicios)]],"-",S341,"-",T341,"-",PAA[[#This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42" spans="2:35" ht="56" x14ac:dyDescent="0.35">
      <c r="B342" s="23">
        <v>20260306</v>
      </c>
      <c r="C342" s="99" t="s">
        <v>890</v>
      </c>
      <c r="D342" s="99" t="s">
        <v>105</v>
      </c>
      <c r="E342" s="99" t="s">
        <v>363</v>
      </c>
      <c r="F342" s="156" t="s">
        <v>144</v>
      </c>
      <c r="G342" s="156" t="s">
        <v>373</v>
      </c>
      <c r="H342" s="163">
        <v>10</v>
      </c>
      <c r="I342" s="163">
        <v>0</v>
      </c>
      <c r="J342" s="118">
        <v>67000000</v>
      </c>
      <c r="K342" s="126" t="s">
        <v>398</v>
      </c>
      <c r="L342" s="156" t="s">
        <v>158</v>
      </c>
      <c r="M342" s="162" t="s">
        <v>421</v>
      </c>
      <c r="N342" s="99" t="s">
        <v>198</v>
      </c>
      <c r="O342" s="151" t="s">
        <v>958</v>
      </c>
      <c r="P342" s="156" t="s">
        <v>348</v>
      </c>
      <c r="Q342" s="128">
        <v>80111600</v>
      </c>
      <c r="R342" s="162" t="s">
        <v>211</v>
      </c>
      <c r="S342" s="158" t="str">
        <f>MID(PAA[[#This Row],[Meta Proyecto de Inversión]],1,4)</f>
        <v>8173</v>
      </c>
      <c r="T342" s="158" t="str">
        <f>MID(PAA[[#This Row],[Meta Proyecto de Inversión]],6,1)</f>
        <v>2</v>
      </c>
      <c r="U342" s="159" t="str">
        <f>IFERROR(VLOOKUP(N342,TD!$B$50:$F$54,2,0)," ")</f>
        <v>O230117</v>
      </c>
      <c r="V342" s="159" t="str">
        <f>IFERROR(VLOOKUP(N342,TD!$B$50:$F$54,3,0)," ")</f>
        <v>4503</v>
      </c>
      <c r="W342" s="159">
        <f>IFERROR(VLOOKUP(N342,TD!$B$50:$F$54,4,0)," ")</f>
        <v>20240255</v>
      </c>
      <c r="X342" s="158" t="s">
        <v>164</v>
      </c>
      <c r="Y342" s="159" t="str">
        <f>IFERROR(VLOOKUP(X342,TD!$J$51:$K$64,2,0)," ")</f>
        <v>Servicio de atención a incidentes y emergencias.</v>
      </c>
      <c r="Z342" s="160" t="str">
        <f>CONCATENATE(X342,"-",Y342)</f>
        <v>04-Servicio de atención a incidentes y emergencias.</v>
      </c>
      <c r="AA342" s="158" t="s">
        <v>221</v>
      </c>
      <c r="AB342" s="159" t="str">
        <f>IFERROR(VLOOKUP(AA342,TD!$N$51:$O$66,2,0)," ")</f>
        <v>Servicio de atención a emergencias y desastres</v>
      </c>
      <c r="AC342" s="160" t="str">
        <f>CONCATENATE(AA342,"_",AB342)</f>
        <v>004_Servicio de atención a emergencias y desastres</v>
      </c>
      <c r="AD342" s="160" t="str">
        <f>CONCATENATE(Z342," ",AC342)</f>
        <v>04-Servicio de atención a incidentes y emergencias. 004_Servicio de atención a emergencias y desastres</v>
      </c>
      <c r="AE342" s="159" t="str">
        <f>CONCATENATE(U342,V342,W342,X342,AA342)</f>
        <v>O23011745032024025504004</v>
      </c>
      <c r="AF342" s="159" t="str">
        <f>IFERROR(VLOOKUP(AD342,TD!$J$66:$K$89,2,0)," ")</f>
        <v>PM/0131/0104/45030040255</v>
      </c>
      <c r="AG342" s="118" t="s">
        <v>385</v>
      </c>
      <c r="AH342" s="158" t="s">
        <v>193</v>
      </c>
      <c r="AI342" s="161" t="str">
        <f>CONCATENATE(PAA[[#This Row],[Id Interno]],"-",PAA[[#This Row],[tipo de Contrato (TH talento humano - B/S bienes y/o servicios)]],"-",S342,"-",T342,"-",PAA[[#This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43" spans="2:35" ht="28" x14ac:dyDescent="0.35">
      <c r="B343" s="23">
        <v>20260307</v>
      </c>
      <c r="C343" s="99" t="s">
        <v>891</v>
      </c>
      <c r="D343" s="99" t="s">
        <v>105</v>
      </c>
      <c r="E343" s="99" t="s">
        <v>363</v>
      </c>
      <c r="F343" s="156" t="s">
        <v>144</v>
      </c>
      <c r="G343" s="156" t="s">
        <v>373</v>
      </c>
      <c r="H343" s="163">
        <v>10</v>
      </c>
      <c r="I343" s="163">
        <v>0</v>
      </c>
      <c r="J343" s="118">
        <v>67000000</v>
      </c>
      <c r="K343" s="126" t="s">
        <v>398</v>
      </c>
      <c r="L343" s="156" t="s">
        <v>158</v>
      </c>
      <c r="M343" s="162" t="s">
        <v>421</v>
      </c>
      <c r="N343" s="99" t="s">
        <v>198</v>
      </c>
      <c r="O343" s="151" t="s">
        <v>958</v>
      </c>
      <c r="P343" s="156" t="s">
        <v>348</v>
      </c>
      <c r="Q343" s="128">
        <v>80111600</v>
      </c>
      <c r="R343" s="162" t="s">
        <v>211</v>
      </c>
      <c r="S343" s="158" t="str">
        <f>MID(PAA[[#This Row],[Meta Proyecto de Inversión]],1,4)</f>
        <v>8173</v>
      </c>
      <c r="T343" s="158" t="str">
        <f>MID(PAA[[#This Row],[Meta Proyecto de Inversión]],6,1)</f>
        <v>2</v>
      </c>
      <c r="U343" s="159" t="str">
        <f>IFERROR(VLOOKUP(N343,TD!$B$50:$F$54,2,0)," ")</f>
        <v>O230117</v>
      </c>
      <c r="V343" s="159" t="str">
        <f>IFERROR(VLOOKUP(N343,TD!$B$50:$F$54,3,0)," ")</f>
        <v>4503</v>
      </c>
      <c r="W343" s="159">
        <f>IFERROR(VLOOKUP(N343,TD!$B$50:$F$54,4,0)," ")</f>
        <v>20240255</v>
      </c>
      <c r="X343" s="158" t="s">
        <v>164</v>
      </c>
      <c r="Y343" s="159" t="str">
        <f>IFERROR(VLOOKUP(X343,TD!$J$51:$K$64,2,0)," ")</f>
        <v>Servicio de atención a incidentes y emergencias.</v>
      </c>
      <c r="Z343" s="160" t="str">
        <f>CONCATENATE(X343,"-",Y343)</f>
        <v>04-Servicio de atención a incidentes y emergencias.</v>
      </c>
      <c r="AA343" s="158" t="s">
        <v>221</v>
      </c>
      <c r="AB343" s="159" t="str">
        <f>IFERROR(VLOOKUP(AA343,TD!$N$51:$O$66,2,0)," ")</f>
        <v>Servicio de atención a emergencias y desastres</v>
      </c>
      <c r="AC343" s="160" t="str">
        <f>CONCATENATE(AA343,"_",AB343)</f>
        <v>004_Servicio de atención a emergencias y desastres</v>
      </c>
      <c r="AD343" s="160" t="str">
        <f>CONCATENATE(Z343," ",AC343)</f>
        <v>04-Servicio de atención a incidentes y emergencias. 004_Servicio de atención a emergencias y desastres</v>
      </c>
      <c r="AE343" s="159" t="str">
        <f>CONCATENATE(U343,V343,W343,X343,AA343)</f>
        <v>O23011745032024025504004</v>
      </c>
      <c r="AF343" s="159" t="str">
        <f>IFERROR(VLOOKUP(AD343,TD!$J$66:$K$89,2,0)," ")</f>
        <v>PM/0131/0104/45030040255</v>
      </c>
      <c r="AG343" s="118" t="s">
        <v>385</v>
      </c>
      <c r="AH343" s="158" t="s">
        <v>193</v>
      </c>
      <c r="AI343" s="161" t="str">
        <f>CONCATENATE(PAA[[#This Row],[Id Interno]],"-",PAA[[#This Row],[tipo de Contrato (TH talento humano - B/S bienes y/o servicios)]],"-",S343,"-",T343,"-",PAA[[#This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44" spans="2:35" ht="70" x14ac:dyDescent="0.35">
      <c r="B344" s="23">
        <v>20260308</v>
      </c>
      <c r="C344" s="99" t="s">
        <v>502</v>
      </c>
      <c r="D344" s="99" t="s">
        <v>105</v>
      </c>
      <c r="E344" s="99" t="s">
        <v>363</v>
      </c>
      <c r="F344" s="156" t="s">
        <v>144</v>
      </c>
      <c r="G344" s="156" t="s">
        <v>373</v>
      </c>
      <c r="H344" s="163">
        <v>4</v>
      </c>
      <c r="I344" s="163">
        <v>15</v>
      </c>
      <c r="J344" s="118">
        <v>29250000</v>
      </c>
      <c r="K344" s="126" t="s">
        <v>398</v>
      </c>
      <c r="L344" s="156" t="s">
        <v>158</v>
      </c>
      <c r="M344" s="162" t="s">
        <v>421</v>
      </c>
      <c r="N344" s="99" t="s">
        <v>198</v>
      </c>
      <c r="O344" s="151" t="s">
        <v>958</v>
      </c>
      <c r="P344" s="156" t="s">
        <v>348</v>
      </c>
      <c r="Q344" s="128">
        <v>80111600</v>
      </c>
      <c r="R344" s="162" t="s">
        <v>211</v>
      </c>
      <c r="S344" s="158" t="str">
        <f>MID(PAA[[#This Row],[Meta Proyecto de Inversión]],1,4)</f>
        <v>8173</v>
      </c>
      <c r="T344" s="158" t="str">
        <f>MID(PAA[[#This Row],[Meta Proyecto de Inversión]],6,1)</f>
        <v>2</v>
      </c>
      <c r="U344" s="159" t="str">
        <f>IFERROR(VLOOKUP(N344,TD!$B$50:$F$54,2,0)," ")</f>
        <v>O230117</v>
      </c>
      <c r="V344" s="159" t="str">
        <f>IFERROR(VLOOKUP(N344,TD!$B$50:$F$54,3,0)," ")</f>
        <v>4503</v>
      </c>
      <c r="W344" s="159">
        <f>IFERROR(VLOOKUP(N344,TD!$B$50:$F$54,4,0)," ")</f>
        <v>20240255</v>
      </c>
      <c r="X344" s="158" t="s">
        <v>164</v>
      </c>
      <c r="Y344" s="159" t="str">
        <f>IFERROR(VLOOKUP(X344,TD!$J$51:$K$64,2,0)," ")</f>
        <v>Servicio de atención a incidentes y emergencias.</v>
      </c>
      <c r="Z344" s="160" t="str">
        <f>CONCATENATE(X344,"-",Y344)</f>
        <v>04-Servicio de atención a incidentes y emergencias.</v>
      </c>
      <c r="AA344" s="158" t="s">
        <v>221</v>
      </c>
      <c r="AB344" s="159" t="str">
        <f>IFERROR(VLOOKUP(AA344,TD!$N$51:$O$66,2,0)," ")</f>
        <v>Servicio de atención a emergencias y desastres</v>
      </c>
      <c r="AC344" s="160" t="str">
        <f>CONCATENATE(AA344,"_",AB344)</f>
        <v>004_Servicio de atención a emergencias y desastres</v>
      </c>
      <c r="AD344" s="160" t="str">
        <f>CONCATENATE(Z344," ",AC344)</f>
        <v>04-Servicio de atención a incidentes y emergencias. 004_Servicio de atención a emergencias y desastres</v>
      </c>
      <c r="AE344" s="159" t="str">
        <f>CONCATENATE(U344,V344,W344,X344,AA344)</f>
        <v>O23011745032024025504004</v>
      </c>
      <c r="AF344" s="159" t="str">
        <f>IFERROR(VLOOKUP(AD344,TD!$J$66:$K$89,2,0)," ")</f>
        <v>PM/0131/0104/45030040255</v>
      </c>
      <c r="AG344" s="118" t="s">
        <v>385</v>
      </c>
      <c r="AH344" s="158" t="s">
        <v>194</v>
      </c>
      <c r="AI344" s="161" t="str">
        <f>CONCATENATE(PAA[[#This Row],[Id Interno]],"-",PAA[[#This Row],[tipo de Contrato (TH talento humano - B/S bienes y/o servicios)]],"-",S344,"-",T344,"-",PAA[[#This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45" spans="2:35" ht="56" x14ac:dyDescent="0.35">
      <c r="B345" s="23">
        <v>20260309</v>
      </c>
      <c r="C345" s="99" t="s">
        <v>503</v>
      </c>
      <c r="D345" s="99" t="s">
        <v>105</v>
      </c>
      <c r="E345" s="99" t="s">
        <v>363</v>
      </c>
      <c r="F345" s="156" t="s">
        <v>144</v>
      </c>
      <c r="G345" s="156" t="s">
        <v>373</v>
      </c>
      <c r="H345" s="163">
        <v>4</v>
      </c>
      <c r="I345" s="163">
        <v>15</v>
      </c>
      <c r="J345" s="118">
        <v>31500000</v>
      </c>
      <c r="K345" s="126" t="s">
        <v>398</v>
      </c>
      <c r="L345" s="156" t="s">
        <v>158</v>
      </c>
      <c r="M345" s="162" t="s">
        <v>421</v>
      </c>
      <c r="N345" s="99" t="s">
        <v>198</v>
      </c>
      <c r="O345" s="151" t="s">
        <v>958</v>
      </c>
      <c r="P345" s="156" t="s">
        <v>348</v>
      </c>
      <c r="Q345" s="128">
        <v>80111600</v>
      </c>
      <c r="R345" s="162" t="s">
        <v>211</v>
      </c>
      <c r="S345" s="158" t="str">
        <f>MID(PAA[[#This Row],[Meta Proyecto de Inversión]],1,4)</f>
        <v>8173</v>
      </c>
      <c r="T345" s="158" t="str">
        <f>MID(PAA[[#This Row],[Meta Proyecto de Inversión]],6,1)</f>
        <v>2</v>
      </c>
      <c r="U345" s="159" t="str">
        <f>IFERROR(VLOOKUP(N345,TD!$B$50:$F$54,2,0)," ")</f>
        <v>O230117</v>
      </c>
      <c r="V345" s="159" t="str">
        <f>IFERROR(VLOOKUP(N345,TD!$B$50:$F$54,3,0)," ")</f>
        <v>4503</v>
      </c>
      <c r="W345" s="159">
        <f>IFERROR(VLOOKUP(N345,TD!$B$50:$F$54,4,0)," ")</f>
        <v>20240255</v>
      </c>
      <c r="X345" s="158" t="s">
        <v>164</v>
      </c>
      <c r="Y345" s="159" t="str">
        <f>IFERROR(VLOOKUP(X345,TD!$J$51:$K$64,2,0)," ")</f>
        <v>Servicio de atención a incidentes y emergencias.</v>
      </c>
      <c r="Z345" s="160" t="str">
        <f>CONCATENATE(X345,"-",Y345)</f>
        <v>04-Servicio de atención a incidentes y emergencias.</v>
      </c>
      <c r="AA345" s="158" t="s">
        <v>221</v>
      </c>
      <c r="AB345" s="159" t="str">
        <f>IFERROR(VLOOKUP(AA345,TD!$N$51:$O$66,2,0)," ")</f>
        <v>Servicio de atención a emergencias y desastres</v>
      </c>
      <c r="AC345" s="160" t="str">
        <f>CONCATENATE(AA345,"_",AB345)</f>
        <v>004_Servicio de atención a emergencias y desastres</v>
      </c>
      <c r="AD345" s="160" t="str">
        <f>CONCATENATE(Z345," ",AC345)</f>
        <v>04-Servicio de atención a incidentes y emergencias. 004_Servicio de atención a emergencias y desastres</v>
      </c>
      <c r="AE345" s="159" t="str">
        <f>CONCATENATE(U345,V345,W345,X345,AA345)</f>
        <v>O23011745032024025504004</v>
      </c>
      <c r="AF345" s="159" t="str">
        <f>IFERROR(VLOOKUP(AD345,TD!$J$66:$K$89,2,0)," ")</f>
        <v>PM/0131/0104/45030040255</v>
      </c>
      <c r="AG345" s="118" t="s">
        <v>385</v>
      </c>
      <c r="AH345" s="158" t="s">
        <v>194</v>
      </c>
      <c r="AI345" s="161" t="str">
        <f>CONCATENATE(PAA[[#This Row],[Id Interno]],"-",PAA[[#This Row],[tipo de Contrato (TH talento humano - B/S bienes y/o servicios)]],"-",S345,"-",T345,"-",PAA[[#This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46" spans="2:35" ht="56" x14ac:dyDescent="0.35">
      <c r="B346" s="23">
        <v>20260310</v>
      </c>
      <c r="C346" s="99" t="s">
        <v>892</v>
      </c>
      <c r="D346" s="99" t="s">
        <v>105</v>
      </c>
      <c r="E346" s="99" t="s">
        <v>363</v>
      </c>
      <c r="F346" s="156" t="s">
        <v>144</v>
      </c>
      <c r="G346" s="156" t="s">
        <v>373</v>
      </c>
      <c r="H346" s="163">
        <v>8</v>
      </c>
      <c r="I346" s="163">
        <v>0</v>
      </c>
      <c r="J346" s="118">
        <v>57600000</v>
      </c>
      <c r="K346" s="126" t="s">
        <v>398</v>
      </c>
      <c r="L346" s="156" t="s">
        <v>158</v>
      </c>
      <c r="M346" s="162" t="s">
        <v>421</v>
      </c>
      <c r="N346" s="99" t="s">
        <v>198</v>
      </c>
      <c r="O346" s="151" t="s">
        <v>958</v>
      </c>
      <c r="P346" s="156" t="s">
        <v>348</v>
      </c>
      <c r="Q346" s="128">
        <v>80111600</v>
      </c>
      <c r="R346" s="162" t="s">
        <v>211</v>
      </c>
      <c r="S346" s="158" t="str">
        <f>MID(PAA[[#This Row],[Meta Proyecto de Inversión]],1,4)</f>
        <v>8173</v>
      </c>
      <c r="T346" s="158" t="str">
        <f>MID(PAA[[#This Row],[Meta Proyecto de Inversión]],6,1)</f>
        <v>2</v>
      </c>
      <c r="U346" s="159" t="str">
        <f>IFERROR(VLOOKUP(N346,TD!$B$50:$F$54,2,0)," ")</f>
        <v>O230117</v>
      </c>
      <c r="V346" s="159" t="str">
        <f>IFERROR(VLOOKUP(N346,TD!$B$50:$F$54,3,0)," ")</f>
        <v>4503</v>
      </c>
      <c r="W346" s="159">
        <f>IFERROR(VLOOKUP(N346,TD!$B$50:$F$54,4,0)," ")</f>
        <v>20240255</v>
      </c>
      <c r="X346" s="158" t="s">
        <v>164</v>
      </c>
      <c r="Y346" s="159" t="str">
        <f>IFERROR(VLOOKUP(X346,TD!$J$51:$K$64,2,0)," ")</f>
        <v>Servicio de atención a incidentes y emergencias.</v>
      </c>
      <c r="Z346" s="160" t="str">
        <f>CONCATENATE(X346,"-",Y346)</f>
        <v>04-Servicio de atención a incidentes y emergencias.</v>
      </c>
      <c r="AA346" s="158" t="s">
        <v>221</v>
      </c>
      <c r="AB346" s="159" t="str">
        <f>IFERROR(VLOOKUP(AA346,TD!$N$51:$O$66,2,0)," ")</f>
        <v>Servicio de atención a emergencias y desastres</v>
      </c>
      <c r="AC346" s="160" t="str">
        <f>CONCATENATE(AA346,"_",AB346)</f>
        <v>004_Servicio de atención a emergencias y desastres</v>
      </c>
      <c r="AD346" s="160" t="str">
        <f>CONCATENATE(Z346," ",AC346)</f>
        <v>04-Servicio de atención a incidentes y emergencias. 004_Servicio de atención a emergencias y desastres</v>
      </c>
      <c r="AE346" s="159" t="str">
        <f>CONCATENATE(U346,V346,W346,X346,AA346)</f>
        <v>O23011745032024025504004</v>
      </c>
      <c r="AF346" s="159" t="str">
        <f>IFERROR(VLOOKUP(AD346,TD!$J$66:$K$89,2,0)," ")</f>
        <v>PM/0131/0104/45030040255</v>
      </c>
      <c r="AG346" s="118" t="s">
        <v>385</v>
      </c>
      <c r="AH346" s="158" t="s">
        <v>193</v>
      </c>
      <c r="AI346" s="161" t="str">
        <f>CONCATENATE(PAA[[#This Row],[Id Interno]],"-",PAA[[#This Row],[tipo de Contrato (TH talento humano - B/S bienes y/o servicios)]],"-",S346,"-",T346,"-",PAA[[#This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47" spans="2:35" ht="56" x14ac:dyDescent="0.35">
      <c r="B347" s="23">
        <v>20260311</v>
      </c>
      <c r="C347" s="99" t="s">
        <v>504</v>
      </c>
      <c r="D347" s="99" t="s">
        <v>105</v>
      </c>
      <c r="E347" s="99" t="s">
        <v>363</v>
      </c>
      <c r="F347" s="156" t="s">
        <v>144</v>
      </c>
      <c r="G347" s="156" t="s">
        <v>373</v>
      </c>
      <c r="H347" s="163">
        <v>4</v>
      </c>
      <c r="I347" s="163">
        <v>15</v>
      </c>
      <c r="J347" s="118">
        <v>31500000</v>
      </c>
      <c r="K347" s="126" t="s">
        <v>398</v>
      </c>
      <c r="L347" s="156" t="s">
        <v>158</v>
      </c>
      <c r="M347" s="162" t="s">
        <v>421</v>
      </c>
      <c r="N347" s="99" t="s">
        <v>198</v>
      </c>
      <c r="O347" s="151" t="s">
        <v>958</v>
      </c>
      <c r="P347" s="156" t="s">
        <v>348</v>
      </c>
      <c r="Q347" s="128">
        <v>80111600</v>
      </c>
      <c r="R347" s="162" t="s">
        <v>211</v>
      </c>
      <c r="S347" s="158" t="str">
        <f>MID(PAA[[#This Row],[Meta Proyecto de Inversión]],1,4)</f>
        <v>8173</v>
      </c>
      <c r="T347" s="158" t="str">
        <f>MID(PAA[[#This Row],[Meta Proyecto de Inversión]],6,1)</f>
        <v>2</v>
      </c>
      <c r="U347" s="159" t="str">
        <f>IFERROR(VLOOKUP(N347,TD!$B$50:$F$54,2,0)," ")</f>
        <v>O230117</v>
      </c>
      <c r="V347" s="159" t="str">
        <f>IFERROR(VLOOKUP(N347,TD!$B$50:$F$54,3,0)," ")</f>
        <v>4503</v>
      </c>
      <c r="W347" s="159">
        <f>IFERROR(VLOOKUP(N347,TD!$B$50:$F$54,4,0)," ")</f>
        <v>20240255</v>
      </c>
      <c r="X347" s="158" t="s">
        <v>164</v>
      </c>
      <c r="Y347" s="159" t="str">
        <f>IFERROR(VLOOKUP(X347,TD!$J$51:$K$64,2,0)," ")</f>
        <v>Servicio de atención a incidentes y emergencias.</v>
      </c>
      <c r="Z347" s="160" t="str">
        <f>CONCATENATE(X347,"-",Y347)</f>
        <v>04-Servicio de atención a incidentes y emergencias.</v>
      </c>
      <c r="AA347" s="158" t="s">
        <v>221</v>
      </c>
      <c r="AB347" s="159" t="str">
        <f>IFERROR(VLOOKUP(AA347,TD!$N$51:$O$66,2,0)," ")</f>
        <v>Servicio de atención a emergencias y desastres</v>
      </c>
      <c r="AC347" s="160" t="str">
        <f>CONCATENATE(AA347,"_",AB347)</f>
        <v>004_Servicio de atención a emergencias y desastres</v>
      </c>
      <c r="AD347" s="160" t="str">
        <f>CONCATENATE(Z347," ",AC347)</f>
        <v>04-Servicio de atención a incidentes y emergencias. 004_Servicio de atención a emergencias y desastres</v>
      </c>
      <c r="AE347" s="159" t="str">
        <f>CONCATENATE(U347,V347,W347,X347,AA347)</f>
        <v>O23011745032024025504004</v>
      </c>
      <c r="AF347" s="159" t="str">
        <f>IFERROR(VLOOKUP(AD347,TD!$J$66:$K$89,2,0)," ")</f>
        <v>PM/0131/0104/45030040255</v>
      </c>
      <c r="AG347" s="118" t="s">
        <v>385</v>
      </c>
      <c r="AH347" s="158" t="s">
        <v>194</v>
      </c>
      <c r="AI347" s="161" t="str">
        <f>CONCATENATE(PAA[[#This Row],[Id Interno]],"-",PAA[[#This Row],[tipo de Contrato (TH talento humano - B/S bienes y/o servicios)]],"-",S347,"-",T347,"-",PAA[[#This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48" spans="2:35" ht="56" x14ac:dyDescent="0.35">
      <c r="B348" s="23">
        <v>20260312</v>
      </c>
      <c r="C348" s="99" t="s">
        <v>505</v>
      </c>
      <c r="D348" s="99" t="s">
        <v>105</v>
      </c>
      <c r="E348" s="99" t="s">
        <v>363</v>
      </c>
      <c r="F348" s="156" t="s">
        <v>144</v>
      </c>
      <c r="G348" s="156" t="s">
        <v>373</v>
      </c>
      <c r="H348" s="163">
        <v>5</v>
      </c>
      <c r="I348" s="163">
        <v>0</v>
      </c>
      <c r="J348" s="118">
        <v>40000000</v>
      </c>
      <c r="K348" s="126" t="s">
        <v>398</v>
      </c>
      <c r="L348" s="156" t="s">
        <v>158</v>
      </c>
      <c r="M348" s="162" t="s">
        <v>421</v>
      </c>
      <c r="N348" s="99" t="s">
        <v>198</v>
      </c>
      <c r="O348" s="151" t="s">
        <v>958</v>
      </c>
      <c r="P348" s="156" t="s">
        <v>348</v>
      </c>
      <c r="Q348" s="128">
        <v>80111600</v>
      </c>
      <c r="R348" s="162" t="s">
        <v>211</v>
      </c>
      <c r="S348" s="158" t="str">
        <f>MID(PAA[[#This Row],[Meta Proyecto de Inversión]],1,4)</f>
        <v>8173</v>
      </c>
      <c r="T348" s="158" t="str">
        <f>MID(PAA[[#This Row],[Meta Proyecto de Inversión]],6,1)</f>
        <v>2</v>
      </c>
      <c r="U348" s="159" t="str">
        <f>IFERROR(VLOOKUP(N348,TD!$B$50:$F$54,2,0)," ")</f>
        <v>O230117</v>
      </c>
      <c r="V348" s="159" t="str">
        <f>IFERROR(VLOOKUP(N348,TD!$B$50:$F$54,3,0)," ")</f>
        <v>4503</v>
      </c>
      <c r="W348" s="159">
        <f>IFERROR(VLOOKUP(N348,TD!$B$50:$F$54,4,0)," ")</f>
        <v>20240255</v>
      </c>
      <c r="X348" s="158" t="s">
        <v>164</v>
      </c>
      <c r="Y348" s="159" t="str">
        <f>IFERROR(VLOOKUP(X348,TD!$J$51:$K$64,2,0)," ")</f>
        <v>Servicio de atención a incidentes y emergencias.</v>
      </c>
      <c r="Z348" s="160" t="str">
        <f>CONCATENATE(X348,"-",Y348)</f>
        <v>04-Servicio de atención a incidentes y emergencias.</v>
      </c>
      <c r="AA348" s="158" t="s">
        <v>221</v>
      </c>
      <c r="AB348" s="159" t="str">
        <f>IFERROR(VLOOKUP(AA348,TD!$N$51:$O$66,2,0)," ")</f>
        <v>Servicio de atención a emergencias y desastres</v>
      </c>
      <c r="AC348" s="160" t="str">
        <f>CONCATENATE(AA348,"_",AB348)</f>
        <v>004_Servicio de atención a emergencias y desastres</v>
      </c>
      <c r="AD348" s="160" t="str">
        <f>CONCATENATE(Z348," ",AC348)</f>
        <v>04-Servicio de atención a incidentes y emergencias. 004_Servicio de atención a emergencias y desastres</v>
      </c>
      <c r="AE348" s="159" t="str">
        <f>CONCATENATE(U348,V348,W348,X348,AA348)</f>
        <v>O23011745032024025504004</v>
      </c>
      <c r="AF348" s="159" t="str">
        <f>IFERROR(VLOOKUP(AD348,TD!$J$66:$K$89,2,0)," ")</f>
        <v>PM/0131/0104/45030040255</v>
      </c>
      <c r="AG348" s="118" t="s">
        <v>385</v>
      </c>
      <c r="AH348" s="158" t="s">
        <v>194</v>
      </c>
      <c r="AI348" s="161" t="str">
        <f>CONCATENATE(PAA[[#This Row],[Id Interno]],"-",PAA[[#This Row],[tipo de Contrato (TH talento humano - B/S bienes y/o servicios)]],"-",S348,"-",T348,"-",PAA[[#This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49" spans="2:35" ht="56" x14ac:dyDescent="0.35">
      <c r="B349" s="23">
        <v>20260313</v>
      </c>
      <c r="C349" s="99" t="s">
        <v>893</v>
      </c>
      <c r="D349" s="99" t="s">
        <v>105</v>
      </c>
      <c r="E349" s="99" t="s">
        <v>363</v>
      </c>
      <c r="F349" s="156" t="s">
        <v>144</v>
      </c>
      <c r="G349" s="156" t="s">
        <v>373</v>
      </c>
      <c r="H349" s="163">
        <v>9</v>
      </c>
      <c r="I349" s="163">
        <v>0</v>
      </c>
      <c r="J349" s="118">
        <v>67500000</v>
      </c>
      <c r="K349" s="126" t="s">
        <v>398</v>
      </c>
      <c r="L349" s="156" t="s">
        <v>158</v>
      </c>
      <c r="M349" s="162" t="s">
        <v>421</v>
      </c>
      <c r="N349" s="99" t="s">
        <v>198</v>
      </c>
      <c r="O349" s="151" t="s">
        <v>958</v>
      </c>
      <c r="P349" s="156" t="s">
        <v>348</v>
      </c>
      <c r="Q349" s="128">
        <v>80111600</v>
      </c>
      <c r="R349" s="162" t="s">
        <v>211</v>
      </c>
      <c r="S349" s="158" t="str">
        <f>MID(PAA[[#This Row],[Meta Proyecto de Inversión]],1,4)</f>
        <v>8173</v>
      </c>
      <c r="T349" s="158" t="str">
        <f>MID(PAA[[#This Row],[Meta Proyecto de Inversión]],6,1)</f>
        <v>2</v>
      </c>
      <c r="U349" s="159" t="str">
        <f>IFERROR(VLOOKUP(N349,TD!$B$50:$F$54,2,0)," ")</f>
        <v>O230117</v>
      </c>
      <c r="V349" s="159" t="str">
        <f>IFERROR(VLOOKUP(N349,TD!$B$50:$F$54,3,0)," ")</f>
        <v>4503</v>
      </c>
      <c r="W349" s="159">
        <f>IFERROR(VLOOKUP(N349,TD!$B$50:$F$54,4,0)," ")</f>
        <v>20240255</v>
      </c>
      <c r="X349" s="158" t="s">
        <v>164</v>
      </c>
      <c r="Y349" s="159" t="str">
        <f>IFERROR(VLOOKUP(X349,TD!$J$51:$K$64,2,0)," ")</f>
        <v>Servicio de atención a incidentes y emergencias.</v>
      </c>
      <c r="Z349" s="160" t="str">
        <f>CONCATENATE(X349,"-",Y349)</f>
        <v>04-Servicio de atención a incidentes y emergencias.</v>
      </c>
      <c r="AA349" s="158" t="s">
        <v>221</v>
      </c>
      <c r="AB349" s="159" t="str">
        <f>IFERROR(VLOOKUP(AA349,TD!$N$51:$O$66,2,0)," ")</f>
        <v>Servicio de atención a emergencias y desastres</v>
      </c>
      <c r="AC349" s="160" t="str">
        <f>CONCATENATE(AA349,"_",AB349)</f>
        <v>004_Servicio de atención a emergencias y desastres</v>
      </c>
      <c r="AD349" s="160" t="str">
        <f>CONCATENATE(Z349," ",AC349)</f>
        <v>04-Servicio de atención a incidentes y emergencias. 004_Servicio de atención a emergencias y desastres</v>
      </c>
      <c r="AE349" s="159" t="str">
        <f>CONCATENATE(U349,V349,W349,X349,AA349)</f>
        <v>O23011745032024025504004</v>
      </c>
      <c r="AF349" s="159" t="str">
        <f>IFERROR(VLOOKUP(AD349,TD!$J$66:$K$89,2,0)," ")</f>
        <v>PM/0131/0104/45030040255</v>
      </c>
      <c r="AG349" s="118" t="s">
        <v>385</v>
      </c>
      <c r="AH349" s="158" t="s">
        <v>193</v>
      </c>
      <c r="AI349" s="161" t="str">
        <f>CONCATENATE(PAA[[#This Row],[Id Interno]],"-",PAA[[#This Row],[tipo de Contrato (TH talento humano - B/S bienes y/o servicios)]],"-",S349,"-",T349,"-",PAA[[#This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50" spans="2:35" ht="56" x14ac:dyDescent="0.35">
      <c r="B350" s="23">
        <v>20260314</v>
      </c>
      <c r="C350" s="99" t="s">
        <v>506</v>
      </c>
      <c r="D350" s="99" t="s">
        <v>105</v>
      </c>
      <c r="E350" s="99" t="s">
        <v>363</v>
      </c>
      <c r="F350" s="156" t="s">
        <v>144</v>
      </c>
      <c r="G350" s="156" t="s">
        <v>373</v>
      </c>
      <c r="H350" s="163">
        <v>5</v>
      </c>
      <c r="I350" s="163">
        <v>0</v>
      </c>
      <c r="J350" s="118">
        <v>47500000</v>
      </c>
      <c r="K350" s="126" t="s">
        <v>398</v>
      </c>
      <c r="L350" s="156" t="s">
        <v>158</v>
      </c>
      <c r="M350" s="162" t="s">
        <v>421</v>
      </c>
      <c r="N350" s="99" t="s">
        <v>198</v>
      </c>
      <c r="O350" s="151" t="s">
        <v>958</v>
      </c>
      <c r="P350" s="156" t="s">
        <v>348</v>
      </c>
      <c r="Q350" s="128">
        <v>80111600</v>
      </c>
      <c r="R350" s="162" t="s">
        <v>211</v>
      </c>
      <c r="S350" s="158" t="str">
        <f>MID(PAA[[#This Row],[Meta Proyecto de Inversión]],1,4)</f>
        <v>8173</v>
      </c>
      <c r="T350" s="158" t="str">
        <f>MID(PAA[[#This Row],[Meta Proyecto de Inversión]],6,1)</f>
        <v>2</v>
      </c>
      <c r="U350" s="159" t="str">
        <f>IFERROR(VLOOKUP(N350,TD!$B$50:$F$54,2,0)," ")</f>
        <v>O230117</v>
      </c>
      <c r="V350" s="159" t="str">
        <f>IFERROR(VLOOKUP(N350,TD!$B$50:$F$54,3,0)," ")</f>
        <v>4503</v>
      </c>
      <c r="W350" s="159">
        <f>IFERROR(VLOOKUP(N350,TD!$B$50:$F$54,4,0)," ")</f>
        <v>20240255</v>
      </c>
      <c r="X350" s="158" t="s">
        <v>164</v>
      </c>
      <c r="Y350" s="159" t="str">
        <f>IFERROR(VLOOKUP(X350,TD!$J$51:$K$64,2,0)," ")</f>
        <v>Servicio de atención a incidentes y emergencias.</v>
      </c>
      <c r="Z350" s="160" t="str">
        <f>CONCATENATE(X350,"-",Y350)</f>
        <v>04-Servicio de atención a incidentes y emergencias.</v>
      </c>
      <c r="AA350" s="158" t="s">
        <v>221</v>
      </c>
      <c r="AB350" s="159" t="str">
        <f>IFERROR(VLOOKUP(AA350,TD!$N$51:$O$66,2,0)," ")</f>
        <v>Servicio de atención a emergencias y desastres</v>
      </c>
      <c r="AC350" s="160" t="str">
        <f>CONCATENATE(AA350,"_",AB350)</f>
        <v>004_Servicio de atención a emergencias y desastres</v>
      </c>
      <c r="AD350" s="160" t="str">
        <f>CONCATENATE(Z350," ",AC350)</f>
        <v>04-Servicio de atención a incidentes y emergencias. 004_Servicio de atención a emergencias y desastres</v>
      </c>
      <c r="AE350" s="159" t="str">
        <f>CONCATENATE(U350,V350,W350,X350,AA350)</f>
        <v>O23011745032024025504004</v>
      </c>
      <c r="AF350" s="159" t="str">
        <f>IFERROR(VLOOKUP(AD350,TD!$J$66:$K$89,2,0)," ")</f>
        <v>PM/0131/0104/45030040255</v>
      </c>
      <c r="AG350" s="118" t="s">
        <v>385</v>
      </c>
      <c r="AH350" s="158" t="s">
        <v>194</v>
      </c>
      <c r="AI350" s="161" t="str">
        <f>CONCATENATE(PAA[[#This Row],[Id Interno]],"-",PAA[[#This Row],[tipo de Contrato (TH talento humano - B/S bienes y/o servicios)]],"-",S350,"-",T350,"-",PAA[[#This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51" spans="2:35" ht="56" x14ac:dyDescent="0.35">
      <c r="B351" s="23">
        <v>20260315</v>
      </c>
      <c r="C351" s="99" t="s">
        <v>507</v>
      </c>
      <c r="D351" s="99" t="s">
        <v>105</v>
      </c>
      <c r="E351" s="99" t="s">
        <v>363</v>
      </c>
      <c r="F351" s="156" t="s">
        <v>144</v>
      </c>
      <c r="G351" s="156" t="s">
        <v>373</v>
      </c>
      <c r="H351" s="163">
        <v>5</v>
      </c>
      <c r="I351" s="163">
        <v>0</v>
      </c>
      <c r="J351" s="118">
        <v>35000000</v>
      </c>
      <c r="K351" s="126" t="s">
        <v>398</v>
      </c>
      <c r="L351" s="156" t="s">
        <v>158</v>
      </c>
      <c r="M351" s="162" t="s">
        <v>421</v>
      </c>
      <c r="N351" s="99" t="s">
        <v>198</v>
      </c>
      <c r="O351" s="151" t="s">
        <v>958</v>
      </c>
      <c r="P351" s="156" t="s">
        <v>348</v>
      </c>
      <c r="Q351" s="128">
        <v>80111600</v>
      </c>
      <c r="R351" s="162" t="s">
        <v>211</v>
      </c>
      <c r="S351" s="158" t="str">
        <f>MID(PAA[[#This Row],[Meta Proyecto de Inversión]],1,4)</f>
        <v>8173</v>
      </c>
      <c r="T351" s="158" t="str">
        <f>MID(PAA[[#This Row],[Meta Proyecto de Inversión]],6,1)</f>
        <v>2</v>
      </c>
      <c r="U351" s="159" t="str">
        <f>IFERROR(VLOOKUP(N351,TD!$B$50:$F$54,2,0)," ")</f>
        <v>O230117</v>
      </c>
      <c r="V351" s="159" t="str">
        <f>IFERROR(VLOOKUP(N351,TD!$B$50:$F$54,3,0)," ")</f>
        <v>4503</v>
      </c>
      <c r="W351" s="159">
        <f>IFERROR(VLOOKUP(N351,TD!$B$50:$F$54,4,0)," ")</f>
        <v>20240255</v>
      </c>
      <c r="X351" s="158" t="s">
        <v>164</v>
      </c>
      <c r="Y351" s="159" t="str">
        <f>IFERROR(VLOOKUP(X351,TD!$J$51:$K$64,2,0)," ")</f>
        <v>Servicio de atención a incidentes y emergencias.</v>
      </c>
      <c r="Z351" s="160" t="str">
        <f>CONCATENATE(X351,"-",Y351)</f>
        <v>04-Servicio de atención a incidentes y emergencias.</v>
      </c>
      <c r="AA351" s="158" t="s">
        <v>221</v>
      </c>
      <c r="AB351" s="159" t="str">
        <f>IFERROR(VLOOKUP(AA351,TD!$N$51:$O$66,2,0)," ")</f>
        <v>Servicio de atención a emergencias y desastres</v>
      </c>
      <c r="AC351" s="160" t="str">
        <f>CONCATENATE(AA351,"_",AB351)</f>
        <v>004_Servicio de atención a emergencias y desastres</v>
      </c>
      <c r="AD351" s="160" t="str">
        <f>CONCATENATE(Z351," ",AC351)</f>
        <v>04-Servicio de atención a incidentes y emergencias. 004_Servicio de atención a emergencias y desastres</v>
      </c>
      <c r="AE351" s="159" t="str">
        <f>CONCATENATE(U351,V351,W351,X351,AA351)</f>
        <v>O23011745032024025504004</v>
      </c>
      <c r="AF351" s="159" t="str">
        <f>IFERROR(VLOOKUP(AD351,TD!$J$66:$K$89,2,0)," ")</f>
        <v>PM/0131/0104/45030040255</v>
      </c>
      <c r="AG351" s="118" t="s">
        <v>385</v>
      </c>
      <c r="AH351" s="158" t="s">
        <v>194</v>
      </c>
      <c r="AI351" s="161" t="str">
        <f>CONCATENATE(PAA[[#This Row],[Id Interno]],"-",PAA[[#This Row],[tipo de Contrato (TH talento humano - B/S bienes y/o servicios)]],"-",S351,"-",T351,"-",PAA[[#This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52" spans="2:35" ht="56" x14ac:dyDescent="0.35">
      <c r="B352" s="23">
        <v>20260316</v>
      </c>
      <c r="C352" s="99" t="s">
        <v>894</v>
      </c>
      <c r="D352" s="99" t="s">
        <v>105</v>
      </c>
      <c r="E352" s="99" t="s">
        <v>363</v>
      </c>
      <c r="F352" s="156" t="s">
        <v>144</v>
      </c>
      <c r="G352" s="156" t="s">
        <v>373</v>
      </c>
      <c r="H352" s="163">
        <v>9</v>
      </c>
      <c r="I352" s="163">
        <v>0</v>
      </c>
      <c r="J352" s="118">
        <v>80715000</v>
      </c>
      <c r="K352" s="126" t="s">
        <v>398</v>
      </c>
      <c r="L352" s="156" t="s">
        <v>158</v>
      </c>
      <c r="M352" s="162" t="s">
        <v>421</v>
      </c>
      <c r="N352" s="99" t="s">
        <v>198</v>
      </c>
      <c r="O352" s="151" t="s">
        <v>958</v>
      </c>
      <c r="P352" s="156" t="s">
        <v>348</v>
      </c>
      <c r="Q352" s="128">
        <v>80111600</v>
      </c>
      <c r="R352" s="162" t="s">
        <v>211</v>
      </c>
      <c r="S352" s="158" t="str">
        <f>MID(PAA[[#This Row],[Meta Proyecto de Inversión]],1,4)</f>
        <v>8173</v>
      </c>
      <c r="T352" s="158" t="str">
        <f>MID(PAA[[#This Row],[Meta Proyecto de Inversión]],6,1)</f>
        <v>2</v>
      </c>
      <c r="U352" s="159" t="str">
        <f>IFERROR(VLOOKUP(N352,TD!$B$50:$F$54,2,0)," ")</f>
        <v>O230117</v>
      </c>
      <c r="V352" s="159" t="str">
        <f>IFERROR(VLOOKUP(N352,TD!$B$50:$F$54,3,0)," ")</f>
        <v>4503</v>
      </c>
      <c r="W352" s="159">
        <f>IFERROR(VLOOKUP(N352,TD!$B$50:$F$54,4,0)," ")</f>
        <v>20240255</v>
      </c>
      <c r="X352" s="158" t="s">
        <v>164</v>
      </c>
      <c r="Y352" s="159" t="str">
        <f>IFERROR(VLOOKUP(X352,TD!$J$51:$K$64,2,0)," ")</f>
        <v>Servicio de atención a incidentes y emergencias.</v>
      </c>
      <c r="Z352" s="160" t="str">
        <f>CONCATENATE(X352,"-",Y352)</f>
        <v>04-Servicio de atención a incidentes y emergencias.</v>
      </c>
      <c r="AA352" s="158" t="s">
        <v>221</v>
      </c>
      <c r="AB352" s="159" t="str">
        <f>IFERROR(VLOOKUP(AA352,TD!$N$51:$O$66,2,0)," ")</f>
        <v>Servicio de atención a emergencias y desastres</v>
      </c>
      <c r="AC352" s="160" t="str">
        <f>CONCATENATE(AA352,"_",AB352)</f>
        <v>004_Servicio de atención a emergencias y desastres</v>
      </c>
      <c r="AD352" s="160" t="str">
        <f>CONCATENATE(Z352," ",AC352)</f>
        <v>04-Servicio de atención a incidentes y emergencias. 004_Servicio de atención a emergencias y desastres</v>
      </c>
      <c r="AE352" s="159" t="str">
        <f>CONCATENATE(U352,V352,W352,X352,AA352)</f>
        <v>O23011745032024025504004</v>
      </c>
      <c r="AF352" s="159" t="str">
        <f>IFERROR(VLOOKUP(AD352,TD!$J$66:$K$89,2,0)," ")</f>
        <v>PM/0131/0104/45030040255</v>
      </c>
      <c r="AG352" s="118" t="s">
        <v>385</v>
      </c>
      <c r="AH352" s="158" t="s">
        <v>193</v>
      </c>
      <c r="AI352" s="161" t="str">
        <f>CONCATENATE(PAA[[#This Row],[Id Interno]],"-",PAA[[#This Row],[tipo de Contrato (TH talento humano - B/S bienes y/o servicios)]],"-",S352,"-",T352,"-",PAA[[#This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53" spans="2:35" ht="56" x14ac:dyDescent="0.35">
      <c r="B353" s="23">
        <v>20260317</v>
      </c>
      <c r="C353" s="99" t="s">
        <v>508</v>
      </c>
      <c r="D353" s="99" t="s">
        <v>119</v>
      </c>
      <c r="E353" s="99" t="s">
        <v>402</v>
      </c>
      <c r="F353" s="156" t="s">
        <v>128</v>
      </c>
      <c r="G353" s="156" t="s">
        <v>373</v>
      </c>
      <c r="H353" s="163">
        <v>12</v>
      </c>
      <c r="I353" s="163">
        <v>0</v>
      </c>
      <c r="J353" s="118">
        <v>6914369000</v>
      </c>
      <c r="K353" s="126" t="s">
        <v>398</v>
      </c>
      <c r="L353" s="156" t="s">
        <v>158</v>
      </c>
      <c r="M353" s="162" t="s">
        <v>421</v>
      </c>
      <c r="N353" s="99" t="s">
        <v>198</v>
      </c>
      <c r="O353" s="151" t="s">
        <v>958</v>
      </c>
      <c r="P353" s="156" t="s">
        <v>586</v>
      </c>
      <c r="Q353" s="128">
        <v>80111600</v>
      </c>
      <c r="R353" s="162" t="s">
        <v>212</v>
      </c>
      <c r="S353" s="158" t="str">
        <f>MID(PAA[[#This Row],[Meta Proyecto de Inversión]],1,4)</f>
        <v>8173</v>
      </c>
      <c r="T353" s="158" t="str">
        <f>MID(PAA[[#This Row],[Meta Proyecto de Inversión]],6,1)</f>
        <v>3</v>
      </c>
      <c r="U353" s="159" t="str">
        <f>IFERROR(VLOOKUP(N353,TD!$B$50:$F$54,2,0)," ")</f>
        <v>O230117</v>
      </c>
      <c r="V353" s="159" t="str">
        <f>IFERROR(VLOOKUP(N353,TD!$B$50:$F$54,3,0)," ")</f>
        <v>4503</v>
      </c>
      <c r="W353" s="159">
        <f>IFERROR(VLOOKUP(N353,TD!$B$50:$F$54,4,0)," ")</f>
        <v>20240255</v>
      </c>
      <c r="X353" s="158" t="s">
        <v>164</v>
      </c>
      <c r="Y353" s="159" t="str">
        <f>IFERROR(VLOOKUP(X353,TD!$J$51:$K$64,2,0)," ")</f>
        <v>Servicio de atención a incidentes y emergencias.</v>
      </c>
      <c r="Z353" s="160" t="str">
        <f>CONCATENATE(X353,"-",Y353)</f>
        <v>04-Servicio de atención a incidentes y emergencias.</v>
      </c>
      <c r="AA353" s="158" t="s">
        <v>221</v>
      </c>
      <c r="AB353" s="159" t="str">
        <f>IFERROR(VLOOKUP(AA353,TD!$N$51:$O$66,2,0)," ")</f>
        <v>Servicio de atención a emergencias y desastres</v>
      </c>
      <c r="AC353" s="160" t="str">
        <f>CONCATENATE(AA353,"_",AB353)</f>
        <v>004_Servicio de atención a emergencias y desastres</v>
      </c>
      <c r="AD353" s="160" t="str">
        <f>CONCATENATE(Z353," ",AC353)</f>
        <v>04-Servicio de atención a incidentes y emergencias. 004_Servicio de atención a emergencias y desastres</v>
      </c>
      <c r="AE353" s="159" t="str">
        <f>CONCATENATE(U353,V353,W353,X353,AA353)</f>
        <v>O23011745032024025504004</v>
      </c>
      <c r="AF353" s="159" t="str">
        <f>IFERROR(VLOOKUP(AD353,TD!$J$66:$K$89,2,0)," ")</f>
        <v>PM/0131/0104/45030040255</v>
      </c>
      <c r="AG353" s="118" t="s">
        <v>80</v>
      </c>
      <c r="AH353" s="158" t="s">
        <v>194</v>
      </c>
      <c r="AI353" s="161" t="str">
        <f>CONCATENATE(PAA[[#This Row],[Id Interno]],"-",PAA[[#This Row],[tipo de Contrato (TH talento humano - B/S bienes y/o servicios)]],"-",S353,"-",T353,"-",PAA[[#This Row],[Objeto de la contratación]])</f>
        <v>20260317-BS-8173-3-Pago pasivo exigible Subdirección Operativa</v>
      </c>
    </row>
    <row r="354" spans="2:35" ht="56" x14ac:dyDescent="0.35">
      <c r="B354" s="23">
        <v>20260319</v>
      </c>
      <c r="C354" s="99" t="s">
        <v>510</v>
      </c>
      <c r="D354" s="99" t="s">
        <v>78</v>
      </c>
      <c r="E354" s="99" t="s">
        <v>402</v>
      </c>
      <c r="F354" s="156" t="s">
        <v>101</v>
      </c>
      <c r="G354" s="156" t="s">
        <v>373</v>
      </c>
      <c r="H354" s="163">
        <v>12</v>
      </c>
      <c r="I354" s="163">
        <v>0</v>
      </c>
      <c r="J354" s="118">
        <v>500000000</v>
      </c>
      <c r="K354" s="126" t="s">
        <v>398</v>
      </c>
      <c r="L354" s="156" t="s">
        <v>158</v>
      </c>
      <c r="M354" s="162" t="s">
        <v>421</v>
      </c>
      <c r="N354" s="99" t="s">
        <v>198</v>
      </c>
      <c r="O354" s="151" t="s">
        <v>958</v>
      </c>
      <c r="P354" s="156" t="s">
        <v>348</v>
      </c>
      <c r="Q354" s="128">
        <v>80111600</v>
      </c>
      <c r="R354" s="162" t="s">
        <v>211</v>
      </c>
      <c r="S354" s="158" t="str">
        <f>MID(PAA[[#This Row],[Meta Proyecto de Inversión]],1,4)</f>
        <v>8173</v>
      </c>
      <c r="T354" s="158" t="str">
        <f>MID(PAA[[#This Row],[Meta Proyecto de Inversión]],6,1)</f>
        <v>2</v>
      </c>
      <c r="U354" s="159" t="str">
        <f>IFERROR(VLOOKUP(N354,TD!$B$50:$F$54,2,0)," ")</f>
        <v>O230117</v>
      </c>
      <c r="V354" s="159" t="str">
        <f>IFERROR(VLOOKUP(N354,TD!$B$50:$F$54,3,0)," ")</f>
        <v>4503</v>
      </c>
      <c r="W354" s="159">
        <f>IFERROR(VLOOKUP(N354,TD!$B$50:$F$54,4,0)," ")</f>
        <v>20240255</v>
      </c>
      <c r="X354" s="158" t="s">
        <v>178</v>
      </c>
      <c r="Y354" s="159" t="str">
        <f>IFERROR(VLOOKUP(X354,TD!$J$51:$K$64,2,0)," ")</f>
        <v>Servicio de dotación y equipamento para el personal operativo</v>
      </c>
      <c r="Z354" s="160" t="str">
        <f>CONCATENATE(X354,"-",Y354)</f>
        <v>10-Servicio de dotación y equipamento para el personal operativo</v>
      </c>
      <c r="AA354" s="158" t="s">
        <v>221</v>
      </c>
      <c r="AB354" s="159" t="str">
        <f>IFERROR(VLOOKUP(AA354,TD!$N$51:$O$66,2,0)," ")</f>
        <v>Servicio de atención a emergencias y desastres</v>
      </c>
      <c r="AC354" s="160" t="str">
        <f>CONCATENATE(AA354,"_",AB354)</f>
        <v>004_Servicio de atención a emergencias y desastres</v>
      </c>
      <c r="AD354" s="160" t="str">
        <f>CONCATENATE(Z354," ",AC354)</f>
        <v>10-Servicio de dotación y equipamento para el personal operativo 004_Servicio de atención a emergencias y desastres</v>
      </c>
      <c r="AE354" s="159" t="str">
        <f>CONCATENATE(U354,V354,W354,X354,AA354)</f>
        <v>O23011745032024025510004</v>
      </c>
      <c r="AF354" s="159" t="str">
        <f>IFERROR(VLOOKUP(AD354,TD!$J$66:$K$89,2,0)," ")</f>
        <v>PM/0131/0110/45030040255</v>
      </c>
      <c r="AG354" s="118" t="s">
        <v>80</v>
      </c>
      <c r="AH354" s="158" t="s">
        <v>193</v>
      </c>
      <c r="AI354" s="161" t="str">
        <f>CONCATENATE(PAA[[#This Row],[Id Interno]],"-",PAA[[#This Row],[tipo de Contrato (TH talento humano - B/S bienes y/o servicios)]],"-",S354,"-",T354,"-",PAA[[#This Row],[Objeto de la contratación]])</f>
        <v>20260319-BS-8173-2-Adquisición de equipos, herramientas y accesorios (E.H.A.)  para la atención de emergencias de la UAE Cuerpo Oficial de Bomberos de Bogota, S.O.</v>
      </c>
    </row>
    <row r="355" spans="2:35" ht="56" x14ac:dyDescent="0.35">
      <c r="B355" s="23">
        <v>20260320</v>
      </c>
      <c r="C355" s="99" t="s">
        <v>895</v>
      </c>
      <c r="D355" s="99" t="s">
        <v>105</v>
      </c>
      <c r="E355" s="99" t="s">
        <v>363</v>
      </c>
      <c r="F355" s="156" t="s">
        <v>145</v>
      </c>
      <c r="G355" s="156" t="s">
        <v>379</v>
      </c>
      <c r="H355" s="163">
        <v>5</v>
      </c>
      <c r="I355" s="163">
        <v>15</v>
      </c>
      <c r="J355" s="118">
        <v>24915000</v>
      </c>
      <c r="K355" s="126" t="s">
        <v>398</v>
      </c>
      <c r="L355" s="156" t="s">
        <v>158</v>
      </c>
      <c r="M355" s="162" t="s">
        <v>421</v>
      </c>
      <c r="N355" s="99" t="s">
        <v>198</v>
      </c>
      <c r="O355" s="151" t="s">
        <v>958</v>
      </c>
      <c r="P355" s="156" t="s">
        <v>348</v>
      </c>
      <c r="Q355" s="128">
        <v>80111600</v>
      </c>
      <c r="R355" s="162" t="s">
        <v>211</v>
      </c>
      <c r="S355" s="158" t="str">
        <f>MID(PAA[[#This Row],[Meta Proyecto de Inversión]],1,4)</f>
        <v>8173</v>
      </c>
      <c r="T355" s="158" t="str">
        <f>MID(PAA[[#This Row],[Meta Proyecto de Inversión]],6,1)</f>
        <v>2</v>
      </c>
      <c r="U355" s="159" t="str">
        <f>IFERROR(VLOOKUP(N355,TD!$B$50:$F$54,2,0)," ")</f>
        <v>O230117</v>
      </c>
      <c r="V355" s="159" t="str">
        <f>IFERROR(VLOOKUP(N355,TD!$B$50:$F$54,3,0)," ")</f>
        <v>4503</v>
      </c>
      <c r="W355" s="159">
        <f>IFERROR(VLOOKUP(N355,TD!$B$50:$F$54,4,0)," ")</f>
        <v>20240255</v>
      </c>
      <c r="X355" s="158" t="s">
        <v>164</v>
      </c>
      <c r="Y355" s="159" t="str">
        <f>IFERROR(VLOOKUP(X355,TD!$J$51:$K$64,2,0)," ")</f>
        <v>Servicio de atención a incidentes y emergencias.</v>
      </c>
      <c r="Z355" s="160" t="str">
        <f>CONCATENATE(X355,"-",Y355)</f>
        <v>04-Servicio de atención a incidentes y emergencias.</v>
      </c>
      <c r="AA355" s="158" t="s">
        <v>221</v>
      </c>
      <c r="AB355" s="159" t="str">
        <f>IFERROR(VLOOKUP(AA355,TD!$N$51:$O$66,2,0)," ")</f>
        <v>Servicio de atención a emergencias y desastres</v>
      </c>
      <c r="AC355" s="160" t="str">
        <f>CONCATENATE(AA355,"_",AB355)</f>
        <v>004_Servicio de atención a emergencias y desastres</v>
      </c>
      <c r="AD355" s="160" t="str">
        <f>CONCATENATE(Z355," ",AC355)</f>
        <v>04-Servicio de atención a incidentes y emergencias. 004_Servicio de atención a emergencias y desastres</v>
      </c>
      <c r="AE355" s="159" t="str">
        <f>CONCATENATE(U355,V355,W355,X355,AA355)</f>
        <v>O23011745032024025504004</v>
      </c>
      <c r="AF355" s="159" t="str">
        <f>IFERROR(VLOOKUP(AD355,TD!$J$66:$K$89,2,0)," ")</f>
        <v>PM/0131/0104/45030040255</v>
      </c>
      <c r="AG355" s="118" t="s">
        <v>385</v>
      </c>
      <c r="AH355" s="158" t="s">
        <v>193</v>
      </c>
      <c r="AI355" s="161" t="str">
        <f>CONCATENATE(PAA[[#This Row],[Id Interno]],"-",PAA[[#This Row],[tipo de Contrato (TH talento humano - B/S bienes y/o servicios)]],"-",S355,"-",T355,"-",PAA[[#This Row],[Objeto de la contratación]])</f>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v>
      </c>
    </row>
    <row r="356" spans="2:35" ht="56" x14ac:dyDescent="0.35">
      <c r="B356" s="23">
        <v>20260321</v>
      </c>
      <c r="C356" s="99" t="s">
        <v>896</v>
      </c>
      <c r="D356" s="99" t="s">
        <v>105</v>
      </c>
      <c r="E356" s="99" t="s">
        <v>363</v>
      </c>
      <c r="F356" s="156" t="s">
        <v>144</v>
      </c>
      <c r="G356" s="156" t="s">
        <v>379</v>
      </c>
      <c r="H356" s="163">
        <v>5</v>
      </c>
      <c r="I356" s="163">
        <v>0</v>
      </c>
      <c r="J356" s="118">
        <v>48500000</v>
      </c>
      <c r="K356" s="126" t="s">
        <v>398</v>
      </c>
      <c r="L356" s="156" t="s">
        <v>158</v>
      </c>
      <c r="M356" s="162" t="s">
        <v>421</v>
      </c>
      <c r="N356" s="99" t="s">
        <v>198</v>
      </c>
      <c r="O356" s="151" t="s">
        <v>958</v>
      </c>
      <c r="P356" s="156" t="s">
        <v>348</v>
      </c>
      <c r="Q356" s="128">
        <v>80111600</v>
      </c>
      <c r="R356" s="162" t="s">
        <v>211</v>
      </c>
      <c r="S356" s="158" t="str">
        <f>MID(PAA[[#This Row],[Meta Proyecto de Inversión]],1,4)</f>
        <v>8173</v>
      </c>
      <c r="T356" s="158" t="str">
        <f>MID(PAA[[#This Row],[Meta Proyecto de Inversión]],6,1)</f>
        <v>2</v>
      </c>
      <c r="U356" s="159" t="str">
        <f>IFERROR(VLOOKUP(N356,TD!$B$50:$F$54,2,0)," ")</f>
        <v>O230117</v>
      </c>
      <c r="V356" s="159" t="str">
        <f>IFERROR(VLOOKUP(N356,TD!$B$50:$F$54,3,0)," ")</f>
        <v>4503</v>
      </c>
      <c r="W356" s="159">
        <f>IFERROR(VLOOKUP(N356,TD!$B$50:$F$54,4,0)," ")</f>
        <v>20240255</v>
      </c>
      <c r="X356" s="158" t="s">
        <v>164</v>
      </c>
      <c r="Y356" s="159" t="str">
        <f>IFERROR(VLOOKUP(X356,TD!$J$51:$K$64,2,0)," ")</f>
        <v>Servicio de atención a incidentes y emergencias.</v>
      </c>
      <c r="Z356" s="160" t="str">
        <f>CONCATENATE(X356,"-",Y356)</f>
        <v>04-Servicio de atención a incidentes y emergencias.</v>
      </c>
      <c r="AA356" s="158" t="s">
        <v>221</v>
      </c>
      <c r="AB356" s="159" t="str">
        <f>IFERROR(VLOOKUP(AA356,TD!$N$51:$O$66,2,0)," ")</f>
        <v>Servicio de atención a emergencias y desastres</v>
      </c>
      <c r="AC356" s="160" t="str">
        <f>CONCATENATE(AA356,"_",AB356)</f>
        <v>004_Servicio de atención a emergencias y desastres</v>
      </c>
      <c r="AD356" s="160" t="str">
        <f>CONCATENATE(Z356," ",AC356)</f>
        <v>04-Servicio de atención a incidentes y emergencias. 004_Servicio de atención a emergencias y desastres</v>
      </c>
      <c r="AE356" s="159" t="str">
        <f>CONCATENATE(U356,V356,W356,X356,AA356)</f>
        <v>O23011745032024025504004</v>
      </c>
      <c r="AF356" s="159" t="str">
        <f>IFERROR(VLOOKUP(AD356,TD!$J$66:$K$89,2,0)," ")</f>
        <v>PM/0131/0104/45030040255</v>
      </c>
      <c r="AG356" s="118" t="s">
        <v>385</v>
      </c>
      <c r="AH356" s="158" t="s">
        <v>193</v>
      </c>
      <c r="AI356" s="161" t="str">
        <f>CONCATENATE(PAA[[#This Row],[Id Interno]],"-",PAA[[#This Row],[tipo de Contrato (TH talento humano - B/S bienes y/o servicios)]],"-",S356,"-",T356,"-",PAA[[#This Row],[Objeto de la contratación]])</f>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v>
      </c>
    </row>
    <row r="357" spans="2:35" ht="56" x14ac:dyDescent="0.35">
      <c r="B357" s="23">
        <v>20260322</v>
      </c>
      <c r="C357" s="99" t="s">
        <v>897</v>
      </c>
      <c r="D357" s="99" t="s">
        <v>105</v>
      </c>
      <c r="E357" s="99" t="s">
        <v>363</v>
      </c>
      <c r="F357" s="156" t="s">
        <v>144</v>
      </c>
      <c r="G357" s="156" t="s">
        <v>379</v>
      </c>
      <c r="H357" s="163">
        <v>4</v>
      </c>
      <c r="I357" s="163">
        <v>0</v>
      </c>
      <c r="J357" s="118">
        <v>26400000</v>
      </c>
      <c r="K357" s="126" t="s">
        <v>398</v>
      </c>
      <c r="L357" s="156" t="s">
        <v>158</v>
      </c>
      <c r="M357" s="162" t="s">
        <v>421</v>
      </c>
      <c r="N357" s="99" t="s">
        <v>198</v>
      </c>
      <c r="O357" s="151" t="s">
        <v>958</v>
      </c>
      <c r="P357" s="156" t="s">
        <v>348</v>
      </c>
      <c r="Q357" s="128">
        <v>80111600</v>
      </c>
      <c r="R357" s="162" t="s">
        <v>211</v>
      </c>
      <c r="S357" s="158" t="str">
        <f>MID(PAA[[#This Row],[Meta Proyecto de Inversión]],1,4)</f>
        <v>8173</v>
      </c>
      <c r="T357" s="158" t="str">
        <f>MID(PAA[[#This Row],[Meta Proyecto de Inversión]],6,1)</f>
        <v>2</v>
      </c>
      <c r="U357" s="159" t="str">
        <f>IFERROR(VLOOKUP(N357,TD!$B$50:$F$54,2,0)," ")</f>
        <v>O230117</v>
      </c>
      <c r="V357" s="159" t="str">
        <f>IFERROR(VLOOKUP(N357,TD!$B$50:$F$54,3,0)," ")</f>
        <v>4503</v>
      </c>
      <c r="W357" s="159">
        <f>IFERROR(VLOOKUP(N357,TD!$B$50:$F$54,4,0)," ")</f>
        <v>20240255</v>
      </c>
      <c r="X357" s="158" t="s">
        <v>164</v>
      </c>
      <c r="Y357" s="159" t="str">
        <f>IFERROR(VLOOKUP(X357,TD!$J$51:$K$64,2,0)," ")</f>
        <v>Servicio de atención a incidentes y emergencias.</v>
      </c>
      <c r="Z357" s="160" t="str">
        <f>CONCATENATE(X357,"-",Y357)</f>
        <v>04-Servicio de atención a incidentes y emergencias.</v>
      </c>
      <c r="AA357" s="158" t="s">
        <v>221</v>
      </c>
      <c r="AB357" s="159" t="str">
        <f>IFERROR(VLOOKUP(AA357,TD!$N$51:$O$66,2,0)," ")</f>
        <v>Servicio de atención a emergencias y desastres</v>
      </c>
      <c r="AC357" s="160" t="str">
        <f>CONCATENATE(AA357,"_",AB357)</f>
        <v>004_Servicio de atención a emergencias y desastres</v>
      </c>
      <c r="AD357" s="160" t="str">
        <f>CONCATENATE(Z357," ",AC357)</f>
        <v>04-Servicio de atención a incidentes y emergencias. 004_Servicio de atención a emergencias y desastres</v>
      </c>
      <c r="AE357" s="159" t="str">
        <f>CONCATENATE(U357,V357,W357,X357,AA357)</f>
        <v>O23011745032024025504004</v>
      </c>
      <c r="AF357" s="159" t="str">
        <f>IFERROR(VLOOKUP(AD357,TD!$J$66:$K$89,2,0)," ")</f>
        <v>PM/0131/0104/45030040255</v>
      </c>
      <c r="AG357" s="118" t="s">
        <v>385</v>
      </c>
      <c r="AH357" s="158" t="s">
        <v>193</v>
      </c>
      <c r="AI357" s="161" t="str">
        <f>CONCATENATE(PAA[[#This Row],[Id Interno]],"-",PAA[[#This Row],[tipo de Contrato (TH talento humano - B/S bienes y/o servicios)]],"-",S357,"-",T357,"-",PAA[[#This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58" spans="2:35" ht="56" x14ac:dyDescent="0.35">
      <c r="B358" s="23">
        <v>20260323</v>
      </c>
      <c r="C358" s="99" t="s">
        <v>898</v>
      </c>
      <c r="D358" s="99" t="s">
        <v>105</v>
      </c>
      <c r="E358" s="99" t="s">
        <v>363</v>
      </c>
      <c r="F358" s="156" t="s">
        <v>144</v>
      </c>
      <c r="G358" s="156" t="s">
        <v>379</v>
      </c>
      <c r="H358" s="163">
        <v>5</v>
      </c>
      <c r="I358" s="163">
        <v>0</v>
      </c>
      <c r="J358" s="118">
        <v>48500000</v>
      </c>
      <c r="K358" s="126" t="s">
        <v>398</v>
      </c>
      <c r="L358" s="156" t="s">
        <v>158</v>
      </c>
      <c r="M358" s="162" t="s">
        <v>421</v>
      </c>
      <c r="N358" s="99" t="s">
        <v>198</v>
      </c>
      <c r="O358" s="151" t="s">
        <v>958</v>
      </c>
      <c r="P358" s="156" t="s">
        <v>348</v>
      </c>
      <c r="Q358" s="128">
        <v>80111600</v>
      </c>
      <c r="R358" s="162" t="s">
        <v>211</v>
      </c>
      <c r="S358" s="158" t="str">
        <f>MID(PAA[[#This Row],[Meta Proyecto de Inversión]],1,4)</f>
        <v>8173</v>
      </c>
      <c r="T358" s="158" t="str">
        <f>MID(PAA[[#This Row],[Meta Proyecto de Inversión]],6,1)</f>
        <v>2</v>
      </c>
      <c r="U358" s="159" t="str">
        <f>IFERROR(VLOOKUP(N358,TD!$B$50:$F$54,2,0)," ")</f>
        <v>O230117</v>
      </c>
      <c r="V358" s="159" t="str">
        <f>IFERROR(VLOOKUP(N358,TD!$B$50:$F$54,3,0)," ")</f>
        <v>4503</v>
      </c>
      <c r="W358" s="159">
        <f>IFERROR(VLOOKUP(N358,TD!$B$50:$F$54,4,0)," ")</f>
        <v>20240255</v>
      </c>
      <c r="X358" s="158" t="s">
        <v>164</v>
      </c>
      <c r="Y358" s="159" t="str">
        <f>IFERROR(VLOOKUP(X358,TD!$J$51:$K$64,2,0)," ")</f>
        <v>Servicio de atención a incidentes y emergencias.</v>
      </c>
      <c r="Z358" s="160" t="str">
        <f>CONCATENATE(X358,"-",Y358)</f>
        <v>04-Servicio de atención a incidentes y emergencias.</v>
      </c>
      <c r="AA358" s="158" t="s">
        <v>221</v>
      </c>
      <c r="AB358" s="159" t="str">
        <f>IFERROR(VLOOKUP(AA358,TD!$N$51:$O$66,2,0)," ")</f>
        <v>Servicio de atención a emergencias y desastres</v>
      </c>
      <c r="AC358" s="160" t="str">
        <f>CONCATENATE(AA358,"_",AB358)</f>
        <v>004_Servicio de atención a emergencias y desastres</v>
      </c>
      <c r="AD358" s="160" t="str">
        <f>CONCATENATE(Z358," ",AC358)</f>
        <v>04-Servicio de atención a incidentes y emergencias. 004_Servicio de atención a emergencias y desastres</v>
      </c>
      <c r="AE358" s="159" t="str">
        <f>CONCATENATE(U358,V358,W358,X358,AA358)</f>
        <v>O23011745032024025504004</v>
      </c>
      <c r="AF358" s="159" t="str">
        <f>IFERROR(VLOOKUP(AD358,TD!$J$66:$K$89,2,0)," ")</f>
        <v>PM/0131/0104/45030040255</v>
      </c>
      <c r="AG358" s="118" t="s">
        <v>385</v>
      </c>
      <c r="AH358" s="158" t="s">
        <v>193</v>
      </c>
      <c r="AI358" s="161" t="str">
        <f>CONCATENATE(PAA[[#This Row],[Id Interno]],"-",PAA[[#This Row],[tipo de Contrato (TH talento humano - B/S bienes y/o servicios)]],"-",S358,"-",T358,"-",PAA[[#This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59" spans="2:35" ht="56" x14ac:dyDescent="0.35">
      <c r="B359" s="23">
        <v>20260324</v>
      </c>
      <c r="C359" s="99" t="s">
        <v>899</v>
      </c>
      <c r="D359" s="99" t="s">
        <v>105</v>
      </c>
      <c r="E359" s="99" t="s">
        <v>363</v>
      </c>
      <c r="F359" s="156" t="s">
        <v>144</v>
      </c>
      <c r="G359" s="156" t="s">
        <v>379</v>
      </c>
      <c r="H359" s="163">
        <v>5</v>
      </c>
      <c r="I359" s="163">
        <v>0</v>
      </c>
      <c r="J359" s="118">
        <v>48500000</v>
      </c>
      <c r="K359" s="126" t="s">
        <v>398</v>
      </c>
      <c r="L359" s="156" t="s">
        <v>158</v>
      </c>
      <c r="M359" s="162" t="s">
        <v>421</v>
      </c>
      <c r="N359" s="99" t="s">
        <v>198</v>
      </c>
      <c r="O359" s="151" t="s">
        <v>958</v>
      </c>
      <c r="P359" s="156" t="s">
        <v>348</v>
      </c>
      <c r="Q359" s="128">
        <v>80111600</v>
      </c>
      <c r="R359" s="162" t="s">
        <v>211</v>
      </c>
      <c r="S359" s="158" t="str">
        <f>MID(PAA[[#This Row],[Meta Proyecto de Inversión]],1,4)</f>
        <v>8173</v>
      </c>
      <c r="T359" s="158" t="str">
        <f>MID(PAA[[#This Row],[Meta Proyecto de Inversión]],6,1)</f>
        <v>2</v>
      </c>
      <c r="U359" s="159" t="str">
        <f>IFERROR(VLOOKUP(N359,TD!$B$50:$F$54,2,0)," ")</f>
        <v>O230117</v>
      </c>
      <c r="V359" s="159" t="str">
        <f>IFERROR(VLOOKUP(N359,TD!$B$50:$F$54,3,0)," ")</f>
        <v>4503</v>
      </c>
      <c r="W359" s="159">
        <f>IFERROR(VLOOKUP(N359,TD!$B$50:$F$54,4,0)," ")</f>
        <v>20240255</v>
      </c>
      <c r="X359" s="158" t="s">
        <v>164</v>
      </c>
      <c r="Y359" s="159" t="str">
        <f>IFERROR(VLOOKUP(X359,TD!$J$51:$K$64,2,0)," ")</f>
        <v>Servicio de atención a incidentes y emergencias.</v>
      </c>
      <c r="Z359" s="160" t="str">
        <f>CONCATENATE(X359,"-",Y359)</f>
        <v>04-Servicio de atención a incidentes y emergencias.</v>
      </c>
      <c r="AA359" s="158" t="s">
        <v>221</v>
      </c>
      <c r="AB359" s="159" t="str">
        <f>IFERROR(VLOOKUP(AA359,TD!$N$51:$O$66,2,0)," ")</f>
        <v>Servicio de atención a emergencias y desastres</v>
      </c>
      <c r="AC359" s="160" t="str">
        <f>CONCATENATE(AA359,"_",AB359)</f>
        <v>004_Servicio de atención a emergencias y desastres</v>
      </c>
      <c r="AD359" s="160" t="str">
        <f>CONCATENATE(Z359," ",AC359)</f>
        <v>04-Servicio de atención a incidentes y emergencias. 004_Servicio de atención a emergencias y desastres</v>
      </c>
      <c r="AE359" s="159" t="str">
        <f>CONCATENATE(U359,V359,W359,X359,AA359)</f>
        <v>O23011745032024025504004</v>
      </c>
      <c r="AF359" s="159" t="str">
        <f>IFERROR(VLOOKUP(AD359,TD!$J$66:$K$89,2,0)," ")</f>
        <v>PM/0131/0104/45030040255</v>
      </c>
      <c r="AG359" s="118" t="s">
        <v>385</v>
      </c>
      <c r="AH359" s="158" t="s">
        <v>193</v>
      </c>
      <c r="AI359" s="161" t="str">
        <f>CONCATENATE(PAA[[#This Row],[Id Interno]],"-",PAA[[#This Row],[tipo de Contrato (TH talento humano - B/S bienes y/o servicios)]],"-",S359,"-",T359,"-",PAA[[#This Row],[Objeto de la contratación]])</f>
        <v>20260324-TH-8173-2-Prestación de servicios profesionales jurídicos para  realizar el seguimiento y control de las actividades de gestión propias de los procesos y procedimientos, para el acompañamiento de los programas de la Subdirección Operativa-S.O.</v>
      </c>
    </row>
    <row r="360" spans="2:35" ht="56" x14ac:dyDescent="0.35">
      <c r="B360" s="23">
        <v>20260325</v>
      </c>
      <c r="C360" s="99" t="s">
        <v>900</v>
      </c>
      <c r="D360" s="99" t="s">
        <v>105</v>
      </c>
      <c r="E360" s="99" t="s">
        <v>363</v>
      </c>
      <c r="F360" s="156" t="s">
        <v>144</v>
      </c>
      <c r="G360" s="156" t="s">
        <v>379</v>
      </c>
      <c r="H360" s="163">
        <v>5</v>
      </c>
      <c r="I360" s="163">
        <v>0</v>
      </c>
      <c r="J360" s="118">
        <v>48500000</v>
      </c>
      <c r="K360" s="126" t="s">
        <v>398</v>
      </c>
      <c r="L360" s="156" t="s">
        <v>158</v>
      </c>
      <c r="M360" s="162" t="s">
        <v>421</v>
      </c>
      <c r="N360" s="99" t="s">
        <v>198</v>
      </c>
      <c r="O360" s="151" t="s">
        <v>958</v>
      </c>
      <c r="P360" s="156" t="s">
        <v>348</v>
      </c>
      <c r="Q360" s="128">
        <v>80111600</v>
      </c>
      <c r="R360" s="162" t="s">
        <v>211</v>
      </c>
      <c r="S360" s="158" t="str">
        <f>MID(PAA[[#This Row],[Meta Proyecto de Inversión]],1,4)</f>
        <v>8173</v>
      </c>
      <c r="T360" s="158" t="str">
        <f>MID(PAA[[#This Row],[Meta Proyecto de Inversión]],6,1)</f>
        <v>2</v>
      </c>
      <c r="U360" s="159" t="str">
        <f>IFERROR(VLOOKUP(N360,TD!$B$50:$F$54,2,0)," ")</f>
        <v>O230117</v>
      </c>
      <c r="V360" s="159" t="str">
        <f>IFERROR(VLOOKUP(N360,TD!$B$50:$F$54,3,0)," ")</f>
        <v>4503</v>
      </c>
      <c r="W360" s="159">
        <f>IFERROR(VLOOKUP(N360,TD!$B$50:$F$54,4,0)," ")</f>
        <v>20240255</v>
      </c>
      <c r="X360" s="158" t="s">
        <v>164</v>
      </c>
      <c r="Y360" s="159" t="str">
        <f>IFERROR(VLOOKUP(X360,TD!$J$51:$K$64,2,0)," ")</f>
        <v>Servicio de atención a incidentes y emergencias.</v>
      </c>
      <c r="Z360" s="160" t="str">
        <f>CONCATENATE(X360,"-",Y360)</f>
        <v>04-Servicio de atención a incidentes y emergencias.</v>
      </c>
      <c r="AA360" s="158" t="s">
        <v>221</v>
      </c>
      <c r="AB360" s="159" t="str">
        <f>IFERROR(VLOOKUP(AA360,TD!$N$51:$O$66,2,0)," ")</f>
        <v>Servicio de atención a emergencias y desastres</v>
      </c>
      <c r="AC360" s="160" t="str">
        <f>CONCATENATE(AA360,"_",AB360)</f>
        <v>004_Servicio de atención a emergencias y desastres</v>
      </c>
      <c r="AD360" s="160" t="str">
        <f>CONCATENATE(Z360," ",AC360)</f>
        <v>04-Servicio de atención a incidentes y emergencias. 004_Servicio de atención a emergencias y desastres</v>
      </c>
      <c r="AE360" s="159" t="str">
        <f>CONCATENATE(U360,V360,W360,X360,AA360)</f>
        <v>O23011745032024025504004</v>
      </c>
      <c r="AF360" s="159" t="str">
        <f>IFERROR(VLOOKUP(AD360,TD!$J$66:$K$89,2,0)," ")</f>
        <v>PM/0131/0104/45030040255</v>
      </c>
      <c r="AG360" s="118" t="s">
        <v>385</v>
      </c>
      <c r="AH360" s="158" t="s">
        <v>193</v>
      </c>
      <c r="AI360" s="161" t="str">
        <f>CONCATENATE(PAA[[#This Row],[Id Interno]],"-",PAA[[#This Row],[tipo de Contrato (TH talento humano - B/S bienes y/o servicios)]],"-",S360,"-",T360,"-",PAA[[#This Row],[Objeto de la contratación]])</f>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v>
      </c>
    </row>
    <row r="361" spans="2:35" ht="56" x14ac:dyDescent="0.35">
      <c r="B361" s="23">
        <v>20260326</v>
      </c>
      <c r="C361" s="99" t="s">
        <v>901</v>
      </c>
      <c r="D361" s="99" t="s">
        <v>105</v>
      </c>
      <c r="E361" s="99" t="s">
        <v>363</v>
      </c>
      <c r="F361" s="156" t="s">
        <v>144</v>
      </c>
      <c r="G361" s="156" t="s">
        <v>379</v>
      </c>
      <c r="H361" s="163">
        <v>5</v>
      </c>
      <c r="I361" s="163">
        <v>0</v>
      </c>
      <c r="J361" s="118">
        <v>33500000</v>
      </c>
      <c r="K361" s="126" t="s">
        <v>398</v>
      </c>
      <c r="L361" s="156" t="s">
        <v>158</v>
      </c>
      <c r="M361" s="162" t="s">
        <v>421</v>
      </c>
      <c r="N361" s="99" t="s">
        <v>198</v>
      </c>
      <c r="O361" s="151" t="s">
        <v>958</v>
      </c>
      <c r="P361" s="156" t="s">
        <v>348</v>
      </c>
      <c r="Q361" s="128">
        <v>80111600</v>
      </c>
      <c r="R361" s="162" t="s">
        <v>211</v>
      </c>
      <c r="S361" s="158" t="str">
        <f>MID(PAA[[#This Row],[Meta Proyecto de Inversión]],1,4)</f>
        <v>8173</v>
      </c>
      <c r="T361" s="158" t="str">
        <f>MID(PAA[[#This Row],[Meta Proyecto de Inversión]],6,1)</f>
        <v>2</v>
      </c>
      <c r="U361" s="159" t="str">
        <f>IFERROR(VLOOKUP(N361,TD!$B$50:$F$54,2,0)," ")</f>
        <v>O230117</v>
      </c>
      <c r="V361" s="159" t="str">
        <f>IFERROR(VLOOKUP(N361,TD!$B$50:$F$54,3,0)," ")</f>
        <v>4503</v>
      </c>
      <c r="W361" s="159">
        <f>IFERROR(VLOOKUP(N361,TD!$B$50:$F$54,4,0)," ")</f>
        <v>20240255</v>
      </c>
      <c r="X361" s="158" t="s">
        <v>164</v>
      </c>
      <c r="Y361" s="159" t="str">
        <f>IFERROR(VLOOKUP(X361,TD!$J$51:$K$64,2,0)," ")</f>
        <v>Servicio de atención a incidentes y emergencias.</v>
      </c>
      <c r="Z361" s="160" t="str">
        <f>CONCATENATE(X361,"-",Y361)</f>
        <v>04-Servicio de atención a incidentes y emergencias.</v>
      </c>
      <c r="AA361" s="158" t="s">
        <v>221</v>
      </c>
      <c r="AB361" s="159" t="str">
        <f>IFERROR(VLOOKUP(AA361,TD!$N$51:$O$66,2,0)," ")</f>
        <v>Servicio de atención a emergencias y desastres</v>
      </c>
      <c r="AC361" s="160" t="str">
        <f>CONCATENATE(AA361,"_",AB361)</f>
        <v>004_Servicio de atención a emergencias y desastres</v>
      </c>
      <c r="AD361" s="160" t="str">
        <f>CONCATENATE(Z361," ",AC361)</f>
        <v>04-Servicio de atención a incidentes y emergencias. 004_Servicio de atención a emergencias y desastres</v>
      </c>
      <c r="AE361" s="159" t="str">
        <f>CONCATENATE(U361,V361,W361,X361,AA361)</f>
        <v>O23011745032024025504004</v>
      </c>
      <c r="AF361" s="159" t="str">
        <f>IFERROR(VLOOKUP(AD361,TD!$J$66:$K$89,2,0)," ")</f>
        <v>PM/0131/0104/45030040255</v>
      </c>
      <c r="AG361" s="118" t="s">
        <v>385</v>
      </c>
      <c r="AH361" s="158" t="s">
        <v>193</v>
      </c>
      <c r="AI361" s="161" t="str">
        <f>CONCATENATE(PAA[[#This Row],[Id Interno]],"-",PAA[[#This Row],[tipo de Contrato (TH talento humano - B/S bienes y/o servicios)]],"-",S361,"-",T361,"-",PAA[[#This Row],[Objeto de la contratación]])</f>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v>
      </c>
    </row>
    <row r="362" spans="2:35" ht="56" x14ac:dyDescent="0.35">
      <c r="B362" s="23">
        <v>20260327</v>
      </c>
      <c r="C362" s="99" t="s">
        <v>902</v>
      </c>
      <c r="D362" s="99" t="s">
        <v>105</v>
      </c>
      <c r="E362" s="99" t="s">
        <v>363</v>
      </c>
      <c r="F362" s="156" t="s">
        <v>144</v>
      </c>
      <c r="G362" s="156" t="s">
        <v>379</v>
      </c>
      <c r="H362" s="163">
        <v>5</v>
      </c>
      <c r="I362" s="163">
        <v>0</v>
      </c>
      <c r="J362" s="118">
        <v>36000000</v>
      </c>
      <c r="K362" s="126" t="s">
        <v>398</v>
      </c>
      <c r="L362" s="156" t="s">
        <v>158</v>
      </c>
      <c r="M362" s="162" t="s">
        <v>421</v>
      </c>
      <c r="N362" s="99" t="s">
        <v>198</v>
      </c>
      <c r="O362" s="151" t="s">
        <v>958</v>
      </c>
      <c r="P362" s="156" t="s">
        <v>348</v>
      </c>
      <c r="Q362" s="128">
        <v>80111600</v>
      </c>
      <c r="R362" s="162" t="s">
        <v>211</v>
      </c>
      <c r="S362" s="158" t="str">
        <f>MID(PAA[[#This Row],[Meta Proyecto de Inversión]],1,4)</f>
        <v>8173</v>
      </c>
      <c r="T362" s="158" t="str">
        <f>MID(PAA[[#This Row],[Meta Proyecto de Inversión]],6,1)</f>
        <v>2</v>
      </c>
      <c r="U362" s="159" t="str">
        <f>IFERROR(VLOOKUP(N362,TD!$B$50:$F$54,2,0)," ")</f>
        <v>O230117</v>
      </c>
      <c r="V362" s="159" t="str">
        <f>IFERROR(VLOOKUP(N362,TD!$B$50:$F$54,3,0)," ")</f>
        <v>4503</v>
      </c>
      <c r="W362" s="159">
        <f>IFERROR(VLOOKUP(N362,TD!$B$50:$F$54,4,0)," ")</f>
        <v>20240255</v>
      </c>
      <c r="X362" s="158" t="s">
        <v>164</v>
      </c>
      <c r="Y362" s="159" t="str">
        <f>IFERROR(VLOOKUP(X362,TD!$J$51:$K$64,2,0)," ")</f>
        <v>Servicio de atención a incidentes y emergencias.</v>
      </c>
      <c r="Z362" s="160" t="str">
        <f>CONCATENATE(X362,"-",Y362)</f>
        <v>04-Servicio de atención a incidentes y emergencias.</v>
      </c>
      <c r="AA362" s="158" t="s">
        <v>221</v>
      </c>
      <c r="AB362" s="159" t="str">
        <f>IFERROR(VLOOKUP(AA362,TD!$N$51:$O$66,2,0)," ")</f>
        <v>Servicio de atención a emergencias y desastres</v>
      </c>
      <c r="AC362" s="160" t="str">
        <f>CONCATENATE(AA362,"_",AB362)</f>
        <v>004_Servicio de atención a emergencias y desastres</v>
      </c>
      <c r="AD362" s="160" t="str">
        <f>CONCATENATE(Z362," ",AC362)</f>
        <v>04-Servicio de atención a incidentes y emergencias. 004_Servicio de atención a emergencias y desastres</v>
      </c>
      <c r="AE362" s="159" t="str">
        <f>CONCATENATE(U362,V362,W362,X362,AA362)</f>
        <v>O23011745032024025504004</v>
      </c>
      <c r="AF362" s="159" t="str">
        <f>IFERROR(VLOOKUP(AD362,TD!$J$66:$K$89,2,0)," ")</f>
        <v>PM/0131/0104/45030040255</v>
      </c>
      <c r="AG362" s="118" t="s">
        <v>385</v>
      </c>
      <c r="AH362" s="158" t="s">
        <v>193</v>
      </c>
      <c r="AI362" s="161" t="str">
        <f>CONCATENATE(PAA[[#This Row],[Id Interno]],"-",PAA[[#This Row],[tipo de Contrato (TH talento humano - B/S bienes y/o servicios)]],"-",S362,"-",T362,"-",PAA[[#This Row],[Objeto de la contratación]])</f>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v>
      </c>
    </row>
    <row r="363" spans="2:35" ht="56" x14ac:dyDescent="0.35">
      <c r="B363" s="23">
        <v>20260328</v>
      </c>
      <c r="C363" s="99" t="s">
        <v>903</v>
      </c>
      <c r="D363" s="99" t="s">
        <v>105</v>
      </c>
      <c r="E363" s="99" t="s">
        <v>363</v>
      </c>
      <c r="F363" s="156" t="s">
        <v>144</v>
      </c>
      <c r="G363" s="156" t="s">
        <v>379</v>
      </c>
      <c r="H363" s="163">
        <v>5</v>
      </c>
      <c r="I363" s="163">
        <v>0</v>
      </c>
      <c r="J363" s="118">
        <v>42500000</v>
      </c>
      <c r="K363" s="126" t="s">
        <v>398</v>
      </c>
      <c r="L363" s="156" t="s">
        <v>158</v>
      </c>
      <c r="M363" s="162" t="s">
        <v>421</v>
      </c>
      <c r="N363" s="99" t="s">
        <v>198</v>
      </c>
      <c r="O363" s="151" t="s">
        <v>958</v>
      </c>
      <c r="P363" s="156" t="s">
        <v>348</v>
      </c>
      <c r="Q363" s="128">
        <v>80111600</v>
      </c>
      <c r="R363" s="162" t="s">
        <v>211</v>
      </c>
      <c r="S363" s="158" t="str">
        <f>MID(PAA[[#This Row],[Meta Proyecto de Inversión]],1,4)</f>
        <v>8173</v>
      </c>
      <c r="T363" s="158" t="str">
        <f>MID(PAA[[#This Row],[Meta Proyecto de Inversión]],6,1)</f>
        <v>2</v>
      </c>
      <c r="U363" s="159" t="str">
        <f>IFERROR(VLOOKUP(N363,TD!$B$50:$F$54,2,0)," ")</f>
        <v>O230117</v>
      </c>
      <c r="V363" s="159" t="str">
        <f>IFERROR(VLOOKUP(N363,TD!$B$50:$F$54,3,0)," ")</f>
        <v>4503</v>
      </c>
      <c r="W363" s="159">
        <f>IFERROR(VLOOKUP(N363,TD!$B$50:$F$54,4,0)," ")</f>
        <v>20240255</v>
      </c>
      <c r="X363" s="158" t="s">
        <v>164</v>
      </c>
      <c r="Y363" s="159" t="str">
        <f>IFERROR(VLOOKUP(X363,TD!$J$51:$K$64,2,0)," ")</f>
        <v>Servicio de atención a incidentes y emergencias.</v>
      </c>
      <c r="Z363" s="160" t="str">
        <f>CONCATENATE(X363,"-",Y363)</f>
        <v>04-Servicio de atención a incidentes y emergencias.</v>
      </c>
      <c r="AA363" s="158" t="s">
        <v>221</v>
      </c>
      <c r="AB363" s="159" t="str">
        <f>IFERROR(VLOOKUP(AA363,TD!$N$51:$O$66,2,0)," ")</f>
        <v>Servicio de atención a emergencias y desastres</v>
      </c>
      <c r="AC363" s="160" t="str">
        <f>CONCATENATE(AA363,"_",AB363)</f>
        <v>004_Servicio de atención a emergencias y desastres</v>
      </c>
      <c r="AD363" s="160" t="str">
        <f>CONCATENATE(Z363," ",AC363)</f>
        <v>04-Servicio de atención a incidentes y emergencias. 004_Servicio de atención a emergencias y desastres</v>
      </c>
      <c r="AE363" s="159" t="str">
        <f>CONCATENATE(U363,V363,W363,X363,AA363)</f>
        <v>O23011745032024025504004</v>
      </c>
      <c r="AF363" s="159" t="str">
        <f>IFERROR(VLOOKUP(AD363,TD!$J$66:$K$89,2,0)," ")</f>
        <v>PM/0131/0104/45030040255</v>
      </c>
      <c r="AG363" s="118" t="s">
        <v>385</v>
      </c>
      <c r="AH363" s="158" t="s">
        <v>193</v>
      </c>
      <c r="AI363" s="161" t="str">
        <f>CONCATENATE(PAA[[#This Row],[Id Interno]],"-",PAA[[#This Row],[tipo de Contrato (TH talento humano - B/S bienes y/o servicios)]],"-",S363,"-",T363,"-",PAA[[#This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64" spans="2:35" ht="56" x14ac:dyDescent="0.35">
      <c r="B364" s="23">
        <v>20260329</v>
      </c>
      <c r="C364" s="99" t="s">
        <v>904</v>
      </c>
      <c r="D364" s="99" t="s">
        <v>105</v>
      </c>
      <c r="E364" s="99" t="s">
        <v>363</v>
      </c>
      <c r="F364" s="156" t="s">
        <v>144</v>
      </c>
      <c r="G364" s="156" t="s">
        <v>379</v>
      </c>
      <c r="H364" s="163">
        <v>5</v>
      </c>
      <c r="I364" s="163">
        <v>0</v>
      </c>
      <c r="J364" s="118">
        <v>48500000</v>
      </c>
      <c r="K364" s="126" t="s">
        <v>398</v>
      </c>
      <c r="L364" s="156" t="s">
        <v>158</v>
      </c>
      <c r="M364" s="162" t="s">
        <v>421</v>
      </c>
      <c r="N364" s="99" t="s">
        <v>198</v>
      </c>
      <c r="O364" s="151" t="s">
        <v>958</v>
      </c>
      <c r="P364" s="156" t="s">
        <v>348</v>
      </c>
      <c r="Q364" s="128">
        <v>80111600</v>
      </c>
      <c r="R364" s="162" t="s">
        <v>211</v>
      </c>
      <c r="S364" s="158" t="str">
        <f>MID(PAA[[#This Row],[Meta Proyecto de Inversión]],1,4)</f>
        <v>8173</v>
      </c>
      <c r="T364" s="158" t="str">
        <f>MID(PAA[[#This Row],[Meta Proyecto de Inversión]],6,1)</f>
        <v>2</v>
      </c>
      <c r="U364" s="159" t="str">
        <f>IFERROR(VLOOKUP(N364,TD!$B$50:$F$54,2,0)," ")</f>
        <v>O230117</v>
      </c>
      <c r="V364" s="159" t="str">
        <f>IFERROR(VLOOKUP(N364,TD!$B$50:$F$54,3,0)," ")</f>
        <v>4503</v>
      </c>
      <c r="W364" s="159">
        <f>IFERROR(VLOOKUP(N364,TD!$B$50:$F$54,4,0)," ")</f>
        <v>20240255</v>
      </c>
      <c r="X364" s="158" t="s">
        <v>164</v>
      </c>
      <c r="Y364" s="159" t="str">
        <f>IFERROR(VLOOKUP(X364,TD!$J$51:$K$64,2,0)," ")</f>
        <v>Servicio de atención a incidentes y emergencias.</v>
      </c>
      <c r="Z364" s="160" t="str">
        <f>CONCATENATE(X364,"-",Y364)</f>
        <v>04-Servicio de atención a incidentes y emergencias.</v>
      </c>
      <c r="AA364" s="158" t="s">
        <v>221</v>
      </c>
      <c r="AB364" s="159" t="str">
        <f>IFERROR(VLOOKUP(AA364,TD!$N$51:$O$66,2,0)," ")</f>
        <v>Servicio de atención a emergencias y desastres</v>
      </c>
      <c r="AC364" s="160" t="str">
        <f>CONCATENATE(AA364,"_",AB364)</f>
        <v>004_Servicio de atención a emergencias y desastres</v>
      </c>
      <c r="AD364" s="160" t="str">
        <f>CONCATENATE(Z364," ",AC364)</f>
        <v>04-Servicio de atención a incidentes y emergencias. 004_Servicio de atención a emergencias y desastres</v>
      </c>
      <c r="AE364" s="159" t="str">
        <f>CONCATENATE(U364,V364,W364,X364,AA364)</f>
        <v>O23011745032024025504004</v>
      </c>
      <c r="AF364" s="159" t="str">
        <f>IFERROR(VLOOKUP(AD364,TD!$J$66:$K$89,2,0)," ")</f>
        <v>PM/0131/0104/45030040255</v>
      </c>
      <c r="AG364" s="118" t="s">
        <v>385</v>
      </c>
      <c r="AH364" s="158" t="s">
        <v>193</v>
      </c>
      <c r="AI364" s="161" t="str">
        <f>CONCATENATE(PAA[[#This Row],[Id Interno]],"-",PAA[[#This Row],[tipo de Contrato (TH talento humano - B/S bienes y/o servicios)]],"-",S364,"-",T364,"-",PAA[[#This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65" spans="2:35" ht="56" x14ac:dyDescent="0.35">
      <c r="B365" s="23">
        <v>20260330</v>
      </c>
      <c r="C365" s="99" t="s">
        <v>905</v>
      </c>
      <c r="D365" s="99" t="s">
        <v>105</v>
      </c>
      <c r="E365" s="99" t="s">
        <v>363</v>
      </c>
      <c r="F365" s="156" t="s">
        <v>145</v>
      </c>
      <c r="G365" s="156" t="s">
        <v>379</v>
      </c>
      <c r="H365" s="163">
        <v>6</v>
      </c>
      <c r="I365" s="163">
        <v>0</v>
      </c>
      <c r="J365" s="118">
        <v>18900000</v>
      </c>
      <c r="K365" s="126" t="s">
        <v>398</v>
      </c>
      <c r="L365" s="156" t="s">
        <v>158</v>
      </c>
      <c r="M365" s="162" t="s">
        <v>421</v>
      </c>
      <c r="N365" s="99" t="s">
        <v>198</v>
      </c>
      <c r="O365" s="151" t="s">
        <v>958</v>
      </c>
      <c r="P365" s="156" t="s">
        <v>348</v>
      </c>
      <c r="Q365" s="128">
        <v>80111600</v>
      </c>
      <c r="R365" s="162" t="s">
        <v>211</v>
      </c>
      <c r="S365" s="158" t="str">
        <f>MID(PAA[[#This Row],[Meta Proyecto de Inversión]],1,4)</f>
        <v>8173</v>
      </c>
      <c r="T365" s="158" t="str">
        <f>MID(PAA[[#This Row],[Meta Proyecto de Inversión]],6,1)</f>
        <v>2</v>
      </c>
      <c r="U365" s="159" t="str">
        <f>IFERROR(VLOOKUP(N365,TD!$B$50:$F$54,2,0)," ")</f>
        <v>O230117</v>
      </c>
      <c r="V365" s="159" t="str">
        <f>IFERROR(VLOOKUP(N365,TD!$B$50:$F$54,3,0)," ")</f>
        <v>4503</v>
      </c>
      <c r="W365" s="159">
        <f>IFERROR(VLOOKUP(N365,TD!$B$50:$F$54,4,0)," ")</f>
        <v>20240255</v>
      </c>
      <c r="X365" s="158" t="s">
        <v>164</v>
      </c>
      <c r="Y365" s="159" t="str">
        <f>IFERROR(VLOOKUP(X365,TD!$J$51:$K$64,2,0)," ")</f>
        <v>Servicio de atención a incidentes y emergencias.</v>
      </c>
      <c r="Z365" s="160" t="str">
        <f>CONCATENATE(X365,"-",Y365)</f>
        <v>04-Servicio de atención a incidentes y emergencias.</v>
      </c>
      <c r="AA365" s="158" t="s">
        <v>221</v>
      </c>
      <c r="AB365" s="159" t="str">
        <f>IFERROR(VLOOKUP(AA365,TD!$N$51:$O$66,2,0)," ")</f>
        <v>Servicio de atención a emergencias y desastres</v>
      </c>
      <c r="AC365" s="160" t="str">
        <f>CONCATENATE(AA365,"_",AB365)</f>
        <v>004_Servicio de atención a emergencias y desastres</v>
      </c>
      <c r="AD365" s="160" t="str">
        <f>CONCATENATE(Z365," ",AC365)</f>
        <v>04-Servicio de atención a incidentes y emergencias. 004_Servicio de atención a emergencias y desastres</v>
      </c>
      <c r="AE365" s="159" t="str">
        <f>CONCATENATE(U365,V365,W365,X365,AA365)</f>
        <v>O23011745032024025504004</v>
      </c>
      <c r="AF365" s="159" t="str">
        <f>IFERROR(VLOOKUP(AD365,TD!$J$66:$K$89,2,0)," ")</f>
        <v>PM/0131/0104/45030040255</v>
      </c>
      <c r="AG365" s="118" t="s">
        <v>385</v>
      </c>
      <c r="AH365" s="158" t="s">
        <v>193</v>
      </c>
      <c r="AI365" s="161" t="str">
        <f>CONCATENATE(PAA[[#This Row],[Id Interno]],"-",PAA[[#This Row],[tipo de Contrato (TH talento humano - B/S bienes y/o servicios)]],"-",S365,"-",T365,"-",PAA[[#This Row],[Objeto de la contratación]])</f>
        <v>20260330-TH-8173-2-Prestación de servicios de apoyo a la gestión en las actividades documentales, administrativas y manejo de las herramientas de gestión, para el acompañamiento de los programas de la Subdirección Operativa S.O.</v>
      </c>
    </row>
    <row r="366" spans="2:35" ht="56" x14ac:dyDescent="0.35">
      <c r="B366" s="23">
        <v>20260331</v>
      </c>
      <c r="C366" s="99" t="s">
        <v>677</v>
      </c>
      <c r="D366" s="99" t="s">
        <v>88</v>
      </c>
      <c r="E366" s="99" t="s">
        <v>402</v>
      </c>
      <c r="F366" s="156" t="s">
        <v>101</v>
      </c>
      <c r="G366" s="156" t="s">
        <v>373</v>
      </c>
      <c r="H366" s="163">
        <v>6</v>
      </c>
      <c r="I366" s="163">
        <v>0</v>
      </c>
      <c r="J366" s="118">
        <v>300000000</v>
      </c>
      <c r="K366" s="126" t="s">
        <v>398</v>
      </c>
      <c r="L366" s="156" t="s">
        <v>158</v>
      </c>
      <c r="M366" s="162" t="s">
        <v>421</v>
      </c>
      <c r="N366" s="99" t="s">
        <v>330</v>
      </c>
      <c r="O366" s="151" t="s">
        <v>957</v>
      </c>
      <c r="P366" s="156" t="s">
        <v>161</v>
      </c>
      <c r="Q366" s="128">
        <v>53102710</v>
      </c>
      <c r="R366" s="162" t="s">
        <v>331</v>
      </c>
      <c r="S366" s="158" t="str">
        <f>MID(PAA[[#This Row],[Meta Proyecto de Inversión]],1,4)</f>
        <v>No a</v>
      </c>
      <c r="T366" s="158" t="str">
        <f>MID(PAA[[#This Row],[Meta Proyecto de Inversión]],6,1)</f>
        <v>l</v>
      </c>
      <c r="U366" s="159" t="str">
        <f>IFERROR(VLOOKUP(N366,TD!$B$50:$F$54,2,0)," ")</f>
        <v>NA</v>
      </c>
      <c r="V366" s="159" t="str">
        <f>IFERROR(VLOOKUP(N366,TD!$B$50:$F$54,3,0)," ")</f>
        <v>NA</v>
      </c>
      <c r="W366" s="159" t="str">
        <f>IFERROR(VLOOKUP(N366,TD!$B$50:$F$54,4,0)," ")</f>
        <v>NA</v>
      </c>
      <c r="X366" s="158" t="s">
        <v>335</v>
      </c>
      <c r="Y366" s="159" t="str">
        <f>IFERROR(VLOOKUP(X366,TD!$J$51:$K$64,2,0)," ")</f>
        <v>N/A</v>
      </c>
      <c r="Z366" s="160" t="str">
        <f>CONCATENATE(X366,"-",Y366)</f>
        <v>N/A-N/A</v>
      </c>
      <c r="AA366" s="158" t="s">
        <v>335</v>
      </c>
      <c r="AB366" s="159" t="str">
        <f>IFERROR(VLOOKUP(AA366,TD!$N$51:$O$66,2,0)," ")</f>
        <v>N/A</v>
      </c>
      <c r="AC366" s="160" t="str">
        <f>CONCATENATE(AA366,"_",AB366)</f>
        <v>N/A_N/A</v>
      </c>
      <c r="AD366" s="160" t="str">
        <f>CONCATENATE(Z366," ",AC366)</f>
        <v>N/A-N/A N/A_N/A</v>
      </c>
      <c r="AE366" s="159" t="str">
        <f>CONCATENATE(U366,V366,W366,X366,AA366)</f>
        <v>NANANAN/AN/A</v>
      </c>
      <c r="AF366" s="159" t="str">
        <f>IFERROR(VLOOKUP(AD366,TD!$J$66:$K$89,2,0)," ")</f>
        <v>N/A</v>
      </c>
      <c r="AG366" s="118" t="s">
        <v>349</v>
      </c>
      <c r="AH366" s="158" t="s">
        <v>193</v>
      </c>
      <c r="AI366" s="161" t="str">
        <f>CONCATENATE(PAA[[#This Row],[Id Interno]],"-",PAA[[#This Row],[tipo de Contrato (TH talento humano - B/S bienes y/o servicios)]],"-",S366,"-",T366,"-",PAA[[#This Row],[Objeto de la contratación]])</f>
        <v>20260331-BS-No a-l-Adquisición de uniformes para el personal operativo de la UAECOB</v>
      </c>
    </row>
    <row r="367" spans="2:35" ht="56" x14ac:dyDescent="0.35">
      <c r="B367" s="23">
        <v>20260332</v>
      </c>
      <c r="C367" s="99" t="s">
        <v>906</v>
      </c>
      <c r="D367" s="99" t="s">
        <v>105</v>
      </c>
      <c r="E367" s="99" t="s">
        <v>363</v>
      </c>
      <c r="F367" s="156" t="s">
        <v>144</v>
      </c>
      <c r="G367" s="156" t="s">
        <v>379</v>
      </c>
      <c r="H367" s="163">
        <v>3</v>
      </c>
      <c r="I367" s="163">
        <v>0</v>
      </c>
      <c r="J367" s="118">
        <v>21600000</v>
      </c>
      <c r="K367" s="126" t="s">
        <v>398</v>
      </c>
      <c r="L367" s="156" t="s">
        <v>158</v>
      </c>
      <c r="M367" s="162" t="s">
        <v>421</v>
      </c>
      <c r="N367" s="99" t="s">
        <v>198</v>
      </c>
      <c r="O367" s="151" t="s">
        <v>958</v>
      </c>
      <c r="P367" s="156" t="s">
        <v>348</v>
      </c>
      <c r="Q367" s="128">
        <v>80111600</v>
      </c>
      <c r="R367" s="162" t="s">
        <v>211</v>
      </c>
      <c r="S367" s="158" t="str">
        <f>MID(PAA[[#This Row],[Meta Proyecto de Inversión]],1,4)</f>
        <v>8173</v>
      </c>
      <c r="T367" s="158" t="str">
        <f>MID(PAA[[#This Row],[Meta Proyecto de Inversión]],6,1)</f>
        <v>2</v>
      </c>
      <c r="U367" s="159" t="str">
        <f>IFERROR(VLOOKUP(N367,TD!$B$50:$F$54,2,0)," ")</f>
        <v>O230117</v>
      </c>
      <c r="V367" s="159" t="str">
        <f>IFERROR(VLOOKUP(N367,TD!$B$50:$F$54,3,0)," ")</f>
        <v>4503</v>
      </c>
      <c r="W367" s="159">
        <f>IFERROR(VLOOKUP(N367,TD!$B$50:$F$54,4,0)," ")</f>
        <v>20240255</v>
      </c>
      <c r="X367" s="158" t="s">
        <v>164</v>
      </c>
      <c r="Y367" s="159" t="str">
        <f>IFERROR(VLOOKUP(X367,TD!$J$51:$K$64,2,0)," ")</f>
        <v>Servicio de atención a incidentes y emergencias.</v>
      </c>
      <c r="Z367" s="160" t="str">
        <f>CONCATENATE(X367,"-",Y367)</f>
        <v>04-Servicio de atención a incidentes y emergencias.</v>
      </c>
      <c r="AA367" s="158" t="s">
        <v>221</v>
      </c>
      <c r="AB367" s="159" t="str">
        <f>IFERROR(VLOOKUP(AA367,TD!$N$51:$O$66,2,0)," ")</f>
        <v>Servicio de atención a emergencias y desastres</v>
      </c>
      <c r="AC367" s="160" t="str">
        <f>CONCATENATE(AA367,"_",AB367)</f>
        <v>004_Servicio de atención a emergencias y desastres</v>
      </c>
      <c r="AD367" s="160" t="str">
        <f>CONCATENATE(Z367," ",AC367)</f>
        <v>04-Servicio de atención a incidentes y emergencias. 004_Servicio de atención a emergencias y desastres</v>
      </c>
      <c r="AE367" s="159" t="str">
        <f>CONCATENATE(U367,V367,W367,X367,AA367)</f>
        <v>O23011745032024025504004</v>
      </c>
      <c r="AF367" s="159" t="str">
        <f>IFERROR(VLOOKUP(AD367,TD!$J$66:$K$89,2,0)," ")</f>
        <v>PM/0131/0104/45030040255</v>
      </c>
      <c r="AG367" s="118" t="s">
        <v>385</v>
      </c>
      <c r="AH367" s="158" t="s">
        <v>193</v>
      </c>
      <c r="AI367" s="161" t="str">
        <f>CONCATENATE(PAA[[#This Row],[Id Interno]],"-",PAA[[#This Row],[tipo de Contrato (TH talento humano - B/S bienes y/o servicios)]],"-",S367,"-",T367,"-",PAA[[#This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68" spans="2:35" ht="56" x14ac:dyDescent="0.35">
      <c r="B368" s="23">
        <v>20260333</v>
      </c>
      <c r="C368" s="99" t="s">
        <v>955</v>
      </c>
      <c r="D368" s="23" t="s">
        <v>105</v>
      </c>
      <c r="E368" s="23" t="s">
        <v>363</v>
      </c>
      <c r="F368" s="155" t="s">
        <v>145</v>
      </c>
      <c r="G368" s="156" t="s">
        <v>373</v>
      </c>
      <c r="H368" s="157">
        <v>10</v>
      </c>
      <c r="I368" s="157">
        <v>0</v>
      </c>
      <c r="J368" s="127">
        <v>37500000</v>
      </c>
      <c r="K368" s="88" t="s">
        <v>398</v>
      </c>
      <c r="L368" s="155" t="s">
        <v>156</v>
      </c>
      <c r="M368" s="158" t="s">
        <v>513</v>
      </c>
      <c r="N368" s="23" t="s">
        <v>198</v>
      </c>
      <c r="O368" s="151" t="s">
        <v>958</v>
      </c>
      <c r="P368" s="155" t="s">
        <v>348</v>
      </c>
      <c r="Q368" s="53">
        <v>80111600</v>
      </c>
      <c r="R368" s="158" t="s">
        <v>210</v>
      </c>
      <c r="S368" s="158" t="str">
        <f>MID(PAA[[#This Row],[Meta Proyecto de Inversión]],1,4)</f>
        <v>8173</v>
      </c>
      <c r="T368" s="158" t="str">
        <f>MID(PAA[[#This Row],[Meta Proyecto de Inversión]],6,1)</f>
        <v>1</v>
      </c>
      <c r="U368" s="159" t="str">
        <f>IFERROR(VLOOKUP(N368,TD!$B$50:$F$54,2,0)," ")</f>
        <v>O230117</v>
      </c>
      <c r="V368" s="159" t="str">
        <f>IFERROR(VLOOKUP(N368,TD!$B$50:$F$54,3,0)," ")</f>
        <v>4503</v>
      </c>
      <c r="W368" s="159">
        <f>IFERROR(VLOOKUP(N368,TD!$B$50:$F$54,4,0)," ")</f>
        <v>20240255</v>
      </c>
      <c r="X368" s="158" t="s">
        <v>166</v>
      </c>
      <c r="Y368" s="159" t="str">
        <f>IFERROR(VLOOKUP(X368,TD!$J$51:$K$64,2,0)," ")</f>
        <v>Servicio de capacitaciones en gestión del riesgo de incendios  a la ciudadania.</v>
      </c>
      <c r="Z368" s="160" t="str">
        <f>CONCATENATE(X368,"-",Y368)</f>
        <v>05-Servicio de capacitaciones en gestión del riesgo de incendios  a la ciudadania.</v>
      </c>
      <c r="AA368" s="158" t="s">
        <v>223</v>
      </c>
      <c r="AB368" s="159" t="str">
        <f>IFERROR(VLOOKUP(AA368,TD!$N$51:$O$66,2,0)," ")</f>
        <v>Servicio prevención y control de incendios</v>
      </c>
      <c r="AC368" s="160" t="str">
        <f>CONCATENATE(AA368,"_",AB368)</f>
        <v>035_Servicio prevención y control de incendios</v>
      </c>
      <c r="AD368" s="160" t="str">
        <f>CONCATENATE(Z368," ",AC368)</f>
        <v>05-Servicio de capacitaciones en gestión del riesgo de incendios  a la ciudadania. 035_Servicio prevención y control de incendios</v>
      </c>
      <c r="AE368" s="159" t="str">
        <f>CONCATENATE(U368,V368,W368,X368,AA368)</f>
        <v>O23011745032024025505035</v>
      </c>
      <c r="AF368" s="159" t="str">
        <f>IFERROR(VLOOKUP(AD368,TD!$J$66:$K$89,2,0)," ")</f>
        <v>PM/0131/0105/45030350255</v>
      </c>
      <c r="AG368" s="118" t="s">
        <v>385</v>
      </c>
      <c r="AH368" s="158" t="s">
        <v>193</v>
      </c>
      <c r="AI368" s="161" t="str">
        <f>CONCATENATE(PAA[[#This Row],[Id Interno]],"-",PAA[[#This Row],[tipo de Contrato (TH talento humano - B/S bienes y/o servicios)]],"-",S368,"-",T368,"-",PAA[[#This Row],[Objeto de la contratación]])</f>
        <v>20260333-TH-8173-1-Prestar servicios de apoyo como conductor a las acciones misionales de la Subdirección de Gestión del Riesgo.</v>
      </c>
    </row>
    <row r="369" spans="2:35" ht="56" x14ac:dyDescent="0.35">
      <c r="B369" s="23">
        <v>20260334</v>
      </c>
      <c r="C369" s="99" t="s">
        <v>545</v>
      </c>
      <c r="D369" s="23" t="s">
        <v>105</v>
      </c>
      <c r="E369" s="23" t="s">
        <v>363</v>
      </c>
      <c r="F369" s="155" t="s">
        <v>144</v>
      </c>
      <c r="G369" s="156" t="s">
        <v>373</v>
      </c>
      <c r="H369" s="157">
        <v>10</v>
      </c>
      <c r="I369" s="157">
        <v>0</v>
      </c>
      <c r="J369" s="127">
        <v>60000000</v>
      </c>
      <c r="K369" s="88" t="s">
        <v>398</v>
      </c>
      <c r="L369" s="155" t="s">
        <v>156</v>
      </c>
      <c r="M369" s="158" t="s">
        <v>513</v>
      </c>
      <c r="N369" s="23" t="s">
        <v>198</v>
      </c>
      <c r="O369" s="151" t="s">
        <v>958</v>
      </c>
      <c r="P369" s="155" t="s">
        <v>348</v>
      </c>
      <c r="Q369" s="53">
        <v>80111600</v>
      </c>
      <c r="R369" s="158" t="s">
        <v>210</v>
      </c>
      <c r="S369" s="158" t="str">
        <f>MID(PAA[[#This Row],[Meta Proyecto de Inversión]],1,4)</f>
        <v>8173</v>
      </c>
      <c r="T369" s="158" t="str">
        <f>MID(PAA[[#This Row],[Meta Proyecto de Inversión]],6,1)</f>
        <v>1</v>
      </c>
      <c r="U369" s="159" t="str">
        <f>IFERROR(VLOOKUP(N369,TD!$B$50:$F$54,2,0)," ")</f>
        <v>O230117</v>
      </c>
      <c r="V369" s="159" t="str">
        <f>IFERROR(VLOOKUP(N369,TD!$B$50:$F$54,3,0)," ")</f>
        <v>4503</v>
      </c>
      <c r="W369" s="159">
        <f>IFERROR(VLOOKUP(N369,TD!$B$50:$F$54,4,0)," ")</f>
        <v>20240255</v>
      </c>
      <c r="X369" s="158" t="s">
        <v>166</v>
      </c>
      <c r="Y369" s="159" t="str">
        <f>IFERROR(VLOOKUP(X369,TD!$J$51:$K$64,2,0)," ")</f>
        <v>Servicio de capacitaciones en gestión del riesgo de incendios  a la ciudadania.</v>
      </c>
      <c r="Z369" s="160" t="str">
        <f>CONCATENATE(X369,"-",Y369)</f>
        <v>05-Servicio de capacitaciones en gestión del riesgo de incendios  a la ciudadania.</v>
      </c>
      <c r="AA369" s="158" t="s">
        <v>223</v>
      </c>
      <c r="AB369" s="159" t="str">
        <f>IFERROR(VLOOKUP(AA369,TD!$N$51:$O$66,2,0)," ")</f>
        <v>Servicio prevención y control de incendios</v>
      </c>
      <c r="AC369" s="160" t="str">
        <f>CONCATENATE(AA369,"_",AB369)</f>
        <v>035_Servicio prevención y control de incendios</v>
      </c>
      <c r="AD369" s="160" t="str">
        <f>CONCATENATE(Z369," ",AC369)</f>
        <v>05-Servicio de capacitaciones en gestión del riesgo de incendios  a la ciudadania. 035_Servicio prevención y control de incendios</v>
      </c>
      <c r="AE369" s="159" t="str">
        <f>CONCATENATE(U369,V369,W369,X369,AA369)</f>
        <v>O23011745032024025505035</v>
      </c>
      <c r="AF369" s="159" t="str">
        <f>IFERROR(VLOOKUP(AD369,TD!$J$66:$K$89,2,0)," ")</f>
        <v>PM/0131/0105/45030350255</v>
      </c>
      <c r="AG369" s="118" t="s">
        <v>385</v>
      </c>
      <c r="AH369" s="158" t="s">
        <v>193</v>
      </c>
      <c r="AI369" s="161" t="str">
        <f>CONCATENATE(PAA[[#This Row],[Id Interno]],"-",PAA[[#This Row],[tipo de Contrato (TH talento humano - B/S bienes y/o servicios)]],"-",S369,"-",T369,"-",PAA[[#This Row],[Objeto de la contratación]])</f>
        <v>20260334-TH-8173-1-Prestar servicios profesionales para apoyar la planeación y gestión de las  estrategias de reducción y/o conocimiento del riesgo  para la Subdirección de Gestión del Riesgo._SGR</v>
      </c>
    </row>
    <row r="370" spans="2:35" ht="56" x14ac:dyDescent="0.35">
      <c r="B370" s="23">
        <v>20260335</v>
      </c>
      <c r="C370" s="99" t="s">
        <v>546</v>
      </c>
      <c r="D370" s="23" t="s">
        <v>105</v>
      </c>
      <c r="E370" s="23" t="s">
        <v>363</v>
      </c>
      <c r="F370" s="155" t="s">
        <v>144</v>
      </c>
      <c r="G370" s="156" t="s">
        <v>373</v>
      </c>
      <c r="H370" s="157">
        <v>8</v>
      </c>
      <c r="I370" s="157">
        <v>0</v>
      </c>
      <c r="J370" s="127">
        <v>40000000</v>
      </c>
      <c r="K370" s="88" t="s">
        <v>398</v>
      </c>
      <c r="L370" s="155" t="s">
        <v>156</v>
      </c>
      <c r="M370" s="158" t="s">
        <v>513</v>
      </c>
      <c r="N370" s="23" t="s">
        <v>198</v>
      </c>
      <c r="O370" s="151" t="s">
        <v>958</v>
      </c>
      <c r="P370" s="155" t="s">
        <v>348</v>
      </c>
      <c r="Q370" s="53">
        <v>80111600</v>
      </c>
      <c r="R370" s="158" t="s">
        <v>210</v>
      </c>
      <c r="S370" s="158" t="str">
        <f>MID(PAA[[#This Row],[Meta Proyecto de Inversión]],1,4)</f>
        <v>8173</v>
      </c>
      <c r="T370" s="158" t="str">
        <f>MID(PAA[[#This Row],[Meta Proyecto de Inversión]],6,1)</f>
        <v>1</v>
      </c>
      <c r="U370" s="159" t="str">
        <f>IFERROR(VLOOKUP(N370,TD!$B$50:$F$54,2,0)," ")</f>
        <v>O230117</v>
      </c>
      <c r="V370" s="159" t="str">
        <f>IFERROR(VLOOKUP(N370,TD!$B$50:$F$54,3,0)," ")</f>
        <v>4503</v>
      </c>
      <c r="W370" s="159">
        <f>IFERROR(VLOOKUP(N370,TD!$B$50:$F$54,4,0)," ")</f>
        <v>20240255</v>
      </c>
      <c r="X370" s="158" t="s">
        <v>166</v>
      </c>
      <c r="Y370" s="159" t="str">
        <f>IFERROR(VLOOKUP(X370,TD!$J$51:$K$64,2,0)," ")</f>
        <v>Servicio de capacitaciones en gestión del riesgo de incendios  a la ciudadania.</v>
      </c>
      <c r="Z370" s="160" t="str">
        <f>CONCATENATE(X370,"-",Y370)</f>
        <v>05-Servicio de capacitaciones en gestión del riesgo de incendios  a la ciudadania.</v>
      </c>
      <c r="AA370" s="158" t="s">
        <v>223</v>
      </c>
      <c r="AB370" s="159" t="str">
        <f>IFERROR(VLOOKUP(AA370,TD!$N$51:$O$66,2,0)," ")</f>
        <v>Servicio prevención y control de incendios</v>
      </c>
      <c r="AC370" s="160" t="str">
        <f>CONCATENATE(AA370,"_",AB370)</f>
        <v>035_Servicio prevención y control de incendios</v>
      </c>
      <c r="AD370" s="160" t="str">
        <f>CONCATENATE(Z370," ",AC370)</f>
        <v>05-Servicio de capacitaciones en gestión del riesgo de incendios  a la ciudadania. 035_Servicio prevención y control de incendios</v>
      </c>
      <c r="AE370" s="159" t="str">
        <f>CONCATENATE(U370,V370,W370,X370,AA370)</f>
        <v>O23011745032024025505035</v>
      </c>
      <c r="AF370" s="159" t="str">
        <f>IFERROR(VLOOKUP(AD370,TD!$J$66:$K$89,2,0)," ")</f>
        <v>PM/0131/0105/45030350255</v>
      </c>
      <c r="AG370" s="118" t="s">
        <v>385</v>
      </c>
      <c r="AH370" s="158" t="s">
        <v>193</v>
      </c>
      <c r="AI370" s="161" t="str">
        <f>CONCATENATE(PAA[[#This Row],[Id Interno]],"-",PAA[[#This Row],[tipo de Contrato (TH talento humano - B/S bienes y/o servicios)]],"-",S370,"-",T370,"-",PAA[[#This Row],[Objeto de la contratación]])</f>
        <v>20260335-TH-8173-1-Prestar servicios profesionales en  los componentes tecnológicos e informáticos relacionados con los aspectos misionales de la Subdirección de Gestión del Riesgo._SGR</v>
      </c>
    </row>
    <row r="371" spans="2:35" ht="56" x14ac:dyDescent="0.35">
      <c r="B371" s="23">
        <v>20260336</v>
      </c>
      <c r="C371" s="99" t="s">
        <v>547</v>
      </c>
      <c r="D371" s="23" t="s">
        <v>105</v>
      </c>
      <c r="E371" s="23" t="s">
        <v>363</v>
      </c>
      <c r="F371" s="155" t="s">
        <v>145</v>
      </c>
      <c r="G371" s="156" t="s">
        <v>373</v>
      </c>
      <c r="H371" s="157">
        <v>8</v>
      </c>
      <c r="I371" s="157">
        <v>0</v>
      </c>
      <c r="J371" s="127">
        <v>32000000</v>
      </c>
      <c r="K371" s="88" t="s">
        <v>398</v>
      </c>
      <c r="L371" s="155" t="s">
        <v>156</v>
      </c>
      <c r="M371" s="158" t="s">
        <v>513</v>
      </c>
      <c r="N371" s="23" t="s">
        <v>198</v>
      </c>
      <c r="O371" s="151" t="s">
        <v>958</v>
      </c>
      <c r="P371" s="155" t="s">
        <v>348</v>
      </c>
      <c r="Q371" s="53">
        <v>80111600</v>
      </c>
      <c r="R371" s="158" t="s">
        <v>210</v>
      </c>
      <c r="S371" s="158" t="str">
        <f>MID(PAA[[#This Row],[Meta Proyecto de Inversión]],1,4)</f>
        <v>8173</v>
      </c>
      <c r="T371" s="158" t="str">
        <f>MID(PAA[[#This Row],[Meta Proyecto de Inversión]],6,1)</f>
        <v>1</v>
      </c>
      <c r="U371" s="159" t="str">
        <f>IFERROR(VLOOKUP(N371,TD!$B$50:$F$54,2,0)," ")</f>
        <v>O230117</v>
      </c>
      <c r="V371" s="159" t="str">
        <f>IFERROR(VLOOKUP(N371,TD!$B$50:$F$54,3,0)," ")</f>
        <v>4503</v>
      </c>
      <c r="W371" s="159">
        <f>IFERROR(VLOOKUP(N371,TD!$B$50:$F$54,4,0)," ")</f>
        <v>20240255</v>
      </c>
      <c r="X371" s="158" t="s">
        <v>166</v>
      </c>
      <c r="Y371" s="159" t="str">
        <f>IFERROR(VLOOKUP(X371,TD!$J$51:$K$64,2,0)," ")</f>
        <v>Servicio de capacitaciones en gestión del riesgo de incendios  a la ciudadania.</v>
      </c>
      <c r="Z371" s="160" t="str">
        <f>CONCATENATE(X371,"-",Y371)</f>
        <v>05-Servicio de capacitaciones en gestión del riesgo de incendios  a la ciudadania.</v>
      </c>
      <c r="AA371" s="158" t="s">
        <v>223</v>
      </c>
      <c r="AB371" s="159" t="str">
        <f>IFERROR(VLOOKUP(AA371,TD!$N$51:$O$66,2,0)," ")</f>
        <v>Servicio prevención y control de incendios</v>
      </c>
      <c r="AC371" s="160" t="str">
        <f>CONCATENATE(AA371,"_",AB371)</f>
        <v>035_Servicio prevención y control de incendios</v>
      </c>
      <c r="AD371" s="160" t="str">
        <f>CONCATENATE(Z371," ",AC371)</f>
        <v>05-Servicio de capacitaciones en gestión del riesgo de incendios  a la ciudadania. 035_Servicio prevención y control de incendios</v>
      </c>
      <c r="AE371" s="159" t="str">
        <f>CONCATENATE(U371,V371,W371,X371,AA371)</f>
        <v>O23011745032024025505035</v>
      </c>
      <c r="AF371" s="159" t="str">
        <f>IFERROR(VLOOKUP(AD371,TD!$J$66:$K$89,2,0)," ")</f>
        <v>PM/0131/0105/45030350255</v>
      </c>
      <c r="AG371" s="118" t="s">
        <v>385</v>
      </c>
      <c r="AH371" s="158" t="s">
        <v>193</v>
      </c>
      <c r="AI371" s="161" t="str">
        <f>CONCATENATE(PAA[[#This Row],[Id Interno]],"-",PAA[[#This Row],[tipo de Contrato (TH talento humano - B/S bienes y/o servicios)]],"-",S371,"-",T371,"-",PAA[[#This Row],[Objeto de la contratación]])</f>
        <v>20260336-TH-8173-1-Prestar servicios de apoyo para el seguimiento y respuesta de requerimientos ciudadanos relacionados con la misionalidad de la Subdirección de Gestión del Riesgo_SGR</v>
      </c>
    </row>
    <row r="372" spans="2:35" ht="56" x14ac:dyDescent="0.35">
      <c r="B372" s="23">
        <v>20260337</v>
      </c>
      <c r="C372" s="99" t="s">
        <v>548</v>
      </c>
      <c r="D372" s="23" t="s">
        <v>105</v>
      </c>
      <c r="E372" s="23" t="s">
        <v>363</v>
      </c>
      <c r="F372" s="155" t="s">
        <v>144</v>
      </c>
      <c r="G372" s="156" t="s">
        <v>373</v>
      </c>
      <c r="H372" s="157">
        <v>7</v>
      </c>
      <c r="I372" s="157">
        <v>15</v>
      </c>
      <c r="J372" s="127">
        <v>53600000</v>
      </c>
      <c r="K372" s="88" t="s">
        <v>398</v>
      </c>
      <c r="L372" s="155" t="s">
        <v>156</v>
      </c>
      <c r="M372" s="158" t="s">
        <v>513</v>
      </c>
      <c r="N372" s="23" t="s">
        <v>198</v>
      </c>
      <c r="O372" s="151" t="s">
        <v>958</v>
      </c>
      <c r="P372" s="155" t="s">
        <v>348</v>
      </c>
      <c r="Q372" s="53">
        <v>80111600</v>
      </c>
      <c r="R372" s="158" t="s">
        <v>210</v>
      </c>
      <c r="S372" s="158" t="str">
        <f>MID(PAA[[#This Row],[Meta Proyecto de Inversión]],1,4)</f>
        <v>8173</v>
      </c>
      <c r="T372" s="158" t="str">
        <f>MID(PAA[[#This Row],[Meta Proyecto de Inversión]],6,1)</f>
        <v>1</v>
      </c>
      <c r="U372" s="159" t="str">
        <f>IFERROR(VLOOKUP(N372,TD!$B$50:$F$54,2,0)," ")</f>
        <v>O230117</v>
      </c>
      <c r="V372" s="159" t="str">
        <f>IFERROR(VLOOKUP(N372,TD!$B$50:$F$54,3,0)," ")</f>
        <v>4503</v>
      </c>
      <c r="W372" s="159">
        <f>IFERROR(VLOOKUP(N372,TD!$B$50:$F$54,4,0)," ")</f>
        <v>20240255</v>
      </c>
      <c r="X372" s="158" t="s">
        <v>166</v>
      </c>
      <c r="Y372" s="159" t="str">
        <f>IFERROR(VLOOKUP(X372,TD!$J$51:$K$64,2,0)," ")</f>
        <v>Servicio de capacitaciones en gestión del riesgo de incendios  a la ciudadania.</v>
      </c>
      <c r="Z372" s="160" t="str">
        <f>CONCATENATE(X372,"-",Y372)</f>
        <v>05-Servicio de capacitaciones en gestión del riesgo de incendios  a la ciudadania.</v>
      </c>
      <c r="AA372" s="158" t="s">
        <v>223</v>
      </c>
      <c r="AB372" s="159" t="str">
        <f>IFERROR(VLOOKUP(AA372,TD!$N$51:$O$66,2,0)," ")</f>
        <v>Servicio prevención y control de incendios</v>
      </c>
      <c r="AC372" s="160" t="str">
        <f>CONCATENATE(AA372,"_",AB372)</f>
        <v>035_Servicio prevención y control de incendios</v>
      </c>
      <c r="AD372" s="160" t="str">
        <f>CONCATENATE(Z372," ",AC372)</f>
        <v>05-Servicio de capacitaciones en gestión del riesgo de incendios  a la ciudadania. 035_Servicio prevención y control de incendios</v>
      </c>
      <c r="AE372" s="159" t="str">
        <f>CONCATENATE(U372,V372,W372,X372,AA372)</f>
        <v>O23011745032024025505035</v>
      </c>
      <c r="AF372" s="159" t="str">
        <f>IFERROR(VLOOKUP(AD372,TD!$J$66:$K$89,2,0)," ")</f>
        <v>PM/0131/0105/45030350255</v>
      </c>
      <c r="AG372" s="118" t="s">
        <v>385</v>
      </c>
      <c r="AH372" s="158" t="s">
        <v>193</v>
      </c>
      <c r="AI372" s="161" t="str">
        <f>CONCATENATE(PAA[[#This Row],[Id Interno]],"-",PAA[[#This Row],[tipo de Contrato (TH talento humano - B/S bienes y/o servicios)]],"-",S372,"-",T372,"-",PAA[[#This Row],[Objeto de la contratación]])</f>
        <v>20260337-TH-8173-1-Prestar servicios profesionales en la gestión misional mediante el  análisis y seguimiento financiero de la Subdirección de Gestión del Riesgo_SGR</v>
      </c>
    </row>
    <row r="373" spans="2:35" ht="56" x14ac:dyDescent="0.35">
      <c r="B373" s="23">
        <v>20260338</v>
      </c>
      <c r="C373" s="99" t="s">
        <v>549</v>
      </c>
      <c r="D373" s="23" t="s">
        <v>105</v>
      </c>
      <c r="E373" s="23" t="s">
        <v>363</v>
      </c>
      <c r="F373" s="155" t="s">
        <v>144</v>
      </c>
      <c r="G373" s="156" t="s">
        <v>373</v>
      </c>
      <c r="H373" s="157">
        <v>10</v>
      </c>
      <c r="I373" s="157">
        <v>0</v>
      </c>
      <c r="J373" s="127">
        <v>70000000</v>
      </c>
      <c r="K373" s="88" t="s">
        <v>398</v>
      </c>
      <c r="L373" s="155" t="s">
        <v>156</v>
      </c>
      <c r="M373" s="158" t="s">
        <v>513</v>
      </c>
      <c r="N373" s="23" t="s">
        <v>198</v>
      </c>
      <c r="O373" s="151" t="s">
        <v>958</v>
      </c>
      <c r="P373" s="155" t="s">
        <v>348</v>
      </c>
      <c r="Q373" s="53">
        <v>80111600</v>
      </c>
      <c r="R373" s="158" t="s">
        <v>210</v>
      </c>
      <c r="S373" s="158" t="str">
        <f>MID(PAA[[#This Row],[Meta Proyecto de Inversión]],1,4)</f>
        <v>8173</v>
      </c>
      <c r="T373" s="158" t="str">
        <f>MID(PAA[[#This Row],[Meta Proyecto de Inversión]],6,1)</f>
        <v>1</v>
      </c>
      <c r="U373" s="159" t="str">
        <f>IFERROR(VLOOKUP(N373,TD!$B$50:$F$54,2,0)," ")</f>
        <v>O230117</v>
      </c>
      <c r="V373" s="159" t="str">
        <f>IFERROR(VLOOKUP(N373,TD!$B$50:$F$54,3,0)," ")</f>
        <v>4503</v>
      </c>
      <c r="W373" s="159">
        <f>IFERROR(VLOOKUP(N373,TD!$B$50:$F$54,4,0)," ")</f>
        <v>20240255</v>
      </c>
      <c r="X373" s="158" t="s">
        <v>166</v>
      </c>
      <c r="Y373" s="159" t="str">
        <f>IFERROR(VLOOKUP(X373,TD!$J$51:$K$64,2,0)," ")</f>
        <v>Servicio de capacitaciones en gestión del riesgo de incendios  a la ciudadania.</v>
      </c>
      <c r="Z373" s="160" t="str">
        <f>CONCATENATE(X373,"-",Y373)</f>
        <v>05-Servicio de capacitaciones en gestión del riesgo de incendios  a la ciudadania.</v>
      </c>
      <c r="AA373" s="158" t="s">
        <v>223</v>
      </c>
      <c r="AB373" s="159" t="str">
        <f>IFERROR(VLOOKUP(AA373,TD!$N$51:$O$66,2,0)," ")</f>
        <v>Servicio prevención y control de incendios</v>
      </c>
      <c r="AC373" s="160" t="str">
        <f>CONCATENATE(AA373,"_",AB373)</f>
        <v>035_Servicio prevención y control de incendios</v>
      </c>
      <c r="AD373" s="160" t="str">
        <f>CONCATENATE(Z373," ",AC373)</f>
        <v>05-Servicio de capacitaciones en gestión del riesgo de incendios  a la ciudadania. 035_Servicio prevención y control de incendios</v>
      </c>
      <c r="AE373" s="159" t="str">
        <f>CONCATENATE(U373,V373,W373,X373,AA373)</f>
        <v>O23011745032024025505035</v>
      </c>
      <c r="AF373" s="159" t="str">
        <f>IFERROR(VLOOKUP(AD373,TD!$J$66:$K$89,2,0)," ")</f>
        <v>PM/0131/0105/45030350255</v>
      </c>
      <c r="AG373" s="118" t="s">
        <v>385</v>
      </c>
      <c r="AH373" s="158" t="s">
        <v>193</v>
      </c>
      <c r="AI373" s="161" t="str">
        <f>CONCATENATE(PAA[[#This Row],[Id Interno]],"-",PAA[[#This Row],[tipo de Contrato (TH talento humano - B/S bienes y/o servicios)]],"-",S373,"-",T373,"-",PAA[[#This Row],[Objeto de la contratación]])</f>
        <v>20260338-TH-8173-1-Prestar servicios profesionales para la gestión misional  mediante la estructuración y seguimiento de procesos contractuales y asuntos jurídicos de la Subdirección de Gestión del Riesgo_SGR</v>
      </c>
    </row>
    <row r="374" spans="2:35" ht="56" x14ac:dyDescent="0.35">
      <c r="B374" s="23">
        <v>20260340</v>
      </c>
      <c r="C374" s="99" t="s">
        <v>550</v>
      </c>
      <c r="D374" s="23" t="s">
        <v>105</v>
      </c>
      <c r="E374" s="23" t="s">
        <v>363</v>
      </c>
      <c r="F374" s="155" t="s">
        <v>144</v>
      </c>
      <c r="G374" s="156" t="s">
        <v>373</v>
      </c>
      <c r="H374" s="157">
        <v>10</v>
      </c>
      <c r="I374" s="157">
        <v>0</v>
      </c>
      <c r="J374" s="127">
        <v>70000000</v>
      </c>
      <c r="K374" s="88" t="s">
        <v>398</v>
      </c>
      <c r="L374" s="155" t="s">
        <v>156</v>
      </c>
      <c r="M374" s="158" t="s">
        <v>513</v>
      </c>
      <c r="N374" s="23" t="s">
        <v>198</v>
      </c>
      <c r="O374" s="151" t="s">
        <v>958</v>
      </c>
      <c r="P374" s="155" t="s">
        <v>348</v>
      </c>
      <c r="Q374" s="53">
        <v>80111600</v>
      </c>
      <c r="R374" s="158" t="s">
        <v>210</v>
      </c>
      <c r="S374" s="158" t="str">
        <f>MID(PAA[[#This Row],[Meta Proyecto de Inversión]],1,4)</f>
        <v>8173</v>
      </c>
      <c r="T374" s="158" t="str">
        <f>MID(PAA[[#This Row],[Meta Proyecto de Inversión]],6,1)</f>
        <v>1</v>
      </c>
      <c r="U374" s="159" t="str">
        <f>IFERROR(VLOOKUP(N374,TD!$B$50:$F$54,2,0)," ")</f>
        <v>O230117</v>
      </c>
      <c r="V374" s="159" t="str">
        <f>IFERROR(VLOOKUP(N374,TD!$B$50:$F$54,3,0)," ")</f>
        <v>4503</v>
      </c>
      <c r="W374" s="159">
        <f>IFERROR(VLOOKUP(N374,TD!$B$50:$F$54,4,0)," ")</f>
        <v>20240255</v>
      </c>
      <c r="X374" s="158" t="s">
        <v>166</v>
      </c>
      <c r="Y374" s="159" t="str">
        <f>IFERROR(VLOOKUP(X374,TD!$J$51:$K$64,2,0)," ")</f>
        <v>Servicio de capacitaciones en gestión del riesgo de incendios  a la ciudadania.</v>
      </c>
      <c r="Z374" s="160" t="str">
        <f>CONCATENATE(X374,"-",Y374)</f>
        <v>05-Servicio de capacitaciones en gestión del riesgo de incendios  a la ciudadania.</v>
      </c>
      <c r="AA374" s="158" t="s">
        <v>223</v>
      </c>
      <c r="AB374" s="159" t="str">
        <f>IFERROR(VLOOKUP(AA374,TD!$N$51:$O$66,2,0)," ")</f>
        <v>Servicio prevención y control de incendios</v>
      </c>
      <c r="AC374" s="160" t="str">
        <f>CONCATENATE(AA374,"_",AB374)</f>
        <v>035_Servicio prevención y control de incendios</v>
      </c>
      <c r="AD374" s="160" t="str">
        <f>CONCATENATE(Z374," ",AC374)</f>
        <v>05-Servicio de capacitaciones en gestión del riesgo de incendios  a la ciudadania. 035_Servicio prevención y control de incendios</v>
      </c>
      <c r="AE374" s="159" t="str">
        <f>CONCATENATE(U374,V374,W374,X374,AA374)</f>
        <v>O23011745032024025505035</v>
      </c>
      <c r="AF374" s="159" t="str">
        <f>IFERROR(VLOOKUP(AD374,TD!$J$66:$K$89,2,0)," ")</f>
        <v>PM/0131/0105/45030350255</v>
      </c>
      <c r="AG374" s="118" t="s">
        <v>385</v>
      </c>
      <c r="AH374" s="158" t="s">
        <v>193</v>
      </c>
      <c r="AI374" s="161" t="str">
        <f>CONCATENATE(PAA[[#This Row],[Id Interno]],"-",PAA[[#This Row],[tipo de Contrato (TH talento humano - B/S bienes y/o servicios)]],"-",S374,"-",T374,"-",PAA[[#This Row],[Objeto de la contratación]])</f>
        <v xml:space="preserve">20260340-TH-8173-1-Prestar servicios profesionales para la gestión misional en sus componentes técnico, administrativo y financiero de la Subdirección de Gestión del Riesgo_SGR. </v>
      </c>
    </row>
    <row r="375" spans="2:35" ht="56" x14ac:dyDescent="0.35">
      <c r="B375" s="23">
        <v>20260341</v>
      </c>
      <c r="C375" s="99" t="s">
        <v>551</v>
      </c>
      <c r="D375" s="23" t="s">
        <v>105</v>
      </c>
      <c r="E375" s="23" t="s">
        <v>363</v>
      </c>
      <c r="F375" s="155" t="s">
        <v>144</v>
      </c>
      <c r="G375" s="156" t="s">
        <v>373</v>
      </c>
      <c r="H375" s="157">
        <v>8</v>
      </c>
      <c r="I375" s="157">
        <v>0</v>
      </c>
      <c r="J375" s="127">
        <v>72800000</v>
      </c>
      <c r="K375" s="88" t="s">
        <v>398</v>
      </c>
      <c r="L375" s="155" t="s">
        <v>156</v>
      </c>
      <c r="M375" s="158" t="s">
        <v>513</v>
      </c>
      <c r="N375" s="23" t="s">
        <v>198</v>
      </c>
      <c r="O375" s="151" t="s">
        <v>958</v>
      </c>
      <c r="P375" s="155" t="s">
        <v>348</v>
      </c>
      <c r="Q375" s="53">
        <v>80111600</v>
      </c>
      <c r="R375" s="158" t="s">
        <v>210</v>
      </c>
      <c r="S375" s="158" t="str">
        <f>MID(PAA[[#This Row],[Meta Proyecto de Inversión]],1,4)</f>
        <v>8173</v>
      </c>
      <c r="T375" s="158" t="str">
        <f>MID(PAA[[#This Row],[Meta Proyecto de Inversión]],6,1)</f>
        <v>1</v>
      </c>
      <c r="U375" s="159" t="str">
        <f>IFERROR(VLOOKUP(N375,TD!$B$50:$F$54,2,0)," ")</f>
        <v>O230117</v>
      </c>
      <c r="V375" s="159" t="str">
        <f>IFERROR(VLOOKUP(N375,TD!$B$50:$F$54,3,0)," ")</f>
        <v>4503</v>
      </c>
      <c r="W375" s="159">
        <f>IFERROR(VLOOKUP(N375,TD!$B$50:$F$54,4,0)," ")</f>
        <v>20240255</v>
      </c>
      <c r="X375" s="158" t="s">
        <v>170</v>
      </c>
      <c r="Y375" s="159" t="str">
        <f>IFERROR(VLOOKUP(X375,TD!$J$51:$K$64,2,0)," ")</f>
        <v>Servicio de inspecciones técnicas realizadas</v>
      </c>
      <c r="Z375" s="160" t="str">
        <f>CONCATENATE(X375,"-",Y375)</f>
        <v>06-Servicio de inspecciones técnicas realizadas</v>
      </c>
      <c r="AA375" s="158" t="s">
        <v>223</v>
      </c>
      <c r="AB375" s="159" t="str">
        <f>IFERROR(VLOOKUP(AA375,TD!$N$51:$O$66,2,0)," ")</f>
        <v>Servicio prevención y control de incendios</v>
      </c>
      <c r="AC375" s="160" t="str">
        <f>CONCATENATE(AA375,"_",AB375)</f>
        <v>035_Servicio prevención y control de incendios</v>
      </c>
      <c r="AD375" s="160" t="str">
        <f>CONCATENATE(Z375," ",AC375)</f>
        <v>06-Servicio de inspecciones técnicas realizadas 035_Servicio prevención y control de incendios</v>
      </c>
      <c r="AE375" s="159" t="str">
        <f>CONCATENATE(U375,V375,W375,X375,AA375)</f>
        <v>O23011745032024025506035</v>
      </c>
      <c r="AF375" s="159" t="str">
        <f>IFERROR(VLOOKUP(AD375,TD!$J$66:$K$89,2,0)," ")</f>
        <v>PM/0131/0106/45030350255</v>
      </c>
      <c r="AG375" s="118" t="s">
        <v>385</v>
      </c>
      <c r="AH375" s="158" t="s">
        <v>193</v>
      </c>
      <c r="AI375" s="161" t="str">
        <f>CONCATENATE(PAA[[#This Row],[Id Interno]],"-",PAA[[#This Row],[tipo de Contrato (TH talento humano - B/S bienes y/o servicios)]],"-",S375,"-",T375,"-",PAA[[#This Row],[Objeto de la contratación]])</f>
        <v>20260341-TH-8173-1-Prestar servicios profesionales  liderando las actividades del proceso de inspecciones técnicas de la subdireccion de gestion del riesgo.._SGR</v>
      </c>
    </row>
    <row r="376" spans="2:35" ht="56" x14ac:dyDescent="0.35">
      <c r="B376" s="23">
        <v>20260342</v>
      </c>
      <c r="C376" s="99" t="s">
        <v>552</v>
      </c>
      <c r="D376" s="23" t="s">
        <v>105</v>
      </c>
      <c r="E376" s="23" t="s">
        <v>363</v>
      </c>
      <c r="F376" s="155" t="s">
        <v>144</v>
      </c>
      <c r="G376" s="156" t="s">
        <v>373</v>
      </c>
      <c r="H376" s="157">
        <v>10</v>
      </c>
      <c r="I376" s="157">
        <v>0</v>
      </c>
      <c r="J376" s="127">
        <v>50000000</v>
      </c>
      <c r="K376" s="88" t="s">
        <v>398</v>
      </c>
      <c r="L376" s="155" t="s">
        <v>156</v>
      </c>
      <c r="M376" s="158" t="s">
        <v>513</v>
      </c>
      <c r="N376" s="23" t="s">
        <v>198</v>
      </c>
      <c r="O376" s="151" t="s">
        <v>958</v>
      </c>
      <c r="P376" s="155" t="s">
        <v>348</v>
      </c>
      <c r="Q376" s="53">
        <v>80111600</v>
      </c>
      <c r="R376" s="158" t="s">
        <v>210</v>
      </c>
      <c r="S376" s="158" t="str">
        <f>MID(PAA[[#This Row],[Meta Proyecto de Inversión]],1,4)</f>
        <v>8173</v>
      </c>
      <c r="T376" s="158" t="str">
        <f>MID(PAA[[#This Row],[Meta Proyecto de Inversión]],6,1)</f>
        <v>1</v>
      </c>
      <c r="U376" s="159" t="str">
        <f>IFERROR(VLOOKUP(N376,TD!$B$50:$F$54,2,0)," ")</f>
        <v>O230117</v>
      </c>
      <c r="V376" s="159" t="str">
        <f>IFERROR(VLOOKUP(N376,TD!$B$50:$F$54,3,0)," ")</f>
        <v>4503</v>
      </c>
      <c r="W376" s="159">
        <f>IFERROR(VLOOKUP(N376,TD!$B$50:$F$54,4,0)," ")</f>
        <v>20240255</v>
      </c>
      <c r="X376" s="158" t="s">
        <v>170</v>
      </c>
      <c r="Y376" s="159" t="str">
        <f>IFERROR(VLOOKUP(X376,TD!$J$51:$K$64,2,0)," ")</f>
        <v>Servicio de inspecciones técnicas realizadas</v>
      </c>
      <c r="Z376" s="160" t="str">
        <f>CONCATENATE(X376,"-",Y376)</f>
        <v>06-Servicio de inspecciones técnicas realizadas</v>
      </c>
      <c r="AA376" s="158" t="s">
        <v>223</v>
      </c>
      <c r="AB376" s="159" t="str">
        <f>IFERROR(VLOOKUP(AA376,TD!$N$51:$O$66,2,0)," ")</f>
        <v>Servicio prevención y control de incendios</v>
      </c>
      <c r="AC376" s="160" t="str">
        <f>CONCATENATE(AA376,"_",AB376)</f>
        <v>035_Servicio prevención y control de incendios</v>
      </c>
      <c r="AD376" s="160" t="str">
        <f>CONCATENATE(Z376," ",AC376)</f>
        <v>06-Servicio de inspecciones técnicas realizadas 035_Servicio prevención y control de incendios</v>
      </c>
      <c r="AE376" s="159" t="str">
        <f>CONCATENATE(U376,V376,W376,X376,AA376)</f>
        <v>O23011745032024025506035</v>
      </c>
      <c r="AF376" s="159" t="str">
        <f>IFERROR(VLOOKUP(AD376,TD!$J$66:$K$89,2,0)," ")</f>
        <v>PM/0131/0106/45030350255</v>
      </c>
      <c r="AG376" s="118" t="s">
        <v>385</v>
      </c>
      <c r="AH376" s="158" t="s">
        <v>193</v>
      </c>
      <c r="AI376" s="161" t="str">
        <f>CONCATENATE(PAA[[#This Row],[Id Interno]],"-",PAA[[#This Row],[tipo de Contrato (TH talento humano - B/S bienes y/o servicios)]],"-",S376,"-",T376,"-",PAA[[#This Row],[Objeto de la contratación]])</f>
        <v>20260342-TH-8173-1-Prestar  servicios profesionales en las actividades relacionadas con la emision de conceptos a cargo de la Subdirección de Gestión del Riesgo._SGR</v>
      </c>
    </row>
    <row r="377" spans="2:35" ht="56" x14ac:dyDescent="0.35">
      <c r="B377" s="23">
        <v>20260343</v>
      </c>
      <c r="C377" s="99" t="s">
        <v>552</v>
      </c>
      <c r="D377" s="23" t="s">
        <v>105</v>
      </c>
      <c r="E377" s="23" t="s">
        <v>363</v>
      </c>
      <c r="F377" s="155" t="s">
        <v>144</v>
      </c>
      <c r="G377" s="156" t="s">
        <v>373</v>
      </c>
      <c r="H377" s="157">
        <v>9</v>
      </c>
      <c r="I377" s="157">
        <v>0</v>
      </c>
      <c r="J377" s="127">
        <v>45400000</v>
      </c>
      <c r="K377" s="88" t="s">
        <v>398</v>
      </c>
      <c r="L377" s="155" t="s">
        <v>156</v>
      </c>
      <c r="M377" s="158" t="s">
        <v>513</v>
      </c>
      <c r="N377" s="23" t="s">
        <v>198</v>
      </c>
      <c r="O377" s="151" t="s">
        <v>958</v>
      </c>
      <c r="P377" s="155" t="s">
        <v>348</v>
      </c>
      <c r="Q377" s="53">
        <v>80111600</v>
      </c>
      <c r="R377" s="158" t="s">
        <v>210</v>
      </c>
      <c r="S377" s="158" t="str">
        <f>MID(PAA[[#This Row],[Meta Proyecto de Inversión]],1,4)</f>
        <v>8173</v>
      </c>
      <c r="T377" s="158" t="str">
        <f>MID(PAA[[#This Row],[Meta Proyecto de Inversión]],6,1)</f>
        <v>1</v>
      </c>
      <c r="U377" s="159" t="str">
        <f>IFERROR(VLOOKUP(N377,TD!$B$50:$F$54,2,0)," ")</f>
        <v>O230117</v>
      </c>
      <c r="V377" s="159" t="str">
        <f>IFERROR(VLOOKUP(N377,TD!$B$50:$F$54,3,0)," ")</f>
        <v>4503</v>
      </c>
      <c r="W377" s="159">
        <f>IFERROR(VLOOKUP(N377,TD!$B$50:$F$54,4,0)," ")</f>
        <v>20240255</v>
      </c>
      <c r="X377" s="158" t="s">
        <v>170</v>
      </c>
      <c r="Y377" s="159" t="str">
        <f>IFERROR(VLOOKUP(X377,TD!$J$51:$K$64,2,0)," ")</f>
        <v>Servicio de inspecciones técnicas realizadas</v>
      </c>
      <c r="Z377" s="160" t="str">
        <f>CONCATENATE(X377,"-",Y377)</f>
        <v>06-Servicio de inspecciones técnicas realizadas</v>
      </c>
      <c r="AA377" s="158" t="s">
        <v>223</v>
      </c>
      <c r="AB377" s="159" t="str">
        <f>IFERROR(VLOOKUP(AA377,TD!$N$51:$O$66,2,0)," ")</f>
        <v>Servicio prevención y control de incendios</v>
      </c>
      <c r="AC377" s="160" t="str">
        <f>CONCATENATE(AA377,"_",AB377)</f>
        <v>035_Servicio prevención y control de incendios</v>
      </c>
      <c r="AD377" s="160" t="str">
        <f>CONCATENATE(Z377," ",AC377)</f>
        <v>06-Servicio de inspecciones técnicas realizadas 035_Servicio prevención y control de incendios</v>
      </c>
      <c r="AE377" s="159" t="str">
        <f>CONCATENATE(U377,V377,W377,X377,AA377)</f>
        <v>O23011745032024025506035</v>
      </c>
      <c r="AF377" s="159" t="str">
        <f>IFERROR(VLOOKUP(AD377,TD!$J$66:$K$89,2,0)," ")</f>
        <v>PM/0131/0106/45030350255</v>
      </c>
      <c r="AG377" s="118" t="s">
        <v>385</v>
      </c>
      <c r="AH377" s="158" t="s">
        <v>193</v>
      </c>
      <c r="AI377" s="161" t="str">
        <f>CONCATENATE(PAA[[#This Row],[Id Interno]],"-",PAA[[#This Row],[tipo de Contrato (TH talento humano - B/S bienes y/o servicios)]],"-",S377,"-",T377,"-",PAA[[#This Row],[Objeto de la contratación]])</f>
        <v>20260343-TH-8173-1-Prestar  servicios profesionales en las actividades relacionadas con la emision de conceptos a cargo de la Subdirección de Gestión del Riesgo._SGR</v>
      </c>
    </row>
    <row r="378" spans="2:35" ht="56" x14ac:dyDescent="0.35">
      <c r="B378" s="23">
        <v>20260344</v>
      </c>
      <c r="C378" s="99" t="s">
        <v>553</v>
      </c>
      <c r="D378" s="23" t="s">
        <v>105</v>
      </c>
      <c r="E378" s="23" t="s">
        <v>363</v>
      </c>
      <c r="F378" s="155" t="s">
        <v>144</v>
      </c>
      <c r="G378" s="156" t="s">
        <v>373</v>
      </c>
      <c r="H378" s="157">
        <v>8</v>
      </c>
      <c r="I378" s="157">
        <v>0</v>
      </c>
      <c r="J378" s="127">
        <v>48000000</v>
      </c>
      <c r="K378" s="88" t="s">
        <v>398</v>
      </c>
      <c r="L378" s="155" t="s">
        <v>156</v>
      </c>
      <c r="M378" s="158" t="s">
        <v>513</v>
      </c>
      <c r="N378" s="23" t="s">
        <v>198</v>
      </c>
      <c r="O378" s="151" t="s">
        <v>958</v>
      </c>
      <c r="P378" s="155" t="s">
        <v>348</v>
      </c>
      <c r="Q378" s="53">
        <v>80111600</v>
      </c>
      <c r="R378" s="158" t="s">
        <v>210</v>
      </c>
      <c r="S378" s="158" t="str">
        <f>MID(PAA[[#This Row],[Meta Proyecto de Inversión]],1,4)</f>
        <v>8173</v>
      </c>
      <c r="T378" s="158" t="str">
        <f>MID(PAA[[#This Row],[Meta Proyecto de Inversión]],6,1)</f>
        <v>1</v>
      </c>
      <c r="U378" s="159" t="str">
        <f>IFERROR(VLOOKUP(N378,TD!$B$50:$F$54,2,0)," ")</f>
        <v>O230117</v>
      </c>
      <c r="V378" s="159" t="str">
        <f>IFERROR(VLOOKUP(N378,TD!$B$50:$F$54,3,0)," ")</f>
        <v>4503</v>
      </c>
      <c r="W378" s="159">
        <f>IFERROR(VLOOKUP(N378,TD!$B$50:$F$54,4,0)," ")</f>
        <v>20240255</v>
      </c>
      <c r="X378" s="158" t="s">
        <v>170</v>
      </c>
      <c r="Y378" s="159" t="str">
        <f>IFERROR(VLOOKUP(X378,TD!$J$51:$K$64,2,0)," ")</f>
        <v>Servicio de inspecciones técnicas realizadas</v>
      </c>
      <c r="Z378" s="160" t="str">
        <f>CONCATENATE(X378,"-",Y378)</f>
        <v>06-Servicio de inspecciones técnicas realizadas</v>
      </c>
      <c r="AA378" s="158" t="s">
        <v>223</v>
      </c>
      <c r="AB378" s="159" t="str">
        <f>IFERROR(VLOOKUP(AA378,TD!$N$51:$O$66,2,0)," ")</f>
        <v>Servicio prevención y control de incendios</v>
      </c>
      <c r="AC378" s="160" t="str">
        <f>CONCATENATE(AA378,"_",AB378)</f>
        <v>035_Servicio prevención y control de incendios</v>
      </c>
      <c r="AD378" s="160" t="str">
        <f>CONCATENATE(Z378," ",AC378)</f>
        <v>06-Servicio de inspecciones técnicas realizadas 035_Servicio prevención y control de incendios</v>
      </c>
      <c r="AE378" s="159" t="str">
        <f>CONCATENATE(U378,V378,W378,X378,AA378)</f>
        <v>O23011745032024025506035</v>
      </c>
      <c r="AF378" s="159" t="str">
        <f>IFERROR(VLOOKUP(AD378,TD!$J$66:$K$89,2,0)," ")</f>
        <v>PM/0131/0106/45030350255</v>
      </c>
      <c r="AG378" s="118" t="s">
        <v>385</v>
      </c>
      <c r="AH378" s="158" t="s">
        <v>193</v>
      </c>
      <c r="AI378" s="161" t="str">
        <f>CONCATENATE(PAA[[#This Row],[Id Interno]],"-",PAA[[#This Row],[tipo de Contrato (TH talento humano - B/S bienes y/o servicios)]],"-",S378,"-",T378,"-",PAA[[#This Row],[Objeto de la contratación]])</f>
        <v>20260344-TH-8173-1-Prestarservicios profesionales en las actividades relacionadas con la emision de conceptos a cargo de la Subdirección de Gestión del Riesgo._SGR</v>
      </c>
    </row>
    <row r="379" spans="2:35" ht="56" x14ac:dyDescent="0.35">
      <c r="B379" s="23">
        <v>20260345</v>
      </c>
      <c r="C379" s="99" t="s">
        <v>553</v>
      </c>
      <c r="D379" s="23" t="s">
        <v>105</v>
      </c>
      <c r="E379" s="23" t="s">
        <v>363</v>
      </c>
      <c r="F379" s="155" t="s">
        <v>144</v>
      </c>
      <c r="G379" s="156" t="s">
        <v>373</v>
      </c>
      <c r="H379" s="157">
        <v>8</v>
      </c>
      <c r="I379" s="157">
        <v>0</v>
      </c>
      <c r="J379" s="127">
        <v>48000000</v>
      </c>
      <c r="K379" s="88" t="s">
        <v>398</v>
      </c>
      <c r="L379" s="155" t="s">
        <v>156</v>
      </c>
      <c r="M379" s="158" t="s">
        <v>513</v>
      </c>
      <c r="N379" s="23" t="s">
        <v>198</v>
      </c>
      <c r="O379" s="151" t="s">
        <v>958</v>
      </c>
      <c r="P379" s="155" t="s">
        <v>348</v>
      </c>
      <c r="Q379" s="53">
        <v>80111600</v>
      </c>
      <c r="R379" s="158" t="s">
        <v>210</v>
      </c>
      <c r="S379" s="158" t="str">
        <f>MID(PAA[[#This Row],[Meta Proyecto de Inversión]],1,4)</f>
        <v>8173</v>
      </c>
      <c r="T379" s="158" t="str">
        <f>MID(PAA[[#This Row],[Meta Proyecto de Inversión]],6,1)</f>
        <v>1</v>
      </c>
      <c r="U379" s="159" t="str">
        <f>IFERROR(VLOOKUP(N379,TD!$B$50:$F$54,2,0)," ")</f>
        <v>O230117</v>
      </c>
      <c r="V379" s="159" t="str">
        <f>IFERROR(VLOOKUP(N379,TD!$B$50:$F$54,3,0)," ")</f>
        <v>4503</v>
      </c>
      <c r="W379" s="159">
        <f>IFERROR(VLOOKUP(N379,TD!$B$50:$F$54,4,0)," ")</f>
        <v>20240255</v>
      </c>
      <c r="X379" s="158" t="s">
        <v>170</v>
      </c>
      <c r="Y379" s="159" t="str">
        <f>IFERROR(VLOOKUP(X379,TD!$J$51:$K$64,2,0)," ")</f>
        <v>Servicio de inspecciones técnicas realizadas</v>
      </c>
      <c r="Z379" s="160" t="str">
        <f>CONCATENATE(X379,"-",Y379)</f>
        <v>06-Servicio de inspecciones técnicas realizadas</v>
      </c>
      <c r="AA379" s="158" t="s">
        <v>223</v>
      </c>
      <c r="AB379" s="159" t="str">
        <f>IFERROR(VLOOKUP(AA379,TD!$N$51:$O$66,2,0)," ")</f>
        <v>Servicio prevención y control de incendios</v>
      </c>
      <c r="AC379" s="160" t="str">
        <f>CONCATENATE(AA379,"_",AB379)</f>
        <v>035_Servicio prevención y control de incendios</v>
      </c>
      <c r="AD379" s="160" t="str">
        <f>CONCATENATE(Z379," ",AC379)</f>
        <v>06-Servicio de inspecciones técnicas realizadas 035_Servicio prevención y control de incendios</v>
      </c>
      <c r="AE379" s="159" t="str">
        <f>CONCATENATE(U379,V379,W379,X379,AA379)</f>
        <v>O23011745032024025506035</v>
      </c>
      <c r="AF379" s="159" t="str">
        <f>IFERROR(VLOOKUP(AD379,TD!$J$66:$K$89,2,0)," ")</f>
        <v>PM/0131/0106/45030350255</v>
      </c>
      <c r="AG379" s="118" t="s">
        <v>385</v>
      </c>
      <c r="AH379" s="158" t="s">
        <v>193</v>
      </c>
      <c r="AI379" s="161" t="str">
        <f>CONCATENATE(PAA[[#This Row],[Id Interno]],"-",PAA[[#This Row],[tipo de Contrato (TH talento humano - B/S bienes y/o servicios)]],"-",S379,"-",T379,"-",PAA[[#This Row],[Objeto de la contratación]])</f>
        <v>20260345-TH-8173-1-Prestarservicios profesionales en las actividades relacionadas con la emision de conceptos a cargo de la Subdirección de Gestión del Riesgo._SGR</v>
      </c>
    </row>
    <row r="380" spans="2:35" ht="56" x14ac:dyDescent="0.35">
      <c r="B380" s="23">
        <v>20260346</v>
      </c>
      <c r="C380" s="99" t="s">
        <v>553</v>
      </c>
      <c r="D380" s="23" t="s">
        <v>105</v>
      </c>
      <c r="E380" s="23" t="s">
        <v>363</v>
      </c>
      <c r="F380" s="155" t="s">
        <v>144</v>
      </c>
      <c r="G380" s="156" t="s">
        <v>373</v>
      </c>
      <c r="H380" s="157">
        <v>8</v>
      </c>
      <c r="I380" s="157">
        <v>0</v>
      </c>
      <c r="J380" s="127">
        <v>48000000</v>
      </c>
      <c r="K380" s="88" t="s">
        <v>398</v>
      </c>
      <c r="L380" s="155" t="s">
        <v>156</v>
      </c>
      <c r="M380" s="158" t="s">
        <v>513</v>
      </c>
      <c r="N380" s="23" t="s">
        <v>198</v>
      </c>
      <c r="O380" s="151" t="s">
        <v>958</v>
      </c>
      <c r="P380" s="155" t="s">
        <v>348</v>
      </c>
      <c r="Q380" s="53">
        <v>80111600</v>
      </c>
      <c r="R380" s="158" t="s">
        <v>210</v>
      </c>
      <c r="S380" s="158" t="str">
        <f>MID(PAA[[#This Row],[Meta Proyecto de Inversión]],1,4)</f>
        <v>8173</v>
      </c>
      <c r="T380" s="158" t="str">
        <f>MID(PAA[[#This Row],[Meta Proyecto de Inversión]],6,1)</f>
        <v>1</v>
      </c>
      <c r="U380" s="159" t="str">
        <f>IFERROR(VLOOKUP(N380,TD!$B$50:$F$54,2,0)," ")</f>
        <v>O230117</v>
      </c>
      <c r="V380" s="159" t="str">
        <f>IFERROR(VLOOKUP(N380,TD!$B$50:$F$54,3,0)," ")</f>
        <v>4503</v>
      </c>
      <c r="W380" s="159">
        <f>IFERROR(VLOOKUP(N380,TD!$B$50:$F$54,4,0)," ")</f>
        <v>20240255</v>
      </c>
      <c r="X380" s="158" t="s">
        <v>170</v>
      </c>
      <c r="Y380" s="159" t="str">
        <f>IFERROR(VLOOKUP(X380,TD!$J$51:$K$64,2,0)," ")</f>
        <v>Servicio de inspecciones técnicas realizadas</v>
      </c>
      <c r="Z380" s="160" t="str">
        <f>CONCATENATE(X380,"-",Y380)</f>
        <v>06-Servicio de inspecciones técnicas realizadas</v>
      </c>
      <c r="AA380" s="158" t="s">
        <v>223</v>
      </c>
      <c r="AB380" s="159" t="str">
        <f>IFERROR(VLOOKUP(AA380,TD!$N$51:$O$66,2,0)," ")</f>
        <v>Servicio prevención y control de incendios</v>
      </c>
      <c r="AC380" s="160" t="str">
        <f>CONCATENATE(AA380,"_",AB380)</f>
        <v>035_Servicio prevención y control de incendios</v>
      </c>
      <c r="AD380" s="160" t="str">
        <f>CONCATENATE(Z380," ",AC380)</f>
        <v>06-Servicio de inspecciones técnicas realizadas 035_Servicio prevención y control de incendios</v>
      </c>
      <c r="AE380" s="159" t="str">
        <f>CONCATENATE(U380,V380,W380,X380,AA380)</f>
        <v>O23011745032024025506035</v>
      </c>
      <c r="AF380" s="159" t="str">
        <f>IFERROR(VLOOKUP(AD380,TD!$J$66:$K$89,2,0)," ")</f>
        <v>PM/0131/0106/45030350255</v>
      </c>
      <c r="AG380" s="118" t="s">
        <v>385</v>
      </c>
      <c r="AH380" s="158" t="s">
        <v>193</v>
      </c>
      <c r="AI380" s="161" t="str">
        <f>CONCATENATE(PAA[[#This Row],[Id Interno]],"-",PAA[[#This Row],[tipo de Contrato (TH talento humano - B/S bienes y/o servicios)]],"-",S380,"-",T380,"-",PAA[[#This Row],[Objeto de la contratación]])</f>
        <v>20260346-TH-8173-1-Prestarservicios profesionales en las actividades relacionadas con la emision de conceptos a cargo de la Subdirección de Gestión del Riesgo._SGR</v>
      </c>
    </row>
    <row r="381" spans="2:35" ht="56" x14ac:dyDescent="0.35">
      <c r="B381" s="23">
        <v>20260347</v>
      </c>
      <c r="C381" s="99" t="s">
        <v>553</v>
      </c>
      <c r="D381" s="23" t="s">
        <v>105</v>
      </c>
      <c r="E381" s="23" t="s">
        <v>363</v>
      </c>
      <c r="F381" s="155" t="s">
        <v>144</v>
      </c>
      <c r="G381" s="156" t="s">
        <v>373</v>
      </c>
      <c r="H381" s="157">
        <v>10</v>
      </c>
      <c r="I381" s="157">
        <v>0</v>
      </c>
      <c r="J381" s="127">
        <v>70000000</v>
      </c>
      <c r="K381" s="88" t="s">
        <v>398</v>
      </c>
      <c r="L381" s="155" t="s">
        <v>156</v>
      </c>
      <c r="M381" s="158" t="s">
        <v>513</v>
      </c>
      <c r="N381" s="23" t="s">
        <v>198</v>
      </c>
      <c r="O381" s="151" t="s">
        <v>958</v>
      </c>
      <c r="P381" s="155" t="s">
        <v>348</v>
      </c>
      <c r="Q381" s="53">
        <v>80111600</v>
      </c>
      <c r="R381" s="158" t="s">
        <v>210</v>
      </c>
      <c r="S381" s="158" t="str">
        <f>MID(PAA[[#This Row],[Meta Proyecto de Inversión]],1,4)</f>
        <v>8173</v>
      </c>
      <c r="T381" s="158" t="str">
        <f>MID(PAA[[#This Row],[Meta Proyecto de Inversión]],6,1)</f>
        <v>1</v>
      </c>
      <c r="U381" s="159" t="str">
        <f>IFERROR(VLOOKUP(N381,TD!$B$50:$F$54,2,0)," ")</f>
        <v>O230117</v>
      </c>
      <c r="V381" s="159" t="str">
        <f>IFERROR(VLOOKUP(N381,TD!$B$50:$F$54,3,0)," ")</f>
        <v>4503</v>
      </c>
      <c r="W381" s="159">
        <f>IFERROR(VLOOKUP(N381,TD!$B$50:$F$54,4,0)," ")</f>
        <v>20240255</v>
      </c>
      <c r="X381" s="158" t="s">
        <v>170</v>
      </c>
      <c r="Y381" s="159" t="str">
        <f>IFERROR(VLOOKUP(X381,TD!$J$51:$K$64,2,0)," ")</f>
        <v>Servicio de inspecciones técnicas realizadas</v>
      </c>
      <c r="Z381" s="160" t="str">
        <f>CONCATENATE(X381,"-",Y381)</f>
        <v>06-Servicio de inspecciones técnicas realizadas</v>
      </c>
      <c r="AA381" s="158" t="s">
        <v>223</v>
      </c>
      <c r="AB381" s="159" t="str">
        <f>IFERROR(VLOOKUP(AA381,TD!$N$51:$O$66,2,0)," ")</f>
        <v>Servicio prevención y control de incendios</v>
      </c>
      <c r="AC381" s="160" t="str">
        <f>CONCATENATE(AA381,"_",AB381)</f>
        <v>035_Servicio prevención y control de incendios</v>
      </c>
      <c r="AD381" s="160" t="str">
        <f>CONCATENATE(Z381," ",AC381)</f>
        <v>06-Servicio de inspecciones técnicas realizadas 035_Servicio prevención y control de incendios</v>
      </c>
      <c r="AE381" s="159" t="str">
        <f>CONCATENATE(U381,V381,W381,X381,AA381)</f>
        <v>O23011745032024025506035</v>
      </c>
      <c r="AF381" s="159" t="str">
        <f>IFERROR(VLOOKUP(AD381,TD!$J$66:$K$89,2,0)," ")</f>
        <v>PM/0131/0106/45030350255</v>
      </c>
      <c r="AG381" s="118" t="s">
        <v>385</v>
      </c>
      <c r="AH381" s="158" t="s">
        <v>193</v>
      </c>
      <c r="AI381" s="161" t="str">
        <f>CONCATENATE(PAA[[#This Row],[Id Interno]],"-",PAA[[#This Row],[tipo de Contrato (TH talento humano - B/S bienes y/o servicios)]],"-",S381,"-",T381,"-",PAA[[#This Row],[Objeto de la contratación]])</f>
        <v>20260347-TH-8173-1-Prestarservicios profesionales en las actividades relacionadas con la emision de conceptos a cargo de la Subdirección de Gestión del Riesgo._SGR</v>
      </c>
    </row>
    <row r="382" spans="2:35" ht="56" x14ac:dyDescent="0.35">
      <c r="B382" s="23">
        <v>20260348</v>
      </c>
      <c r="C382" s="99" t="s">
        <v>553</v>
      </c>
      <c r="D382" s="23" t="s">
        <v>105</v>
      </c>
      <c r="E382" s="23" t="s">
        <v>363</v>
      </c>
      <c r="F382" s="155" t="s">
        <v>144</v>
      </c>
      <c r="G382" s="156" t="s">
        <v>373</v>
      </c>
      <c r="H382" s="157">
        <v>10</v>
      </c>
      <c r="I382" s="157">
        <v>0</v>
      </c>
      <c r="J382" s="127">
        <v>70000000</v>
      </c>
      <c r="K382" s="88" t="s">
        <v>398</v>
      </c>
      <c r="L382" s="155" t="s">
        <v>156</v>
      </c>
      <c r="M382" s="158" t="s">
        <v>513</v>
      </c>
      <c r="N382" s="23" t="s">
        <v>198</v>
      </c>
      <c r="O382" s="151" t="s">
        <v>958</v>
      </c>
      <c r="P382" s="155" t="s">
        <v>348</v>
      </c>
      <c r="Q382" s="53">
        <v>80111600</v>
      </c>
      <c r="R382" s="158" t="s">
        <v>210</v>
      </c>
      <c r="S382" s="158" t="str">
        <f>MID(PAA[[#This Row],[Meta Proyecto de Inversión]],1,4)</f>
        <v>8173</v>
      </c>
      <c r="T382" s="158" t="str">
        <f>MID(PAA[[#This Row],[Meta Proyecto de Inversión]],6,1)</f>
        <v>1</v>
      </c>
      <c r="U382" s="159" t="str">
        <f>IFERROR(VLOOKUP(N382,TD!$B$50:$F$54,2,0)," ")</f>
        <v>O230117</v>
      </c>
      <c r="V382" s="159" t="str">
        <f>IFERROR(VLOOKUP(N382,TD!$B$50:$F$54,3,0)," ")</f>
        <v>4503</v>
      </c>
      <c r="W382" s="159">
        <f>IFERROR(VLOOKUP(N382,TD!$B$50:$F$54,4,0)," ")</f>
        <v>20240255</v>
      </c>
      <c r="X382" s="158" t="s">
        <v>170</v>
      </c>
      <c r="Y382" s="159" t="str">
        <f>IFERROR(VLOOKUP(X382,TD!$J$51:$K$64,2,0)," ")</f>
        <v>Servicio de inspecciones técnicas realizadas</v>
      </c>
      <c r="Z382" s="160" t="str">
        <f>CONCATENATE(X382,"-",Y382)</f>
        <v>06-Servicio de inspecciones técnicas realizadas</v>
      </c>
      <c r="AA382" s="158" t="s">
        <v>223</v>
      </c>
      <c r="AB382" s="159" t="str">
        <f>IFERROR(VLOOKUP(AA382,TD!$N$51:$O$66,2,0)," ")</f>
        <v>Servicio prevención y control de incendios</v>
      </c>
      <c r="AC382" s="160" t="str">
        <f>CONCATENATE(AA382,"_",AB382)</f>
        <v>035_Servicio prevención y control de incendios</v>
      </c>
      <c r="AD382" s="160" t="str">
        <f>CONCATENATE(Z382," ",AC382)</f>
        <v>06-Servicio de inspecciones técnicas realizadas 035_Servicio prevención y control de incendios</v>
      </c>
      <c r="AE382" s="159" t="str">
        <f>CONCATENATE(U382,V382,W382,X382,AA382)</f>
        <v>O23011745032024025506035</v>
      </c>
      <c r="AF382" s="159" t="str">
        <f>IFERROR(VLOOKUP(AD382,TD!$J$66:$K$89,2,0)," ")</f>
        <v>PM/0131/0106/45030350255</v>
      </c>
      <c r="AG382" s="118" t="s">
        <v>385</v>
      </c>
      <c r="AH382" s="158" t="s">
        <v>193</v>
      </c>
      <c r="AI382" s="161" t="str">
        <f>CONCATENATE(PAA[[#This Row],[Id Interno]],"-",PAA[[#This Row],[tipo de Contrato (TH talento humano - B/S bienes y/o servicios)]],"-",S382,"-",T382,"-",PAA[[#This Row],[Objeto de la contratación]])</f>
        <v>20260348-TH-8173-1-Prestarservicios profesionales en las actividades relacionadas con la emision de conceptos a cargo de la Subdirección de Gestión del Riesgo._SGR</v>
      </c>
    </row>
    <row r="383" spans="2:35" ht="56" x14ac:dyDescent="0.35">
      <c r="B383" s="23">
        <v>20260349</v>
      </c>
      <c r="C383" s="99" t="s">
        <v>554</v>
      </c>
      <c r="D383" s="23" t="s">
        <v>105</v>
      </c>
      <c r="E383" s="23" t="s">
        <v>363</v>
      </c>
      <c r="F383" s="155" t="s">
        <v>145</v>
      </c>
      <c r="G383" s="156" t="s">
        <v>373</v>
      </c>
      <c r="H383" s="157">
        <v>10</v>
      </c>
      <c r="I383" s="157">
        <v>0</v>
      </c>
      <c r="J383" s="127">
        <v>45000000</v>
      </c>
      <c r="K383" s="88" t="s">
        <v>398</v>
      </c>
      <c r="L383" s="155" t="s">
        <v>156</v>
      </c>
      <c r="M383" s="158" t="s">
        <v>513</v>
      </c>
      <c r="N383" s="23" t="s">
        <v>198</v>
      </c>
      <c r="O383" s="151" t="s">
        <v>958</v>
      </c>
      <c r="P383" s="155" t="s">
        <v>348</v>
      </c>
      <c r="Q383" s="53">
        <v>80111600</v>
      </c>
      <c r="R383" s="158" t="s">
        <v>210</v>
      </c>
      <c r="S383" s="158" t="str">
        <f>MID(PAA[[#This Row],[Meta Proyecto de Inversión]],1,4)</f>
        <v>8173</v>
      </c>
      <c r="T383" s="158" t="str">
        <f>MID(PAA[[#This Row],[Meta Proyecto de Inversión]],6,1)</f>
        <v>1</v>
      </c>
      <c r="U383" s="159" t="str">
        <f>IFERROR(VLOOKUP(N383,TD!$B$50:$F$54,2,0)," ")</f>
        <v>O230117</v>
      </c>
      <c r="V383" s="159" t="str">
        <f>IFERROR(VLOOKUP(N383,TD!$B$50:$F$54,3,0)," ")</f>
        <v>4503</v>
      </c>
      <c r="W383" s="159">
        <f>IFERROR(VLOOKUP(N383,TD!$B$50:$F$54,4,0)," ")</f>
        <v>20240255</v>
      </c>
      <c r="X383" s="158" t="s">
        <v>170</v>
      </c>
      <c r="Y383" s="159" t="str">
        <f>IFERROR(VLOOKUP(X383,TD!$J$51:$K$64,2,0)," ")</f>
        <v>Servicio de inspecciones técnicas realizadas</v>
      </c>
      <c r="Z383" s="160" t="str">
        <f>CONCATENATE(X383,"-",Y383)</f>
        <v>06-Servicio de inspecciones técnicas realizadas</v>
      </c>
      <c r="AA383" s="158" t="s">
        <v>223</v>
      </c>
      <c r="AB383" s="159" t="str">
        <f>IFERROR(VLOOKUP(AA383,TD!$N$51:$O$66,2,0)," ")</f>
        <v>Servicio prevención y control de incendios</v>
      </c>
      <c r="AC383" s="160" t="str">
        <f>CONCATENATE(AA383,"_",AB383)</f>
        <v>035_Servicio prevención y control de incendios</v>
      </c>
      <c r="AD383" s="160" t="str">
        <f>CONCATENATE(Z383," ",AC383)</f>
        <v>06-Servicio de inspecciones técnicas realizadas 035_Servicio prevención y control de incendios</v>
      </c>
      <c r="AE383" s="159" t="str">
        <f>CONCATENATE(U383,V383,W383,X383,AA383)</f>
        <v>O23011745032024025506035</v>
      </c>
      <c r="AF383" s="159" t="str">
        <f>IFERROR(VLOOKUP(AD383,TD!$J$66:$K$89,2,0)," ")</f>
        <v>PM/0131/0106/45030350255</v>
      </c>
      <c r="AG383" s="118" t="s">
        <v>385</v>
      </c>
      <c r="AH383" s="158" t="s">
        <v>193</v>
      </c>
      <c r="AI383" s="161" t="str">
        <f>CONCATENATE(PAA[[#This Row],[Id Interno]],"-",PAA[[#This Row],[tipo de Contrato (TH talento humano - B/S bienes y/o servicios)]],"-",S383,"-",T383,"-",PAA[[#This Row],[Objeto de la contratación]])</f>
        <v>20260349-TH-8173-1-Prestar  servicios de apoyo tecnico para realizar las inspecciones relacionadas con la emision de conceptos a cargo de la Subdirección de Gestión del Riesgo._SGR</v>
      </c>
    </row>
    <row r="384" spans="2:35" ht="56" x14ac:dyDescent="0.35">
      <c r="B384" s="23">
        <v>20260350</v>
      </c>
      <c r="C384" s="99" t="s">
        <v>554</v>
      </c>
      <c r="D384" s="23" t="s">
        <v>105</v>
      </c>
      <c r="E384" s="23" t="s">
        <v>363</v>
      </c>
      <c r="F384" s="155" t="s">
        <v>145</v>
      </c>
      <c r="G384" s="156" t="s">
        <v>373</v>
      </c>
      <c r="H384" s="157">
        <v>10</v>
      </c>
      <c r="I384" s="157">
        <v>0</v>
      </c>
      <c r="J384" s="127">
        <v>40000000</v>
      </c>
      <c r="K384" s="88" t="s">
        <v>398</v>
      </c>
      <c r="L384" s="155" t="s">
        <v>156</v>
      </c>
      <c r="M384" s="158" t="s">
        <v>513</v>
      </c>
      <c r="N384" s="23" t="s">
        <v>198</v>
      </c>
      <c r="O384" s="151" t="s">
        <v>958</v>
      </c>
      <c r="P384" s="155" t="s">
        <v>348</v>
      </c>
      <c r="Q384" s="53">
        <v>80111600</v>
      </c>
      <c r="R384" s="158" t="s">
        <v>210</v>
      </c>
      <c r="S384" s="158" t="str">
        <f>MID(PAA[[#This Row],[Meta Proyecto de Inversión]],1,4)</f>
        <v>8173</v>
      </c>
      <c r="T384" s="158" t="str">
        <f>MID(PAA[[#This Row],[Meta Proyecto de Inversión]],6,1)</f>
        <v>1</v>
      </c>
      <c r="U384" s="159" t="str">
        <f>IFERROR(VLOOKUP(N384,TD!$B$50:$F$54,2,0)," ")</f>
        <v>O230117</v>
      </c>
      <c r="V384" s="159" t="str">
        <f>IFERROR(VLOOKUP(N384,TD!$B$50:$F$54,3,0)," ")</f>
        <v>4503</v>
      </c>
      <c r="W384" s="159">
        <f>IFERROR(VLOOKUP(N384,TD!$B$50:$F$54,4,0)," ")</f>
        <v>20240255</v>
      </c>
      <c r="X384" s="158" t="s">
        <v>170</v>
      </c>
      <c r="Y384" s="159" t="str">
        <f>IFERROR(VLOOKUP(X384,TD!$J$51:$K$64,2,0)," ")</f>
        <v>Servicio de inspecciones técnicas realizadas</v>
      </c>
      <c r="Z384" s="160" t="str">
        <f>CONCATENATE(X384,"-",Y384)</f>
        <v>06-Servicio de inspecciones técnicas realizadas</v>
      </c>
      <c r="AA384" s="158" t="s">
        <v>223</v>
      </c>
      <c r="AB384" s="159" t="str">
        <f>IFERROR(VLOOKUP(AA384,TD!$N$51:$O$66,2,0)," ")</f>
        <v>Servicio prevención y control de incendios</v>
      </c>
      <c r="AC384" s="160" t="str">
        <f>CONCATENATE(AA384,"_",AB384)</f>
        <v>035_Servicio prevención y control de incendios</v>
      </c>
      <c r="AD384" s="160" t="str">
        <f>CONCATENATE(Z384," ",AC384)</f>
        <v>06-Servicio de inspecciones técnicas realizadas 035_Servicio prevención y control de incendios</v>
      </c>
      <c r="AE384" s="159" t="str">
        <f>CONCATENATE(U384,V384,W384,X384,AA384)</f>
        <v>O23011745032024025506035</v>
      </c>
      <c r="AF384" s="159" t="str">
        <f>IFERROR(VLOOKUP(AD384,TD!$J$66:$K$89,2,0)," ")</f>
        <v>PM/0131/0106/45030350255</v>
      </c>
      <c r="AG384" s="118" t="s">
        <v>385</v>
      </c>
      <c r="AH384" s="158" t="s">
        <v>193</v>
      </c>
      <c r="AI384" s="161" t="str">
        <f>CONCATENATE(PAA[[#This Row],[Id Interno]],"-",PAA[[#This Row],[tipo de Contrato (TH talento humano - B/S bienes y/o servicios)]],"-",S384,"-",T384,"-",PAA[[#This Row],[Objeto de la contratación]])</f>
        <v>20260350-TH-8173-1-Prestar  servicios de apoyo tecnico para realizar las inspecciones relacionadas con la emision de conceptos a cargo de la Subdirección de Gestión del Riesgo._SGR</v>
      </c>
    </row>
    <row r="385" spans="2:35" ht="56" x14ac:dyDescent="0.35">
      <c r="B385" s="23">
        <v>20260351</v>
      </c>
      <c r="C385" s="99" t="s">
        <v>554</v>
      </c>
      <c r="D385" s="23" t="s">
        <v>105</v>
      </c>
      <c r="E385" s="23" t="s">
        <v>363</v>
      </c>
      <c r="F385" s="155" t="s">
        <v>145</v>
      </c>
      <c r="G385" s="156" t="s">
        <v>373</v>
      </c>
      <c r="H385" s="157">
        <v>10</v>
      </c>
      <c r="I385" s="157">
        <v>0</v>
      </c>
      <c r="J385" s="127">
        <v>40000000</v>
      </c>
      <c r="K385" s="88" t="s">
        <v>398</v>
      </c>
      <c r="L385" s="155" t="s">
        <v>156</v>
      </c>
      <c r="M385" s="158" t="s">
        <v>513</v>
      </c>
      <c r="N385" s="23" t="s">
        <v>198</v>
      </c>
      <c r="O385" s="151" t="s">
        <v>958</v>
      </c>
      <c r="P385" s="155" t="s">
        <v>348</v>
      </c>
      <c r="Q385" s="53">
        <v>80111600</v>
      </c>
      <c r="R385" s="158" t="s">
        <v>210</v>
      </c>
      <c r="S385" s="158" t="str">
        <f>MID(PAA[[#This Row],[Meta Proyecto de Inversión]],1,4)</f>
        <v>8173</v>
      </c>
      <c r="T385" s="158" t="str">
        <f>MID(PAA[[#This Row],[Meta Proyecto de Inversión]],6,1)</f>
        <v>1</v>
      </c>
      <c r="U385" s="159" t="str">
        <f>IFERROR(VLOOKUP(N385,TD!$B$50:$F$54,2,0)," ")</f>
        <v>O230117</v>
      </c>
      <c r="V385" s="159" t="str">
        <f>IFERROR(VLOOKUP(N385,TD!$B$50:$F$54,3,0)," ")</f>
        <v>4503</v>
      </c>
      <c r="W385" s="159">
        <f>IFERROR(VLOOKUP(N385,TD!$B$50:$F$54,4,0)," ")</f>
        <v>20240255</v>
      </c>
      <c r="X385" s="158" t="s">
        <v>170</v>
      </c>
      <c r="Y385" s="159" t="str">
        <f>IFERROR(VLOOKUP(X385,TD!$J$51:$K$64,2,0)," ")</f>
        <v>Servicio de inspecciones técnicas realizadas</v>
      </c>
      <c r="Z385" s="160" t="str">
        <f>CONCATENATE(X385,"-",Y385)</f>
        <v>06-Servicio de inspecciones técnicas realizadas</v>
      </c>
      <c r="AA385" s="158" t="s">
        <v>223</v>
      </c>
      <c r="AB385" s="159" t="str">
        <f>IFERROR(VLOOKUP(AA385,TD!$N$51:$O$66,2,0)," ")</f>
        <v>Servicio prevención y control de incendios</v>
      </c>
      <c r="AC385" s="160" t="str">
        <f>CONCATENATE(AA385,"_",AB385)</f>
        <v>035_Servicio prevención y control de incendios</v>
      </c>
      <c r="AD385" s="160" t="str">
        <f>CONCATENATE(Z385," ",AC385)</f>
        <v>06-Servicio de inspecciones técnicas realizadas 035_Servicio prevención y control de incendios</v>
      </c>
      <c r="AE385" s="159" t="str">
        <f>CONCATENATE(U385,V385,W385,X385,AA385)</f>
        <v>O23011745032024025506035</v>
      </c>
      <c r="AF385" s="159" t="str">
        <f>IFERROR(VLOOKUP(AD385,TD!$J$66:$K$89,2,0)," ")</f>
        <v>PM/0131/0106/45030350255</v>
      </c>
      <c r="AG385" s="118" t="s">
        <v>385</v>
      </c>
      <c r="AH385" s="158" t="s">
        <v>193</v>
      </c>
      <c r="AI385" s="161" t="str">
        <f>CONCATENATE(PAA[[#This Row],[Id Interno]],"-",PAA[[#This Row],[tipo de Contrato (TH talento humano - B/S bienes y/o servicios)]],"-",S385,"-",T385,"-",PAA[[#This Row],[Objeto de la contratación]])</f>
        <v>20260351-TH-8173-1-Prestar  servicios de apoyo tecnico para realizar las inspecciones relacionadas con la emision de conceptos a cargo de la Subdirección de Gestión del Riesgo._SGR</v>
      </c>
    </row>
    <row r="386" spans="2:35" ht="56" x14ac:dyDescent="0.35">
      <c r="B386" s="23">
        <v>20260352</v>
      </c>
      <c r="C386" s="99" t="s">
        <v>554</v>
      </c>
      <c r="D386" s="23" t="s">
        <v>105</v>
      </c>
      <c r="E386" s="23" t="s">
        <v>363</v>
      </c>
      <c r="F386" s="155" t="s">
        <v>145</v>
      </c>
      <c r="G386" s="156" t="s">
        <v>373</v>
      </c>
      <c r="H386" s="157">
        <v>10</v>
      </c>
      <c r="I386" s="157">
        <v>0</v>
      </c>
      <c r="J386" s="127">
        <v>40000000</v>
      </c>
      <c r="K386" s="88" t="s">
        <v>398</v>
      </c>
      <c r="L386" s="155" t="s">
        <v>156</v>
      </c>
      <c r="M386" s="158" t="s">
        <v>513</v>
      </c>
      <c r="N386" s="23" t="s">
        <v>198</v>
      </c>
      <c r="O386" s="151" t="s">
        <v>958</v>
      </c>
      <c r="P386" s="155" t="s">
        <v>348</v>
      </c>
      <c r="Q386" s="53">
        <v>80111600</v>
      </c>
      <c r="R386" s="158" t="s">
        <v>210</v>
      </c>
      <c r="S386" s="158" t="str">
        <f>MID(PAA[[#This Row],[Meta Proyecto de Inversión]],1,4)</f>
        <v>8173</v>
      </c>
      <c r="T386" s="158" t="str">
        <f>MID(PAA[[#This Row],[Meta Proyecto de Inversión]],6,1)</f>
        <v>1</v>
      </c>
      <c r="U386" s="159" t="str">
        <f>IFERROR(VLOOKUP(N386,TD!$B$50:$F$54,2,0)," ")</f>
        <v>O230117</v>
      </c>
      <c r="V386" s="159" t="str">
        <f>IFERROR(VLOOKUP(N386,TD!$B$50:$F$54,3,0)," ")</f>
        <v>4503</v>
      </c>
      <c r="W386" s="159">
        <f>IFERROR(VLOOKUP(N386,TD!$B$50:$F$54,4,0)," ")</f>
        <v>20240255</v>
      </c>
      <c r="X386" s="158" t="s">
        <v>170</v>
      </c>
      <c r="Y386" s="159" t="str">
        <f>IFERROR(VLOOKUP(X386,TD!$J$51:$K$64,2,0)," ")</f>
        <v>Servicio de inspecciones técnicas realizadas</v>
      </c>
      <c r="Z386" s="160" t="str">
        <f>CONCATENATE(X386,"-",Y386)</f>
        <v>06-Servicio de inspecciones técnicas realizadas</v>
      </c>
      <c r="AA386" s="158" t="s">
        <v>223</v>
      </c>
      <c r="AB386" s="159" t="str">
        <f>IFERROR(VLOOKUP(AA386,TD!$N$51:$O$66,2,0)," ")</f>
        <v>Servicio prevención y control de incendios</v>
      </c>
      <c r="AC386" s="160" t="str">
        <f>CONCATENATE(AA386,"_",AB386)</f>
        <v>035_Servicio prevención y control de incendios</v>
      </c>
      <c r="AD386" s="160" t="str">
        <f>CONCATENATE(Z386," ",AC386)</f>
        <v>06-Servicio de inspecciones técnicas realizadas 035_Servicio prevención y control de incendios</v>
      </c>
      <c r="AE386" s="159" t="str">
        <f>CONCATENATE(U386,V386,W386,X386,AA386)</f>
        <v>O23011745032024025506035</v>
      </c>
      <c r="AF386" s="159" t="str">
        <f>IFERROR(VLOOKUP(AD386,TD!$J$66:$K$89,2,0)," ")</f>
        <v>PM/0131/0106/45030350255</v>
      </c>
      <c r="AG386" s="118" t="s">
        <v>385</v>
      </c>
      <c r="AH386" s="158" t="s">
        <v>193</v>
      </c>
      <c r="AI386" s="161" t="str">
        <f>CONCATENATE(PAA[[#This Row],[Id Interno]],"-",PAA[[#This Row],[tipo de Contrato (TH talento humano - B/S bienes y/o servicios)]],"-",S386,"-",T386,"-",PAA[[#This Row],[Objeto de la contratación]])</f>
        <v>20260352-TH-8173-1-Prestar  servicios de apoyo tecnico para realizar las inspecciones relacionadas con la emision de conceptos a cargo de la Subdirección de Gestión del Riesgo._SGR</v>
      </c>
    </row>
    <row r="387" spans="2:35" ht="56" x14ac:dyDescent="0.35">
      <c r="B387" s="23">
        <v>20260353</v>
      </c>
      <c r="C387" s="99" t="s">
        <v>554</v>
      </c>
      <c r="D387" s="23" t="s">
        <v>105</v>
      </c>
      <c r="E387" s="23" t="s">
        <v>363</v>
      </c>
      <c r="F387" s="155" t="s">
        <v>145</v>
      </c>
      <c r="G387" s="156" t="s">
        <v>373</v>
      </c>
      <c r="H387" s="157">
        <v>10</v>
      </c>
      <c r="I387" s="157">
        <v>0</v>
      </c>
      <c r="J387" s="127">
        <v>40000000</v>
      </c>
      <c r="K387" s="88" t="s">
        <v>398</v>
      </c>
      <c r="L387" s="155" t="s">
        <v>156</v>
      </c>
      <c r="M387" s="158" t="s">
        <v>513</v>
      </c>
      <c r="N387" s="23" t="s">
        <v>198</v>
      </c>
      <c r="O387" s="151" t="s">
        <v>958</v>
      </c>
      <c r="P387" s="155" t="s">
        <v>348</v>
      </c>
      <c r="Q387" s="53">
        <v>80111600</v>
      </c>
      <c r="R387" s="158" t="s">
        <v>210</v>
      </c>
      <c r="S387" s="158" t="str">
        <f>MID(PAA[[#This Row],[Meta Proyecto de Inversión]],1,4)</f>
        <v>8173</v>
      </c>
      <c r="T387" s="158" t="str">
        <f>MID(PAA[[#This Row],[Meta Proyecto de Inversión]],6,1)</f>
        <v>1</v>
      </c>
      <c r="U387" s="159" t="str">
        <f>IFERROR(VLOOKUP(N387,TD!$B$50:$F$54,2,0)," ")</f>
        <v>O230117</v>
      </c>
      <c r="V387" s="159" t="str">
        <f>IFERROR(VLOOKUP(N387,TD!$B$50:$F$54,3,0)," ")</f>
        <v>4503</v>
      </c>
      <c r="W387" s="159">
        <f>IFERROR(VLOOKUP(N387,TD!$B$50:$F$54,4,0)," ")</f>
        <v>20240255</v>
      </c>
      <c r="X387" s="158" t="s">
        <v>170</v>
      </c>
      <c r="Y387" s="159" t="str">
        <f>IFERROR(VLOOKUP(X387,TD!$J$51:$K$64,2,0)," ")</f>
        <v>Servicio de inspecciones técnicas realizadas</v>
      </c>
      <c r="Z387" s="160" t="str">
        <f>CONCATENATE(X387,"-",Y387)</f>
        <v>06-Servicio de inspecciones técnicas realizadas</v>
      </c>
      <c r="AA387" s="158" t="s">
        <v>223</v>
      </c>
      <c r="AB387" s="159" t="str">
        <f>IFERROR(VLOOKUP(AA387,TD!$N$51:$O$66,2,0)," ")</f>
        <v>Servicio prevención y control de incendios</v>
      </c>
      <c r="AC387" s="160" t="str">
        <f>CONCATENATE(AA387,"_",AB387)</f>
        <v>035_Servicio prevención y control de incendios</v>
      </c>
      <c r="AD387" s="160" t="str">
        <f>CONCATENATE(Z387," ",AC387)</f>
        <v>06-Servicio de inspecciones técnicas realizadas 035_Servicio prevención y control de incendios</v>
      </c>
      <c r="AE387" s="159" t="str">
        <f>CONCATENATE(U387,V387,W387,X387,AA387)</f>
        <v>O23011745032024025506035</v>
      </c>
      <c r="AF387" s="159" t="str">
        <f>IFERROR(VLOOKUP(AD387,TD!$J$66:$K$89,2,0)," ")</f>
        <v>PM/0131/0106/45030350255</v>
      </c>
      <c r="AG387" s="118" t="s">
        <v>385</v>
      </c>
      <c r="AH387" s="158" t="s">
        <v>193</v>
      </c>
      <c r="AI387" s="161" t="str">
        <f>CONCATENATE(PAA[[#This Row],[Id Interno]],"-",PAA[[#This Row],[tipo de Contrato (TH talento humano - B/S bienes y/o servicios)]],"-",S387,"-",T387,"-",PAA[[#This Row],[Objeto de la contratación]])</f>
        <v>20260353-TH-8173-1-Prestar  servicios de apoyo tecnico para realizar las inspecciones relacionadas con la emision de conceptos a cargo de la Subdirección de Gestión del Riesgo._SGR</v>
      </c>
    </row>
    <row r="388" spans="2:35" ht="56" x14ac:dyDescent="0.35">
      <c r="B388" s="23">
        <v>20260354</v>
      </c>
      <c r="C388" s="99" t="s">
        <v>555</v>
      </c>
      <c r="D388" s="23" t="s">
        <v>105</v>
      </c>
      <c r="E388" s="23" t="s">
        <v>363</v>
      </c>
      <c r="F388" s="155" t="s">
        <v>145</v>
      </c>
      <c r="G388" s="156" t="s">
        <v>373</v>
      </c>
      <c r="H388" s="157">
        <v>10</v>
      </c>
      <c r="I388" s="157">
        <v>0</v>
      </c>
      <c r="J388" s="127">
        <v>40000000</v>
      </c>
      <c r="K388" s="88" t="s">
        <v>398</v>
      </c>
      <c r="L388" s="155" t="s">
        <v>156</v>
      </c>
      <c r="M388" s="158" t="s">
        <v>513</v>
      </c>
      <c r="N388" s="23" t="s">
        <v>198</v>
      </c>
      <c r="O388" s="151" t="s">
        <v>958</v>
      </c>
      <c r="P388" s="155" t="s">
        <v>348</v>
      </c>
      <c r="Q388" s="53">
        <v>80111600</v>
      </c>
      <c r="R388" s="158" t="s">
        <v>210</v>
      </c>
      <c r="S388" s="158" t="str">
        <f>MID(PAA[[#This Row],[Meta Proyecto de Inversión]],1,4)</f>
        <v>8173</v>
      </c>
      <c r="T388" s="158" t="str">
        <f>MID(PAA[[#This Row],[Meta Proyecto de Inversión]],6,1)</f>
        <v>1</v>
      </c>
      <c r="U388" s="159" t="str">
        <f>IFERROR(VLOOKUP(N388,TD!$B$50:$F$54,2,0)," ")</f>
        <v>O230117</v>
      </c>
      <c r="V388" s="159" t="str">
        <f>IFERROR(VLOOKUP(N388,TD!$B$50:$F$54,3,0)," ")</f>
        <v>4503</v>
      </c>
      <c r="W388" s="159">
        <f>IFERROR(VLOOKUP(N388,TD!$B$50:$F$54,4,0)," ")</f>
        <v>20240255</v>
      </c>
      <c r="X388" s="158" t="s">
        <v>170</v>
      </c>
      <c r="Y388" s="159" t="str">
        <f>IFERROR(VLOOKUP(X388,TD!$J$51:$K$64,2,0)," ")</f>
        <v>Servicio de inspecciones técnicas realizadas</v>
      </c>
      <c r="Z388" s="160" t="str">
        <f>CONCATENATE(X388,"-",Y388)</f>
        <v>06-Servicio de inspecciones técnicas realizadas</v>
      </c>
      <c r="AA388" s="158" t="s">
        <v>223</v>
      </c>
      <c r="AB388" s="159" t="str">
        <f>IFERROR(VLOOKUP(AA388,TD!$N$51:$O$66,2,0)," ")</f>
        <v>Servicio prevención y control de incendios</v>
      </c>
      <c r="AC388" s="160" t="str">
        <f>CONCATENATE(AA388,"_",AB388)</f>
        <v>035_Servicio prevención y control de incendios</v>
      </c>
      <c r="AD388" s="160" t="str">
        <f>CONCATENATE(Z388," ",AC388)</f>
        <v>06-Servicio de inspecciones técnicas realizadas 035_Servicio prevención y control de incendios</v>
      </c>
      <c r="AE388" s="159" t="str">
        <f>CONCATENATE(U388,V388,W388,X388,AA388)</f>
        <v>O23011745032024025506035</v>
      </c>
      <c r="AF388" s="159" t="str">
        <f>IFERROR(VLOOKUP(AD388,TD!$J$66:$K$89,2,0)," ")</f>
        <v>PM/0131/0106/45030350255</v>
      </c>
      <c r="AG388" s="118" t="s">
        <v>385</v>
      </c>
      <c r="AH388" s="158" t="s">
        <v>193</v>
      </c>
      <c r="AI388" s="161" t="str">
        <f>CONCATENATE(PAA[[#This Row],[Id Interno]],"-",PAA[[#This Row],[tipo de Contrato (TH talento humano - B/S bienes y/o servicios)]],"-",S388,"-",T388,"-",PAA[[#This Row],[Objeto de la contratación]])</f>
        <v>20260354-TH-8173-1-  Prestar  servicios de apoyo tecnico para realizar las inspecciones relacionadas con la emision de conceptos a cargo de la Subdirección de Gestión del Riesgo._SGR</v>
      </c>
    </row>
    <row r="389" spans="2:35" ht="56" x14ac:dyDescent="0.35">
      <c r="B389" s="23">
        <v>20260355</v>
      </c>
      <c r="C389" s="99" t="s">
        <v>554</v>
      </c>
      <c r="D389" s="23" t="s">
        <v>105</v>
      </c>
      <c r="E389" s="23" t="s">
        <v>363</v>
      </c>
      <c r="F389" s="155" t="s">
        <v>145</v>
      </c>
      <c r="G389" s="156" t="s">
        <v>373</v>
      </c>
      <c r="H389" s="157">
        <v>10</v>
      </c>
      <c r="I389" s="157">
        <v>0</v>
      </c>
      <c r="J389" s="127">
        <v>40000000</v>
      </c>
      <c r="K389" s="88" t="s">
        <v>398</v>
      </c>
      <c r="L389" s="155" t="s">
        <v>156</v>
      </c>
      <c r="M389" s="158" t="s">
        <v>513</v>
      </c>
      <c r="N389" s="23" t="s">
        <v>198</v>
      </c>
      <c r="O389" s="151" t="s">
        <v>958</v>
      </c>
      <c r="P389" s="155" t="s">
        <v>348</v>
      </c>
      <c r="Q389" s="53">
        <v>80111600</v>
      </c>
      <c r="R389" s="158" t="s">
        <v>210</v>
      </c>
      <c r="S389" s="158" t="str">
        <f>MID(PAA[[#This Row],[Meta Proyecto de Inversión]],1,4)</f>
        <v>8173</v>
      </c>
      <c r="T389" s="158" t="str">
        <f>MID(PAA[[#This Row],[Meta Proyecto de Inversión]],6,1)</f>
        <v>1</v>
      </c>
      <c r="U389" s="159" t="str">
        <f>IFERROR(VLOOKUP(N389,TD!$B$50:$F$54,2,0)," ")</f>
        <v>O230117</v>
      </c>
      <c r="V389" s="159" t="str">
        <f>IFERROR(VLOOKUP(N389,TD!$B$50:$F$54,3,0)," ")</f>
        <v>4503</v>
      </c>
      <c r="W389" s="159">
        <f>IFERROR(VLOOKUP(N389,TD!$B$50:$F$54,4,0)," ")</f>
        <v>20240255</v>
      </c>
      <c r="X389" s="158" t="s">
        <v>170</v>
      </c>
      <c r="Y389" s="159" t="str">
        <f>IFERROR(VLOOKUP(X389,TD!$J$51:$K$64,2,0)," ")</f>
        <v>Servicio de inspecciones técnicas realizadas</v>
      </c>
      <c r="Z389" s="160" t="str">
        <f>CONCATENATE(X389,"-",Y389)</f>
        <v>06-Servicio de inspecciones técnicas realizadas</v>
      </c>
      <c r="AA389" s="158" t="s">
        <v>223</v>
      </c>
      <c r="AB389" s="159" t="str">
        <f>IFERROR(VLOOKUP(AA389,TD!$N$51:$O$66,2,0)," ")</f>
        <v>Servicio prevención y control de incendios</v>
      </c>
      <c r="AC389" s="160" t="str">
        <f>CONCATENATE(AA389,"_",AB389)</f>
        <v>035_Servicio prevención y control de incendios</v>
      </c>
      <c r="AD389" s="160" t="str">
        <f>CONCATENATE(Z389," ",AC389)</f>
        <v>06-Servicio de inspecciones técnicas realizadas 035_Servicio prevención y control de incendios</v>
      </c>
      <c r="AE389" s="159" t="str">
        <f>CONCATENATE(U389,V389,W389,X389,AA389)</f>
        <v>O23011745032024025506035</v>
      </c>
      <c r="AF389" s="159" t="str">
        <f>IFERROR(VLOOKUP(AD389,TD!$J$66:$K$89,2,0)," ")</f>
        <v>PM/0131/0106/45030350255</v>
      </c>
      <c r="AG389" s="118" t="s">
        <v>385</v>
      </c>
      <c r="AH389" s="158" t="s">
        <v>193</v>
      </c>
      <c r="AI389" s="161" t="str">
        <f>CONCATENATE(PAA[[#This Row],[Id Interno]],"-",PAA[[#This Row],[tipo de Contrato (TH talento humano - B/S bienes y/o servicios)]],"-",S389,"-",T389,"-",PAA[[#This Row],[Objeto de la contratación]])</f>
        <v>20260355-TH-8173-1-Prestar  servicios de apoyo tecnico para realizar las inspecciones relacionadas con la emision de conceptos a cargo de la Subdirección de Gestión del Riesgo._SGR</v>
      </c>
    </row>
    <row r="390" spans="2:35" ht="56" x14ac:dyDescent="0.35">
      <c r="B390" s="23">
        <v>20260356</v>
      </c>
      <c r="C390" s="99" t="s">
        <v>554</v>
      </c>
      <c r="D390" s="23" t="s">
        <v>105</v>
      </c>
      <c r="E390" s="23" t="s">
        <v>363</v>
      </c>
      <c r="F390" s="155" t="s">
        <v>145</v>
      </c>
      <c r="G390" s="156" t="s">
        <v>373</v>
      </c>
      <c r="H390" s="157">
        <v>10</v>
      </c>
      <c r="I390" s="157">
        <v>0</v>
      </c>
      <c r="J390" s="127">
        <v>40000000</v>
      </c>
      <c r="K390" s="88" t="s">
        <v>398</v>
      </c>
      <c r="L390" s="155" t="s">
        <v>156</v>
      </c>
      <c r="M390" s="158" t="s">
        <v>513</v>
      </c>
      <c r="N390" s="23" t="s">
        <v>198</v>
      </c>
      <c r="O390" s="151" t="s">
        <v>958</v>
      </c>
      <c r="P390" s="155" t="s">
        <v>348</v>
      </c>
      <c r="Q390" s="53">
        <v>80111600</v>
      </c>
      <c r="R390" s="158" t="s">
        <v>210</v>
      </c>
      <c r="S390" s="158" t="str">
        <f>MID(PAA[[#This Row],[Meta Proyecto de Inversión]],1,4)</f>
        <v>8173</v>
      </c>
      <c r="T390" s="158" t="str">
        <f>MID(PAA[[#This Row],[Meta Proyecto de Inversión]],6,1)</f>
        <v>1</v>
      </c>
      <c r="U390" s="159" t="str">
        <f>IFERROR(VLOOKUP(N390,TD!$B$50:$F$54,2,0)," ")</f>
        <v>O230117</v>
      </c>
      <c r="V390" s="159" t="str">
        <f>IFERROR(VLOOKUP(N390,TD!$B$50:$F$54,3,0)," ")</f>
        <v>4503</v>
      </c>
      <c r="W390" s="159">
        <f>IFERROR(VLOOKUP(N390,TD!$B$50:$F$54,4,0)," ")</f>
        <v>20240255</v>
      </c>
      <c r="X390" s="158" t="s">
        <v>170</v>
      </c>
      <c r="Y390" s="159" t="str">
        <f>IFERROR(VLOOKUP(X390,TD!$J$51:$K$64,2,0)," ")</f>
        <v>Servicio de inspecciones técnicas realizadas</v>
      </c>
      <c r="Z390" s="160" t="str">
        <f>CONCATENATE(X390,"-",Y390)</f>
        <v>06-Servicio de inspecciones técnicas realizadas</v>
      </c>
      <c r="AA390" s="158" t="s">
        <v>223</v>
      </c>
      <c r="AB390" s="159" t="str">
        <f>IFERROR(VLOOKUP(AA390,TD!$N$51:$O$66,2,0)," ")</f>
        <v>Servicio prevención y control de incendios</v>
      </c>
      <c r="AC390" s="160" t="str">
        <f>CONCATENATE(AA390,"_",AB390)</f>
        <v>035_Servicio prevención y control de incendios</v>
      </c>
      <c r="AD390" s="160" t="str">
        <f>CONCATENATE(Z390," ",AC390)</f>
        <v>06-Servicio de inspecciones técnicas realizadas 035_Servicio prevención y control de incendios</v>
      </c>
      <c r="AE390" s="159" t="str">
        <f>CONCATENATE(U390,V390,W390,X390,AA390)</f>
        <v>O23011745032024025506035</v>
      </c>
      <c r="AF390" s="159" t="str">
        <f>IFERROR(VLOOKUP(AD390,TD!$J$66:$K$89,2,0)," ")</f>
        <v>PM/0131/0106/45030350255</v>
      </c>
      <c r="AG390" s="118" t="s">
        <v>385</v>
      </c>
      <c r="AH390" s="158" t="s">
        <v>193</v>
      </c>
      <c r="AI390" s="161" t="str">
        <f>CONCATENATE(PAA[[#This Row],[Id Interno]],"-",PAA[[#This Row],[tipo de Contrato (TH talento humano - B/S bienes y/o servicios)]],"-",S390,"-",T390,"-",PAA[[#This Row],[Objeto de la contratación]])</f>
        <v>20260356-TH-8173-1-Prestar  servicios de apoyo tecnico para realizar las inspecciones relacionadas con la emision de conceptos a cargo de la Subdirección de Gestión del Riesgo._SGR</v>
      </c>
    </row>
    <row r="391" spans="2:35" ht="56" x14ac:dyDescent="0.35">
      <c r="B391" s="23">
        <v>20260357</v>
      </c>
      <c r="C391" s="99" t="s">
        <v>554</v>
      </c>
      <c r="D391" s="23" t="s">
        <v>105</v>
      </c>
      <c r="E391" s="23" t="s">
        <v>363</v>
      </c>
      <c r="F391" s="155" t="s">
        <v>145</v>
      </c>
      <c r="G391" s="156" t="s">
        <v>373</v>
      </c>
      <c r="H391" s="157">
        <v>10</v>
      </c>
      <c r="I391" s="157">
        <v>0</v>
      </c>
      <c r="J391" s="127">
        <v>40000000</v>
      </c>
      <c r="K391" s="88" t="s">
        <v>398</v>
      </c>
      <c r="L391" s="155" t="s">
        <v>156</v>
      </c>
      <c r="M391" s="158" t="s">
        <v>513</v>
      </c>
      <c r="N391" s="23" t="s">
        <v>198</v>
      </c>
      <c r="O391" s="151" t="s">
        <v>958</v>
      </c>
      <c r="P391" s="155" t="s">
        <v>348</v>
      </c>
      <c r="Q391" s="53">
        <v>80111600</v>
      </c>
      <c r="R391" s="158" t="s">
        <v>210</v>
      </c>
      <c r="S391" s="158" t="str">
        <f>MID(PAA[[#This Row],[Meta Proyecto de Inversión]],1,4)</f>
        <v>8173</v>
      </c>
      <c r="T391" s="158" t="str">
        <f>MID(PAA[[#This Row],[Meta Proyecto de Inversión]],6,1)</f>
        <v>1</v>
      </c>
      <c r="U391" s="159" t="str">
        <f>IFERROR(VLOOKUP(N391,TD!$B$50:$F$54,2,0)," ")</f>
        <v>O230117</v>
      </c>
      <c r="V391" s="159" t="str">
        <f>IFERROR(VLOOKUP(N391,TD!$B$50:$F$54,3,0)," ")</f>
        <v>4503</v>
      </c>
      <c r="W391" s="159">
        <f>IFERROR(VLOOKUP(N391,TD!$B$50:$F$54,4,0)," ")</f>
        <v>20240255</v>
      </c>
      <c r="X391" s="158" t="s">
        <v>170</v>
      </c>
      <c r="Y391" s="159" t="str">
        <f>IFERROR(VLOOKUP(X391,TD!$J$51:$K$64,2,0)," ")</f>
        <v>Servicio de inspecciones técnicas realizadas</v>
      </c>
      <c r="Z391" s="160" t="str">
        <f>CONCATENATE(X391,"-",Y391)</f>
        <v>06-Servicio de inspecciones técnicas realizadas</v>
      </c>
      <c r="AA391" s="158" t="s">
        <v>223</v>
      </c>
      <c r="AB391" s="159" t="str">
        <f>IFERROR(VLOOKUP(AA391,TD!$N$51:$O$66,2,0)," ")</f>
        <v>Servicio prevención y control de incendios</v>
      </c>
      <c r="AC391" s="160" t="str">
        <f>CONCATENATE(AA391,"_",AB391)</f>
        <v>035_Servicio prevención y control de incendios</v>
      </c>
      <c r="AD391" s="160" t="str">
        <f>CONCATENATE(Z391," ",AC391)</f>
        <v>06-Servicio de inspecciones técnicas realizadas 035_Servicio prevención y control de incendios</v>
      </c>
      <c r="AE391" s="159" t="str">
        <f>CONCATENATE(U391,V391,W391,X391,AA391)</f>
        <v>O23011745032024025506035</v>
      </c>
      <c r="AF391" s="159" t="str">
        <f>IFERROR(VLOOKUP(AD391,TD!$J$66:$K$89,2,0)," ")</f>
        <v>PM/0131/0106/45030350255</v>
      </c>
      <c r="AG391" s="118" t="s">
        <v>385</v>
      </c>
      <c r="AH391" s="158" t="s">
        <v>193</v>
      </c>
      <c r="AI391" s="161" t="str">
        <f>CONCATENATE(PAA[[#This Row],[Id Interno]],"-",PAA[[#This Row],[tipo de Contrato (TH talento humano - B/S bienes y/o servicios)]],"-",S391,"-",T391,"-",PAA[[#This Row],[Objeto de la contratación]])</f>
        <v>20260357-TH-8173-1-Prestar  servicios de apoyo tecnico para realizar las inspecciones relacionadas con la emision de conceptos a cargo de la Subdirección de Gestión del Riesgo._SGR</v>
      </c>
    </row>
    <row r="392" spans="2:35" ht="56" x14ac:dyDescent="0.35">
      <c r="B392" s="23">
        <v>20260358</v>
      </c>
      <c r="C392" s="99" t="s">
        <v>554</v>
      </c>
      <c r="D392" s="23" t="s">
        <v>105</v>
      </c>
      <c r="E392" s="23" t="s">
        <v>363</v>
      </c>
      <c r="F392" s="155" t="s">
        <v>145</v>
      </c>
      <c r="G392" s="156" t="s">
        <v>373</v>
      </c>
      <c r="H392" s="157">
        <v>10</v>
      </c>
      <c r="I392" s="157">
        <v>0</v>
      </c>
      <c r="J392" s="127">
        <v>40000000</v>
      </c>
      <c r="K392" s="88" t="s">
        <v>398</v>
      </c>
      <c r="L392" s="155" t="s">
        <v>156</v>
      </c>
      <c r="M392" s="158" t="s">
        <v>513</v>
      </c>
      <c r="N392" s="23" t="s">
        <v>198</v>
      </c>
      <c r="O392" s="151" t="s">
        <v>958</v>
      </c>
      <c r="P392" s="155" t="s">
        <v>348</v>
      </c>
      <c r="Q392" s="53">
        <v>80111600</v>
      </c>
      <c r="R392" s="158" t="s">
        <v>210</v>
      </c>
      <c r="S392" s="158" t="str">
        <f>MID(PAA[[#This Row],[Meta Proyecto de Inversión]],1,4)</f>
        <v>8173</v>
      </c>
      <c r="T392" s="158" t="str">
        <f>MID(PAA[[#This Row],[Meta Proyecto de Inversión]],6,1)</f>
        <v>1</v>
      </c>
      <c r="U392" s="159" t="str">
        <f>IFERROR(VLOOKUP(N392,TD!$B$50:$F$54,2,0)," ")</f>
        <v>O230117</v>
      </c>
      <c r="V392" s="159" t="str">
        <f>IFERROR(VLOOKUP(N392,TD!$B$50:$F$54,3,0)," ")</f>
        <v>4503</v>
      </c>
      <c r="W392" s="159">
        <f>IFERROR(VLOOKUP(N392,TD!$B$50:$F$54,4,0)," ")</f>
        <v>20240255</v>
      </c>
      <c r="X392" s="158" t="s">
        <v>170</v>
      </c>
      <c r="Y392" s="159" t="str">
        <f>IFERROR(VLOOKUP(X392,TD!$J$51:$K$64,2,0)," ")</f>
        <v>Servicio de inspecciones técnicas realizadas</v>
      </c>
      <c r="Z392" s="160" t="str">
        <f>CONCATENATE(X392,"-",Y392)</f>
        <v>06-Servicio de inspecciones técnicas realizadas</v>
      </c>
      <c r="AA392" s="158" t="s">
        <v>223</v>
      </c>
      <c r="AB392" s="159" t="str">
        <f>IFERROR(VLOOKUP(AA392,TD!$N$51:$O$66,2,0)," ")</f>
        <v>Servicio prevención y control de incendios</v>
      </c>
      <c r="AC392" s="160" t="str">
        <f>CONCATENATE(AA392,"_",AB392)</f>
        <v>035_Servicio prevención y control de incendios</v>
      </c>
      <c r="AD392" s="160" t="str">
        <f>CONCATENATE(Z392," ",AC392)</f>
        <v>06-Servicio de inspecciones técnicas realizadas 035_Servicio prevención y control de incendios</v>
      </c>
      <c r="AE392" s="159" t="str">
        <f>CONCATENATE(U392,V392,W392,X392,AA392)</f>
        <v>O23011745032024025506035</v>
      </c>
      <c r="AF392" s="159" t="str">
        <f>IFERROR(VLOOKUP(AD392,TD!$J$66:$K$89,2,0)," ")</f>
        <v>PM/0131/0106/45030350255</v>
      </c>
      <c r="AG392" s="118" t="s">
        <v>385</v>
      </c>
      <c r="AH392" s="158" t="s">
        <v>193</v>
      </c>
      <c r="AI392" s="161" t="str">
        <f>CONCATENATE(PAA[[#This Row],[Id Interno]],"-",PAA[[#This Row],[tipo de Contrato (TH talento humano - B/S bienes y/o servicios)]],"-",S392,"-",T392,"-",PAA[[#This Row],[Objeto de la contratación]])</f>
        <v>20260358-TH-8173-1-Prestar  servicios de apoyo tecnico para realizar las inspecciones relacionadas con la emision de conceptos a cargo de la Subdirección de Gestión del Riesgo._SGR</v>
      </c>
    </row>
    <row r="393" spans="2:35" ht="56" x14ac:dyDescent="0.35">
      <c r="B393" s="23">
        <v>20260359</v>
      </c>
      <c r="C393" s="99" t="s">
        <v>554</v>
      </c>
      <c r="D393" s="23" t="s">
        <v>105</v>
      </c>
      <c r="E393" s="23" t="s">
        <v>363</v>
      </c>
      <c r="F393" s="155" t="s">
        <v>145</v>
      </c>
      <c r="G393" s="156" t="s">
        <v>373</v>
      </c>
      <c r="H393" s="157">
        <v>10</v>
      </c>
      <c r="I393" s="157">
        <v>0</v>
      </c>
      <c r="J393" s="127">
        <v>40000000</v>
      </c>
      <c r="K393" s="88" t="s">
        <v>398</v>
      </c>
      <c r="L393" s="155" t="s">
        <v>156</v>
      </c>
      <c r="M393" s="158" t="s">
        <v>513</v>
      </c>
      <c r="N393" s="23" t="s">
        <v>198</v>
      </c>
      <c r="O393" s="151" t="s">
        <v>958</v>
      </c>
      <c r="P393" s="155" t="s">
        <v>348</v>
      </c>
      <c r="Q393" s="53">
        <v>80111600</v>
      </c>
      <c r="R393" s="158" t="s">
        <v>210</v>
      </c>
      <c r="S393" s="158" t="str">
        <f>MID(PAA[[#This Row],[Meta Proyecto de Inversión]],1,4)</f>
        <v>8173</v>
      </c>
      <c r="T393" s="158" t="str">
        <f>MID(PAA[[#This Row],[Meta Proyecto de Inversión]],6,1)</f>
        <v>1</v>
      </c>
      <c r="U393" s="159" t="str">
        <f>IFERROR(VLOOKUP(N393,TD!$B$50:$F$54,2,0)," ")</f>
        <v>O230117</v>
      </c>
      <c r="V393" s="159" t="str">
        <f>IFERROR(VLOOKUP(N393,TD!$B$50:$F$54,3,0)," ")</f>
        <v>4503</v>
      </c>
      <c r="W393" s="159">
        <f>IFERROR(VLOOKUP(N393,TD!$B$50:$F$54,4,0)," ")</f>
        <v>20240255</v>
      </c>
      <c r="X393" s="158" t="s">
        <v>170</v>
      </c>
      <c r="Y393" s="159" t="str">
        <f>IFERROR(VLOOKUP(X393,TD!$J$51:$K$64,2,0)," ")</f>
        <v>Servicio de inspecciones técnicas realizadas</v>
      </c>
      <c r="Z393" s="160" t="str">
        <f>CONCATENATE(X393,"-",Y393)</f>
        <v>06-Servicio de inspecciones técnicas realizadas</v>
      </c>
      <c r="AA393" s="158" t="s">
        <v>223</v>
      </c>
      <c r="AB393" s="159" t="str">
        <f>IFERROR(VLOOKUP(AA393,TD!$N$51:$O$66,2,0)," ")</f>
        <v>Servicio prevención y control de incendios</v>
      </c>
      <c r="AC393" s="160" t="str">
        <f>CONCATENATE(AA393,"_",AB393)</f>
        <v>035_Servicio prevención y control de incendios</v>
      </c>
      <c r="AD393" s="160" t="str">
        <f>CONCATENATE(Z393," ",AC393)</f>
        <v>06-Servicio de inspecciones técnicas realizadas 035_Servicio prevención y control de incendios</v>
      </c>
      <c r="AE393" s="159" t="str">
        <f>CONCATENATE(U393,V393,W393,X393,AA393)</f>
        <v>O23011745032024025506035</v>
      </c>
      <c r="AF393" s="159" t="str">
        <f>IFERROR(VLOOKUP(AD393,TD!$J$66:$K$89,2,0)," ")</f>
        <v>PM/0131/0106/45030350255</v>
      </c>
      <c r="AG393" s="118" t="s">
        <v>385</v>
      </c>
      <c r="AH393" s="158" t="s">
        <v>193</v>
      </c>
      <c r="AI393" s="161" t="str">
        <f>CONCATENATE(PAA[[#This Row],[Id Interno]],"-",PAA[[#This Row],[tipo de Contrato (TH talento humano - B/S bienes y/o servicios)]],"-",S393,"-",T393,"-",PAA[[#This Row],[Objeto de la contratación]])</f>
        <v>20260359-TH-8173-1-Prestar  servicios de apoyo tecnico para realizar las inspecciones relacionadas con la emision de conceptos a cargo de la Subdirección de Gestión del Riesgo._SGR</v>
      </c>
    </row>
    <row r="394" spans="2:35" ht="56" x14ac:dyDescent="0.35">
      <c r="B394" s="23">
        <v>20260360</v>
      </c>
      <c r="C394" s="99" t="s">
        <v>554</v>
      </c>
      <c r="D394" s="23" t="s">
        <v>105</v>
      </c>
      <c r="E394" s="23" t="s">
        <v>363</v>
      </c>
      <c r="F394" s="155" t="s">
        <v>145</v>
      </c>
      <c r="G394" s="156" t="s">
        <v>373</v>
      </c>
      <c r="H394" s="157">
        <v>10</v>
      </c>
      <c r="I394" s="157">
        <v>0</v>
      </c>
      <c r="J394" s="127">
        <v>40000000</v>
      </c>
      <c r="K394" s="88" t="s">
        <v>398</v>
      </c>
      <c r="L394" s="155" t="s">
        <v>156</v>
      </c>
      <c r="M394" s="158" t="s">
        <v>513</v>
      </c>
      <c r="N394" s="23" t="s">
        <v>198</v>
      </c>
      <c r="O394" s="151" t="s">
        <v>958</v>
      </c>
      <c r="P394" s="155" t="s">
        <v>348</v>
      </c>
      <c r="Q394" s="53">
        <v>80111600</v>
      </c>
      <c r="R394" s="158" t="s">
        <v>210</v>
      </c>
      <c r="S394" s="158" t="str">
        <f>MID(PAA[[#This Row],[Meta Proyecto de Inversión]],1,4)</f>
        <v>8173</v>
      </c>
      <c r="T394" s="158" t="str">
        <f>MID(PAA[[#This Row],[Meta Proyecto de Inversión]],6,1)</f>
        <v>1</v>
      </c>
      <c r="U394" s="159" t="str">
        <f>IFERROR(VLOOKUP(N394,TD!$B$50:$F$54,2,0)," ")</f>
        <v>O230117</v>
      </c>
      <c r="V394" s="159" t="str">
        <f>IFERROR(VLOOKUP(N394,TD!$B$50:$F$54,3,0)," ")</f>
        <v>4503</v>
      </c>
      <c r="W394" s="159">
        <f>IFERROR(VLOOKUP(N394,TD!$B$50:$F$54,4,0)," ")</f>
        <v>20240255</v>
      </c>
      <c r="X394" s="158" t="s">
        <v>170</v>
      </c>
      <c r="Y394" s="159" t="str">
        <f>IFERROR(VLOOKUP(X394,TD!$J$51:$K$64,2,0)," ")</f>
        <v>Servicio de inspecciones técnicas realizadas</v>
      </c>
      <c r="Z394" s="160" t="str">
        <f>CONCATENATE(X394,"-",Y394)</f>
        <v>06-Servicio de inspecciones técnicas realizadas</v>
      </c>
      <c r="AA394" s="158" t="s">
        <v>223</v>
      </c>
      <c r="AB394" s="159" t="str">
        <f>IFERROR(VLOOKUP(AA394,TD!$N$51:$O$66,2,0)," ")</f>
        <v>Servicio prevención y control de incendios</v>
      </c>
      <c r="AC394" s="160" t="str">
        <f>CONCATENATE(AA394,"_",AB394)</f>
        <v>035_Servicio prevención y control de incendios</v>
      </c>
      <c r="AD394" s="160" t="str">
        <f>CONCATENATE(Z394," ",AC394)</f>
        <v>06-Servicio de inspecciones técnicas realizadas 035_Servicio prevención y control de incendios</v>
      </c>
      <c r="AE394" s="159" t="str">
        <f>CONCATENATE(U394,V394,W394,X394,AA394)</f>
        <v>O23011745032024025506035</v>
      </c>
      <c r="AF394" s="159" t="str">
        <f>IFERROR(VLOOKUP(AD394,TD!$J$66:$K$89,2,0)," ")</f>
        <v>PM/0131/0106/45030350255</v>
      </c>
      <c r="AG394" s="118" t="s">
        <v>385</v>
      </c>
      <c r="AH394" s="158" t="s">
        <v>193</v>
      </c>
      <c r="AI394" s="161" t="str">
        <f>CONCATENATE(PAA[[#This Row],[Id Interno]],"-",PAA[[#This Row],[tipo de Contrato (TH talento humano - B/S bienes y/o servicios)]],"-",S394,"-",T394,"-",PAA[[#This Row],[Objeto de la contratación]])</f>
        <v>20260360-TH-8173-1-Prestar  servicios de apoyo tecnico para realizar las inspecciones relacionadas con la emision de conceptos a cargo de la Subdirección de Gestión del Riesgo._SGR</v>
      </c>
    </row>
    <row r="395" spans="2:35" ht="56" x14ac:dyDescent="0.35">
      <c r="B395" s="23">
        <v>20260361</v>
      </c>
      <c r="C395" s="99" t="s">
        <v>554</v>
      </c>
      <c r="D395" s="23" t="s">
        <v>105</v>
      </c>
      <c r="E395" s="23" t="s">
        <v>363</v>
      </c>
      <c r="F395" s="155" t="s">
        <v>145</v>
      </c>
      <c r="G395" s="156" t="s">
        <v>373</v>
      </c>
      <c r="H395" s="157">
        <v>10</v>
      </c>
      <c r="I395" s="157">
        <v>0</v>
      </c>
      <c r="J395" s="127">
        <v>40000000</v>
      </c>
      <c r="K395" s="88" t="s">
        <v>398</v>
      </c>
      <c r="L395" s="155" t="s">
        <v>156</v>
      </c>
      <c r="M395" s="158" t="s">
        <v>513</v>
      </c>
      <c r="N395" s="23" t="s">
        <v>198</v>
      </c>
      <c r="O395" s="151" t="s">
        <v>958</v>
      </c>
      <c r="P395" s="155" t="s">
        <v>348</v>
      </c>
      <c r="Q395" s="53">
        <v>80111600</v>
      </c>
      <c r="R395" s="158" t="s">
        <v>210</v>
      </c>
      <c r="S395" s="158" t="str">
        <f>MID(PAA[[#This Row],[Meta Proyecto de Inversión]],1,4)</f>
        <v>8173</v>
      </c>
      <c r="T395" s="158" t="str">
        <f>MID(PAA[[#This Row],[Meta Proyecto de Inversión]],6,1)</f>
        <v>1</v>
      </c>
      <c r="U395" s="159" t="str">
        <f>IFERROR(VLOOKUP(N395,TD!$B$50:$F$54,2,0)," ")</f>
        <v>O230117</v>
      </c>
      <c r="V395" s="159" t="str">
        <f>IFERROR(VLOOKUP(N395,TD!$B$50:$F$54,3,0)," ")</f>
        <v>4503</v>
      </c>
      <c r="W395" s="159">
        <f>IFERROR(VLOOKUP(N395,TD!$B$50:$F$54,4,0)," ")</f>
        <v>20240255</v>
      </c>
      <c r="X395" s="158" t="s">
        <v>170</v>
      </c>
      <c r="Y395" s="159" t="str">
        <f>IFERROR(VLOOKUP(X395,TD!$J$51:$K$64,2,0)," ")</f>
        <v>Servicio de inspecciones técnicas realizadas</v>
      </c>
      <c r="Z395" s="160" t="str">
        <f>CONCATENATE(X395,"-",Y395)</f>
        <v>06-Servicio de inspecciones técnicas realizadas</v>
      </c>
      <c r="AA395" s="158" t="s">
        <v>223</v>
      </c>
      <c r="AB395" s="159" t="str">
        <f>IFERROR(VLOOKUP(AA395,TD!$N$51:$O$66,2,0)," ")</f>
        <v>Servicio prevención y control de incendios</v>
      </c>
      <c r="AC395" s="160" t="str">
        <f>CONCATENATE(AA395,"_",AB395)</f>
        <v>035_Servicio prevención y control de incendios</v>
      </c>
      <c r="AD395" s="160" t="str">
        <f>CONCATENATE(Z395," ",AC395)</f>
        <v>06-Servicio de inspecciones técnicas realizadas 035_Servicio prevención y control de incendios</v>
      </c>
      <c r="AE395" s="159" t="str">
        <f>CONCATENATE(U395,V395,W395,X395,AA395)</f>
        <v>O23011745032024025506035</v>
      </c>
      <c r="AF395" s="159" t="str">
        <f>IFERROR(VLOOKUP(AD395,TD!$J$66:$K$89,2,0)," ")</f>
        <v>PM/0131/0106/45030350255</v>
      </c>
      <c r="AG395" s="118" t="s">
        <v>385</v>
      </c>
      <c r="AH395" s="158" t="s">
        <v>193</v>
      </c>
      <c r="AI395" s="161" t="str">
        <f>CONCATENATE(PAA[[#This Row],[Id Interno]],"-",PAA[[#This Row],[tipo de Contrato (TH talento humano - B/S bienes y/o servicios)]],"-",S395,"-",T395,"-",PAA[[#This Row],[Objeto de la contratación]])</f>
        <v>20260361-TH-8173-1-Prestar  servicios de apoyo tecnico para realizar las inspecciones relacionadas con la emision de conceptos a cargo de la Subdirección de Gestión del Riesgo._SGR</v>
      </c>
    </row>
    <row r="396" spans="2:35" ht="56" x14ac:dyDescent="0.35">
      <c r="B396" s="23">
        <v>20260362</v>
      </c>
      <c r="C396" s="99" t="s">
        <v>554</v>
      </c>
      <c r="D396" s="23" t="s">
        <v>105</v>
      </c>
      <c r="E396" s="23" t="s">
        <v>363</v>
      </c>
      <c r="F396" s="155" t="s">
        <v>145</v>
      </c>
      <c r="G396" s="156" t="s">
        <v>373</v>
      </c>
      <c r="H396" s="157">
        <v>10</v>
      </c>
      <c r="I396" s="157">
        <v>0</v>
      </c>
      <c r="J396" s="127">
        <v>40000000</v>
      </c>
      <c r="K396" s="88" t="s">
        <v>398</v>
      </c>
      <c r="L396" s="155" t="s">
        <v>156</v>
      </c>
      <c r="M396" s="158" t="s">
        <v>513</v>
      </c>
      <c r="N396" s="23" t="s">
        <v>198</v>
      </c>
      <c r="O396" s="151" t="s">
        <v>958</v>
      </c>
      <c r="P396" s="155" t="s">
        <v>348</v>
      </c>
      <c r="Q396" s="53">
        <v>80111600</v>
      </c>
      <c r="R396" s="158" t="s">
        <v>210</v>
      </c>
      <c r="S396" s="158" t="str">
        <f>MID(PAA[[#This Row],[Meta Proyecto de Inversión]],1,4)</f>
        <v>8173</v>
      </c>
      <c r="T396" s="158" t="str">
        <f>MID(PAA[[#This Row],[Meta Proyecto de Inversión]],6,1)</f>
        <v>1</v>
      </c>
      <c r="U396" s="159" t="str">
        <f>IFERROR(VLOOKUP(N396,TD!$B$50:$F$54,2,0)," ")</f>
        <v>O230117</v>
      </c>
      <c r="V396" s="159" t="str">
        <f>IFERROR(VLOOKUP(N396,TD!$B$50:$F$54,3,0)," ")</f>
        <v>4503</v>
      </c>
      <c r="W396" s="159">
        <f>IFERROR(VLOOKUP(N396,TD!$B$50:$F$54,4,0)," ")</f>
        <v>20240255</v>
      </c>
      <c r="X396" s="158" t="s">
        <v>170</v>
      </c>
      <c r="Y396" s="159" t="str">
        <f>IFERROR(VLOOKUP(X396,TD!$J$51:$K$64,2,0)," ")</f>
        <v>Servicio de inspecciones técnicas realizadas</v>
      </c>
      <c r="Z396" s="160" t="str">
        <f>CONCATENATE(X396,"-",Y396)</f>
        <v>06-Servicio de inspecciones técnicas realizadas</v>
      </c>
      <c r="AA396" s="158" t="s">
        <v>223</v>
      </c>
      <c r="AB396" s="159" t="str">
        <f>IFERROR(VLOOKUP(AA396,TD!$N$51:$O$66,2,0)," ")</f>
        <v>Servicio prevención y control de incendios</v>
      </c>
      <c r="AC396" s="160" t="str">
        <f>CONCATENATE(AA396,"_",AB396)</f>
        <v>035_Servicio prevención y control de incendios</v>
      </c>
      <c r="AD396" s="160" t="str">
        <f>CONCATENATE(Z396," ",AC396)</f>
        <v>06-Servicio de inspecciones técnicas realizadas 035_Servicio prevención y control de incendios</v>
      </c>
      <c r="AE396" s="159" t="str">
        <f>CONCATENATE(U396,V396,W396,X396,AA396)</f>
        <v>O23011745032024025506035</v>
      </c>
      <c r="AF396" s="159" t="str">
        <f>IFERROR(VLOOKUP(AD396,TD!$J$66:$K$89,2,0)," ")</f>
        <v>PM/0131/0106/45030350255</v>
      </c>
      <c r="AG396" s="118" t="s">
        <v>385</v>
      </c>
      <c r="AH396" s="158" t="s">
        <v>193</v>
      </c>
      <c r="AI396" s="161" t="str">
        <f>CONCATENATE(PAA[[#This Row],[Id Interno]],"-",PAA[[#This Row],[tipo de Contrato (TH talento humano - B/S bienes y/o servicios)]],"-",S396,"-",T396,"-",PAA[[#This Row],[Objeto de la contratación]])</f>
        <v>20260362-TH-8173-1-Prestar  servicios de apoyo tecnico para realizar las inspecciones relacionadas con la emision de conceptos a cargo de la Subdirección de Gestión del Riesgo._SGR</v>
      </c>
    </row>
    <row r="397" spans="2:35" ht="56" x14ac:dyDescent="0.35">
      <c r="B397" s="23">
        <v>20260363</v>
      </c>
      <c r="C397" s="99" t="s">
        <v>554</v>
      </c>
      <c r="D397" s="23" t="s">
        <v>105</v>
      </c>
      <c r="E397" s="23" t="s">
        <v>363</v>
      </c>
      <c r="F397" s="155" t="s">
        <v>145</v>
      </c>
      <c r="G397" s="156" t="s">
        <v>373</v>
      </c>
      <c r="H397" s="157">
        <v>10</v>
      </c>
      <c r="I397" s="157">
        <v>0</v>
      </c>
      <c r="J397" s="127">
        <v>40000000</v>
      </c>
      <c r="K397" s="88" t="s">
        <v>398</v>
      </c>
      <c r="L397" s="155" t="s">
        <v>156</v>
      </c>
      <c r="M397" s="158" t="s">
        <v>513</v>
      </c>
      <c r="N397" s="23" t="s">
        <v>198</v>
      </c>
      <c r="O397" s="151" t="s">
        <v>958</v>
      </c>
      <c r="P397" s="155" t="s">
        <v>348</v>
      </c>
      <c r="Q397" s="53">
        <v>80111600</v>
      </c>
      <c r="R397" s="158" t="s">
        <v>210</v>
      </c>
      <c r="S397" s="158" t="str">
        <f>MID(PAA[[#This Row],[Meta Proyecto de Inversión]],1,4)</f>
        <v>8173</v>
      </c>
      <c r="T397" s="158" t="str">
        <f>MID(PAA[[#This Row],[Meta Proyecto de Inversión]],6,1)</f>
        <v>1</v>
      </c>
      <c r="U397" s="159" t="str">
        <f>IFERROR(VLOOKUP(N397,TD!$B$50:$F$54,2,0)," ")</f>
        <v>O230117</v>
      </c>
      <c r="V397" s="159" t="str">
        <f>IFERROR(VLOOKUP(N397,TD!$B$50:$F$54,3,0)," ")</f>
        <v>4503</v>
      </c>
      <c r="W397" s="159">
        <f>IFERROR(VLOOKUP(N397,TD!$B$50:$F$54,4,0)," ")</f>
        <v>20240255</v>
      </c>
      <c r="X397" s="158" t="s">
        <v>170</v>
      </c>
      <c r="Y397" s="159" t="str">
        <f>IFERROR(VLOOKUP(X397,TD!$J$51:$K$64,2,0)," ")</f>
        <v>Servicio de inspecciones técnicas realizadas</v>
      </c>
      <c r="Z397" s="160" t="str">
        <f>CONCATENATE(X397,"-",Y397)</f>
        <v>06-Servicio de inspecciones técnicas realizadas</v>
      </c>
      <c r="AA397" s="158" t="s">
        <v>223</v>
      </c>
      <c r="AB397" s="159" t="str">
        <f>IFERROR(VLOOKUP(AA397,TD!$N$51:$O$66,2,0)," ")</f>
        <v>Servicio prevención y control de incendios</v>
      </c>
      <c r="AC397" s="160" t="str">
        <f>CONCATENATE(AA397,"_",AB397)</f>
        <v>035_Servicio prevención y control de incendios</v>
      </c>
      <c r="AD397" s="160" t="str">
        <f>CONCATENATE(Z397," ",AC397)</f>
        <v>06-Servicio de inspecciones técnicas realizadas 035_Servicio prevención y control de incendios</v>
      </c>
      <c r="AE397" s="159" t="str">
        <f>CONCATENATE(U397,V397,W397,X397,AA397)</f>
        <v>O23011745032024025506035</v>
      </c>
      <c r="AF397" s="159" t="str">
        <f>IFERROR(VLOOKUP(AD397,TD!$J$66:$K$89,2,0)," ")</f>
        <v>PM/0131/0106/45030350255</v>
      </c>
      <c r="AG397" s="118" t="s">
        <v>385</v>
      </c>
      <c r="AH397" s="158" t="s">
        <v>193</v>
      </c>
      <c r="AI397" s="161" t="str">
        <f>CONCATENATE(PAA[[#This Row],[Id Interno]],"-",PAA[[#This Row],[tipo de Contrato (TH talento humano - B/S bienes y/o servicios)]],"-",S397,"-",T397,"-",PAA[[#This Row],[Objeto de la contratación]])</f>
        <v>20260363-TH-8173-1-Prestar  servicios de apoyo tecnico para realizar las inspecciones relacionadas con la emision de conceptos a cargo de la Subdirección de Gestión del Riesgo._SGR</v>
      </c>
    </row>
    <row r="398" spans="2:35" ht="70" x14ac:dyDescent="0.35">
      <c r="B398" s="23">
        <v>20260364</v>
      </c>
      <c r="C398" s="99" t="s">
        <v>554</v>
      </c>
      <c r="D398" s="23" t="s">
        <v>105</v>
      </c>
      <c r="E398" s="23" t="s">
        <v>363</v>
      </c>
      <c r="F398" s="155" t="s">
        <v>145</v>
      </c>
      <c r="G398" s="156" t="s">
        <v>373</v>
      </c>
      <c r="H398" s="157">
        <v>10</v>
      </c>
      <c r="I398" s="157">
        <v>0</v>
      </c>
      <c r="J398" s="127">
        <v>40000000</v>
      </c>
      <c r="K398" s="88" t="s">
        <v>398</v>
      </c>
      <c r="L398" s="155" t="s">
        <v>156</v>
      </c>
      <c r="M398" s="158" t="s">
        <v>513</v>
      </c>
      <c r="N398" s="23" t="s">
        <v>198</v>
      </c>
      <c r="O398" s="151" t="s">
        <v>958</v>
      </c>
      <c r="P398" s="155" t="s">
        <v>348</v>
      </c>
      <c r="Q398" s="53">
        <v>80111600</v>
      </c>
      <c r="R398" s="158" t="s">
        <v>210</v>
      </c>
      <c r="S398" s="158" t="str">
        <f>MID(PAA[[#This Row],[Meta Proyecto de Inversión]],1,4)</f>
        <v>8173</v>
      </c>
      <c r="T398" s="158" t="str">
        <f>MID(PAA[[#This Row],[Meta Proyecto de Inversión]],6,1)</f>
        <v>1</v>
      </c>
      <c r="U398" s="159" t="str">
        <f>IFERROR(VLOOKUP(N398,TD!$B$50:$F$54,2,0)," ")</f>
        <v>O230117</v>
      </c>
      <c r="V398" s="159" t="str">
        <f>IFERROR(VLOOKUP(N398,TD!$B$50:$F$54,3,0)," ")</f>
        <v>4503</v>
      </c>
      <c r="W398" s="159">
        <f>IFERROR(VLOOKUP(N398,TD!$B$50:$F$54,4,0)," ")</f>
        <v>20240255</v>
      </c>
      <c r="X398" s="158" t="s">
        <v>170</v>
      </c>
      <c r="Y398" s="159" t="str">
        <f>IFERROR(VLOOKUP(X398,TD!$J$51:$K$64,2,0)," ")</f>
        <v>Servicio de inspecciones técnicas realizadas</v>
      </c>
      <c r="Z398" s="160" t="str">
        <f>CONCATENATE(X398,"-",Y398)</f>
        <v>06-Servicio de inspecciones técnicas realizadas</v>
      </c>
      <c r="AA398" s="158" t="s">
        <v>223</v>
      </c>
      <c r="AB398" s="159" t="str">
        <f>IFERROR(VLOOKUP(AA398,TD!$N$51:$O$66,2,0)," ")</f>
        <v>Servicio prevención y control de incendios</v>
      </c>
      <c r="AC398" s="160" t="str">
        <f>CONCATENATE(AA398,"_",AB398)</f>
        <v>035_Servicio prevención y control de incendios</v>
      </c>
      <c r="AD398" s="160" t="str">
        <f>CONCATENATE(Z398," ",AC398)</f>
        <v>06-Servicio de inspecciones técnicas realizadas 035_Servicio prevención y control de incendios</v>
      </c>
      <c r="AE398" s="159" t="str">
        <f>CONCATENATE(U398,V398,W398,X398,AA398)</f>
        <v>O23011745032024025506035</v>
      </c>
      <c r="AF398" s="159" t="str">
        <f>IFERROR(VLOOKUP(AD398,TD!$J$66:$K$89,2,0)," ")</f>
        <v>PM/0131/0106/45030350255</v>
      </c>
      <c r="AG398" s="118" t="s">
        <v>385</v>
      </c>
      <c r="AH398" s="158" t="s">
        <v>193</v>
      </c>
      <c r="AI398" s="161" t="str">
        <f>CONCATENATE(PAA[[#This Row],[Id Interno]],"-",PAA[[#This Row],[tipo de Contrato (TH talento humano - B/S bienes y/o servicios)]],"-",S398,"-",T398,"-",PAA[[#This Row],[Objeto de la contratación]])</f>
        <v>20260364-TH-8173-1-Prestar  servicios de apoyo tecnico para realizar las inspecciones relacionadas con la emision de conceptos a cargo de la Subdirección de Gestión del Riesgo._SGR</v>
      </c>
    </row>
    <row r="399" spans="2:35" ht="56" x14ac:dyDescent="0.35">
      <c r="B399" s="23">
        <v>20260365</v>
      </c>
      <c r="C399" s="99" t="s">
        <v>549</v>
      </c>
      <c r="D399" s="23" t="s">
        <v>105</v>
      </c>
      <c r="E399" s="23" t="s">
        <v>363</v>
      </c>
      <c r="F399" s="155" t="s">
        <v>144</v>
      </c>
      <c r="G399" s="156" t="s">
        <v>373</v>
      </c>
      <c r="H399" s="157">
        <v>7</v>
      </c>
      <c r="I399" s="157">
        <v>0</v>
      </c>
      <c r="J399" s="127">
        <v>49000000</v>
      </c>
      <c r="K399" s="88" t="s">
        <v>398</v>
      </c>
      <c r="L399" s="155" t="s">
        <v>156</v>
      </c>
      <c r="M399" s="158" t="s">
        <v>513</v>
      </c>
      <c r="N399" s="23" t="s">
        <v>198</v>
      </c>
      <c r="O399" s="151" t="s">
        <v>958</v>
      </c>
      <c r="P399" s="155" t="s">
        <v>348</v>
      </c>
      <c r="Q399" s="53">
        <v>80111600</v>
      </c>
      <c r="R399" s="158" t="s">
        <v>210</v>
      </c>
      <c r="S399" s="158" t="str">
        <f>MID(PAA[[#This Row],[Meta Proyecto de Inversión]],1,4)</f>
        <v>8173</v>
      </c>
      <c r="T399" s="158" t="str">
        <f>MID(PAA[[#This Row],[Meta Proyecto de Inversión]],6,1)</f>
        <v>1</v>
      </c>
      <c r="U399" s="159" t="str">
        <f>IFERROR(VLOOKUP(N399,TD!$B$50:$F$54,2,0)," ")</f>
        <v>O230117</v>
      </c>
      <c r="V399" s="159" t="str">
        <f>IFERROR(VLOOKUP(N399,TD!$B$50:$F$54,3,0)," ")</f>
        <v>4503</v>
      </c>
      <c r="W399" s="159">
        <f>IFERROR(VLOOKUP(N399,TD!$B$50:$F$54,4,0)," ")</f>
        <v>20240255</v>
      </c>
      <c r="X399" s="158" t="s">
        <v>166</v>
      </c>
      <c r="Y399" s="159" t="str">
        <f>IFERROR(VLOOKUP(X399,TD!$J$51:$K$64,2,0)," ")</f>
        <v>Servicio de capacitaciones en gestión del riesgo de incendios  a la ciudadania.</v>
      </c>
      <c r="Z399" s="160" t="str">
        <f>CONCATENATE(X399,"-",Y399)</f>
        <v>05-Servicio de capacitaciones en gestión del riesgo de incendios  a la ciudadania.</v>
      </c>
      <c r="AA399" s="158" t="s">
        <v>223</v>
      </c>
      <c r="AB399" s="159" t="str">
        <f>IFERROR(VLOOKUP(AA399,TD!$N$51:$O$66,2,0)," ")</f>
        <v>Servicio prevención y control de incendios</v>
      </c>
      <c r="AC399" s="160" t="str">
        <f>CONCATENATE(AA399,"_",AB399)</f>
        <v>035_Servicio prevención y control de incendios</v>
      </c>
      <c r="AD399" s="160" t="str">
        <f>CONCATENATE(Z399," ",AC399)</f>
        <v>05-Servicio de capacitaciones en gestión del riesgo de incendios  a la ciudadania. 035_Servicio prevención y control de incendios</v>
      </c>
      <c r="AE399" s="159" t="str">
        <f>CONCATENATE(U399,V399,W399,X399,AA399)</f>
        <v>O23011745032024025505035</v>
      </c>
      <c r="AF399" s="159" t="str">
        <f>IFERROR(VLOOKUP(AD399,TD!$J$66:$K$89,2,0)," ")</f>
        <v>PM/0131/0105/45030350255</v>
      </c>
      <c r="AG399" s="118" t="s">
        <v>385</v>
      </c>
      <c r="AH399" s="158" t="s">
        <v>193</v>
      </c>
      <c r="AI399" s="161" t="str">
        <f>CONCATENATE(PAA[[#This Row],[Id Interno]],"-",PAA[[#This Row],[tipo de Contrato (TH talento humano - B/S bienes y/o servicios)]],"-",S399,"-",T399,"-",PAA[[#This Row],[Objeto de la contratación]])</f>
        <v>20260365-TH-8173-1-Prestar servicios profesionales para la gestión misional  mediante la estructuración y seguimiento de procesos contractuales y asuntos jurídicos de la Subdirección de Gestión del Riesgo_SGR</v>
      </c>
    </row>
    <row r="400" spans="2:35" ht="56" x14ac:dyDescent="0.35">
      <c r="B400" s="23">
        <v>20260366</v>
      </c>
      <c r="C400" s="99" t="s">
        <v>565</v>
      </c>
      <c r="D400" s="23" t="s">
        <v>105</v>
      </c>
      <c r="E400" s="23" t="s">
        <v>363</v>
      </c>
      <c r="F400" s="155" t="s">
        <v>144</v>
      </c>
      <c r="G400" s="156" t="s">
        <v>373</v>
      </c>
      <c r="H400" s="157">
        <v>10</v>
      </c>
      <c r="I400" s="157">
        <v>0</v>
      </c>
      <c r="J400" s="127">
        <v>55000000</v>
      </c>
      <c r="K400" s="88" t="s">
        <v>398</v>
      </c>
      <c r="L400" s="155" t="s">
        <v>156</v>
      </c>
      <c r="M400" s="158" t="s">
        <v>513</v>
      </c>
      <c r="N400" s="23" t="s">
        <v>198</v>
      </c>
      <c r="O400" s="151" t="s">
        <v>958</v>
      </c>
      <c r="P400" s="155" t="s">
        <v>348</v>
      </c>
      <c r="Q400" s="53">
        <v>80111600</v>
      </c>
      <c r="R400" s="158" t="s">
        <v>215</v>
      </c>
      <c r="S400" s="158" t="str">
        <f>MID(PAA[[#This Row],[Meta Proyecto de Inversión]],1,4)</f>
        <v>8173</v>
      </c>
      <c r="T400" s="158" t="str">
        <f>MID(PAA[[#This Row],[Meta Proyecto de Inversión]],6,1)</f>
        <v>6</v>
      </c>
      <c r="U400" s="159" t="str">
        <f>IFERROR(VLOOKUP(N400,TD!$B$50:$F$54,2,0)," ")</f>
        <v>O230117</v>
      </c>
      <c r="V400" s="159" t="str">
        <f>IFERROR(VLOOKUP(N400,TD!$B$50:$F$54,3,0)," ")</f>
        <v>4503</v>
      </c>
      <c r="W400" s="159">
        <f>IFERROR(VLOOKUP(N400,TD!$B$50:$F$54,4,0)," ")</f>
        <v>20240255</v>
      </c>
      <c r="X400" s="158">
        <v>16</v>
      </c>
      <c r="Y400" s="159" t="str">
        <f>IFERROR(VLOOKUP(X400,TD!$J$51:$K$64,2,0)," ")</f>
        <v>Servicio de monitoreo y seguimiento para la gestión del riesgo</v>
      </c>
      <c r="Z400" s="160" t="str">
        <f>CONCATENATE(X400,"-",Y400)</f>
        <v>16-Servicio de monitoreo y seguimiento para la gestión del riesgo</v>
      </c>
      <c r="AA400" s="158" t="s">
        <v>224</v>
      </c>
      <c r="AB400" s="159" t="str">
        <f>IFERROR(VLOOKUP(AA400,TD!$N$51:$O$66,2,0)," ")</f>
        <v>Servicio de monitoreo y seguimiento para la gestión del riesgo</v>
      </c>
      <c r="AC400" s="160" t="str">
        <f>CONCATENATE(AA400,"_",AB400)</f>
        <v>018_Servicio de monitoreo y seguimiento para la gestión del riesgo</v>
      </c>
      <c r="AD400" s="160" t="str">
        <f>CONCATENATE(Z400," ",AC400)</f>
        <v>16-Servicio de monitoreo y seguimiento para la gestión del riesgo 018_Servicio de monitoreo y seguimiento para la gestión del riesgo</v>
      </c>
      <c r="AE400" s="159" t="str">
        <f>CONCATENATE(U400,V400,W400,X400,AA400)</f>
        <v>O23011745032024025516018</v>
      </c>
      <c r="AF400" s="159" t="str">
        <f>IFERROR(VLOOKUP(AD400,TD!$J$66:$K$89,2,0)," ")</f>
        <v>PM/0131/0116/45030180255</v>
      </c>
      <c r="AG400" s="118" t="s">
        <v>385</v>
      </c>
      <c r="AH400" s="158" t="s">
        <v>193</v>
      </c>
      <c r="AI400" s="161" t="str">
        <f>CONCATENATE(PAA[[#This Row],[Id Interno]],"-",PAA[[#This Row],[tipo de Contrato (TH talento humano - B/S bienes y/o servicios)]],"-",S400,"-",T400,"-",PAA[[#This Row],[Objeto de la contratación]])</f>
        <v>20260366-TH-8173-6-Prestar servicios profesionales en las actividades de monitoreo del riesgo para la Subdirección de Gestión del Riesgo._SGR</v>
      </c>
    </row>
    <row r="401" spans="2:35" ht="56" x14ac:dyDescent="0.35">
      <c r="B401" s="23">
        <v>20260367</v>
      </c>
      <c r="C401" s="99" t="s">
        <v>556</v>
      </c>
      <c r="D401" s="23" t="s">
        <v>105</v>
      </c>
      <c r="E401" s="23" t="s">
        <v>363</v>
      </c>
      <c r="F401" s="155" t="s">
        <v>144</v>
      </c>
      <c r="G401" s="156" t="s">
        <v>373</v>
      </c>
      <c r="H401" s="157">
        <v>10</v>
      </c>
      <c r="I401" s="157">
        <v>0</v>
      </c>
      <c r="J401" s="127">
        <v>80000000</v>
      </c>
      <c r="K401" s="88" t="s">
        <v>398</v>
      </c>
      <c r="L401" s="155" t="s">
        <v>156</v>
      </c>
      <c r="M401" s="158" t="s">
        <v>513</v>
      </c>
      <c r="N401" s="23" t="s">
        <v>198</v>
      </c>
      <c r="O401" s="151" t="s">
        <v>958</v>
      </c>
      <c r="P401" s="155" t="s">
        <v>348</v>
      </c>
      <c r="Q401" s="53">
        <v>80111600</v>
      </c>
      <c r="R401" s="158" t="s">
        <v>210</v>
      </c>
      <c r="S401" s="158" t="str">
        <f>MID(PAA[[#This Row],[Meta Proyecto de Inversión]],1,4)</f>
        <v>8173</v>
      </c>
      <c r="T401" s="158" t="str">
        <f>MID(PAA[[#This Row],[Meta Proyecto de Inversión]],6,1)</f>
        <v>1</v>
      </c>
      <c r="U401" s="159" t="str">
        <f>IFERROR(VLOOKUP(N401,TD!$B$50:$F$54,2,0)," ")</f>
        <v>O230117</v>
      </c>
      <c r="V401" s="159" t="str">
        <f>IFERROR(VLOOKUP(N401,TD!$B$50:$F$54,3,0)," ")</f>
        <v>4503</v>
      </c>
      <c r="W401" s="159">
        <f>IFERROR(VLOOKUP(N401,TD!$B$50:$F$54,4,0)," ")</f>
        <v>20240255</v>
      </c>
      <c r="X401" s="158" t="s">
        <v>166</v>
      </c>
      <c r="Y401" s="159" t="str">
        <f>IFERROR(VLOOKUP(X401,TD!$J$51:$K$64,2,0)," ")</f>
        <v>Servicio de capacitaciones en gestión del riesgo de incendios  a la ciudadania.</v>
      </c>
      <c r="Z401" s="160" t="str">
        <f>CONCATENATE(X401,"-",Y401)</f>
        <v>05-Servicio de capacitaciones en gestión del riesgo de incendios  a la ciudadania.</v>
      </c>
      <c r="AA401" s="158" t="s">
        <v>223</v>
      </c>
      <c r="AB401" s="159" t="str">
        <f>IFERROR(VLOOKUP(AA401,TD!$N$51:$O$66,2,0)," ")</f>
        <v>Servicio prevención y control de incendios</v>
      </c>
      <c r="AC401" s="160" t="str">
        <f>CONCATENATE(AA401,"_",AB401)</f>
        <v>035_Servicio prevención y control de incendios</v>
      </c>
      <c r="AD401" s="160" t="str">
        <f>CONCATENATE(Z401," ",AC401)</f>
        <v>05-Servicio de capacitaciones en gestión del riesgo de incendios  a la ciudadania. 035_Servicio prevención y control de incendios</v>
      </c>
      <c r="AE401" s="159" t="str">
        <f>CONCATENATE(U401,V401,W401,X401,AA401)</f>
        <v>O23011745032024025505035</v>
      </c>
      <c r="AF401" s="159" t="str">
        <f>IFERROR(VLOOKUP(AD401,TD!$J$66:$K$89,2,0)," ")</f>
        <v>PM/0131/0105/45030350255</v>
      </c>
      <c r="AG401" s="118" t="s">
        <v>385</v>
      </c>
      <c r="AH401" s="158" t="s">
        <v>193</v>
      </c>
      <c r="AI401" s="161" t="str">
        <f>CONCATENATE(PAA[[#This Row],[Id Interno]],"-",PAA[[#This Row],[tipo de Contrato (TH talento humano - B/S bienes y/o servicios)]],"-",S401,"-",T401,"-",PAA[[#This Row],[Objeto de la contratación]])</f>
        <v>20260367-TH-8173-1-Prestar servicios profesionales liderando las actividades de Programas y Campañas de Prevención para la Subdirección de Gestión del Riesgo._SGR</v>
      </c>
    </row>
    <row r="402" spans="2:35" ht="56" x14ac:dyDescent="0.35">
      <c r="B402" s="23">
        <v>20260368</v>
      </c>
      <c r="C402" s="99" t="s">
        <v>557</v>
      </c>
      <c r="D402" s="23" t="s">
        <v>105</v>
      </c>
      <c r="E402" s="23" t="s">
        <v>363</v>
      </c>
      <c r="F402" s="155" t="s">
        <v>144</v>
      </c>
      <c r="G402" s="156" t="s">
        <v>373</v>
      </c>
      <c r="H402" s="157">
        <v>10</v>
      </c>
      <c r="I402" s="157">
        <v>0</v>
      </c>
      <c r="J402" s="127">
        <v>60000000</v>
      </c>
      <c r="K402" s="88" t="s">
        <v>398</v>
      </c>
      <c r="L402" s="155" t="s">
        <v>156</v>
      </c>
      <c r="M402" s="158" t="s">
        <v>513</v>
      </c>
      <c r="N402" s="23" t="s">
        <v>198</v>
      </c>
      <c r="O402" s="151" t="s">
        <v>958</v>
      </c>
      <c r="P402" s="155" t="s">
        <v>348</v>
      </c>
      <c r="Q402" s="53">
        <v>80111600</v>
      </c>
      <c r="R402" s="158" t="s">
        <v>210</v>
      </c>
      <c r="S402" s="158" t="str">
        <f>MID(PAA[[#This Row],[Meta Proyecto de Inversión]],1,4)</f>
        <v>8173</v>
      </c>
      <c r="T402" s="158" t="str">
        <f>MID(PAA[[#This Row],[Meta Proyecto de Inversión]],6,1)</f>
        <v>1</v>
      </c>
      <c r="U402" s="159" t="str">
        <f>IFERROR(VLOOKUP(N402,TD!$B$50:$F$54,2,0)," ")</f>
        <v>O230117</v>
      </c>
      <c r="V402" s="159" t="str">
        <f>IFERROR(VLOOKUP(N402,TD!$B$50:$F$54,3,0)," ")</f>
        <v>4503</v>
      </c>
      <c r="W402" s="159">
        <f>IFERROR(VLOOKUP(N402,TD!$B$50:$F$54,4,0)," ")</f>
        <v>20240255</v>
      </c>
      <c r="X402" s="158" t="s">
        <v>166</v>
      </c>
      <c r="Y402" s="159" t="str">
        <f>IFERROR(VLOOKUP(X402,TD!$J$51:$K$64,2,0)," ")</f>
        <v>Servicio de capacitaciones en gestión del riesgo de incendios  a la ciudadania.</v>
      </c>
      <c r="Z402" s="160" t="str">
        <f>CONCATENATE(X402,"-",Y402)</f>
        <v>05-Servicio de capacitaciones en gestión del riesgo de incendios  a la ciudadania.</v>
      </c>
      <c r="AA402" s="158" t="s">
        <v>223</v>
      </c>
      <c r="AB402" s="159" t="str">
        <f>IFERROR(VLOOKUP(AA402,TD!$N$51:$O$66,2,0)," ")</f>
        <v>Servicio prevención y control de incendios</v>
      </c>
      <c r="AC402" s="160" t="str">
        <f>CONCATENATE(AA402,"_",AB402)</f>
        <v>035_Servicio prevención y control de incendios</v>
      </c>
      <c r="AD402" s="160" t="str">
        <f>CONCATENATE(Z402," ",AC402)</f>
        <v>05-Servicio de capacitaciones en gestión del riesgo de incendios  a la ciudadania. 035_Servicio prevención y control de incendios</v>
      </c>
      <c r="AE402" s="159" t="str">
        <f>CONCATENATE(U402,V402,W402,X402,AA402)</f>
        <v>O23011745032024025505035</v>
      </c>
      <c r="AF402" s="159" t="str">
        <f>IFERROR(VLOOKUP(AD402,TD!$J$66:$K$89,2,0)," ")</f>
        <v>PM/0131/0105/45030350255</v>
      </c>
      <c r="AG402" s="118" t="s">
        <v>385</v>
      </c>
      <c r="AH402" s="158" t="s">
        <v>193</v>
      </c>
      <c r="AI402" s="161" t="str">
        <f>CONCATENATE(PAA[[#This Row],[Id Interno]],"-",PAA[[#This Row],[tipo de Contrato (TH talento humano - B/S bienes y/o servicios)]],"-",S402,"-",T402,"-",PAA[[#This Row],[Objeto de la contratación]])</f>
        <v>20260368-TH-8173-1-Prestar servicios profesionales en las actividades de Programas y Campañas de Prevención para la Subdirección de Gestión del Riesgo._SGR</v>
      </c>
    </row>
    <row r="403" spans="2:35" ht="56" x14ac:dyDescent="0.35">
      <c r="B403" s="23">
        <v>20260369</v>
      </c>
      <c r="C403" s="99" t="s">
        <v>557</v>
      </c>
      <c r="D403" s="23" t="s">
        <v>105</v>
      </c>
      <c r="E403" s="23" t="s">
        <v>363</v>
      </c>
      <c r="F403" s="155" t="s">
        <v>144</v>
      </c>
      <c r="G403" s="156" t="s">
        <v>373</v>
      </c>
      <c r="H403" s="157">
        <v>10</v>
      </c>
      <c r="I403" s="157">
        <v>0</v>
      </c>
      <c r="J403" s="127">
        <v>60000000</v>
      </c>
      <c r="K403" s="88" t="s">
        <v>398</v>
      </c>
      <c r="L403" s="155" t="s">
        <v>156</v>
      </c>
      <c r="M403" s="158" t="s">
        <v>513</v>
      </c>
      <c r="N403" s="23" t="s">
        <v>198</v>
      </c>
      <c r="O403" s="151" t="s">
        <v>958</v>
      </c>
      <c r="P403" s="155" t="s">
        <v>348</v>
      </c>
      <c r="Q403" s="53">
        <v>80111600</v>
      </c>
      <c r="R403" s="158" t="s">
        <v>210</v>
      </c>
      <c r="S403" s="158" t="str">
        <f>MID(PAA[[#This Row],[Meta Proyecto de Inversión]],1,4)</f>
        <v>8173</v>
      </c>
      <c r="T403" s="158" t="str">
        <f>MID(PAA[[#This Row],[Meta Proyecto de Inversión]],6,1)</f>
        <v>1</v>
      </c>
      <c r="U403" s="159" t="str">
        <f>IFERROR(VLOOKUP(N403,TD!$B$50:$F$54,2,0)," ")</f>
        <v>O230117</v>
      </c>
      <c r="V403" s="159" t="str">
        <f>IFERROR(VLOOKUP(N403,TD!$B$50:$F$54,3,0)," ")</f>
        <v>4503</v>
      </c>
      <c r="W403" s="159">
        <f>IFERROR(VLOOKUP(N403,TD!$B$50:$F$54,4,0)," ")</f>
        <v>20240255</v>
      </c>
      <c r="X403" s="158" t="s">
        <v>166</v>
      </c>
      <c r="Y403" s="159" t="str">
        <f>IFERROR(VLOOKUP(X403,TD!$J$51:$K$64,2,0)," ")</f>
        <v>Servicio de capacitaciones en gestión del riesgo de incendios  a la ciudadania.</v>
      </c>
      <c r="Z403" s="160" t="str">
        <f>CONCATENATE(X403,"-",Y403)</f>
        <v>05-Servicio de capacitaciones en gestión del riesgo de incendios  a la ciudadania.</v>
      </c>
      <c r="AA403" s="158" t="s">
        <v>223</v>
      </c>
      <c r="AB403" s="159" t="str">
        <f>IFERROR(VLOOKUP(AA403,TD!$N$51:$O$66,2,0)," ")</f>
        <v>Servicio prevención y control de incendios</v>
      </c>
      <c r="AC403" s="160" t="str">
        <f>CONCATENATE(AA403,"_",AB403)</f>
        <v>035_Servicio prevención y control de incendios</v>
      </c>
      <c r="AD403" s="160" t="str">
        <f>CONCATENATE(Z403," ",AC403)</f>
        <v>05-Servicio de capacitaciones en gestión del riesgo de incendios  a la ciudadania. 035_Servicio prevención y control de incendios</v>
      </c>
      <c r="AE403" s="159" t="str">
        <f>CONCATENATE(U403,V403,W403,X403,AA403)</f>
        <v>O23011745032024025505035</v>
      </c>
      <c r="AF403" s="159" t="str">
        <f>IFERROR(VLOOKUP(AD403,TD!$J$66:$K$89,2,0)," ")</f>
        <v>PM/0131/0105/45030350255</v>
      </c>
      <c r="AG403" s="118" t="s">
        <v>385</v>
      </c>
      <c r="AH403" s="158" t="s">
        <v>193</v>
      </c>
      <c r="AI403" s="161" t="str">
        <f>CONCATENATE(PAA[[#This Row],[Id Interno]],"-",PAA[[#This Row],[tipo de Contrato (TH talento humano - B/S bienes y/o servicios)]],"-",S403,"-",T403,"-",PAA[[#This Row],[Objeto de la contratación]])</f>
        <v>20260369-TH-8173-1-Prestar servicios profesionales en las actividades de Programas y Campañas de Prevención para la Subdirección de Gestión del Riesgo._SGR</v>
      </c>
    </row>
    <row r="404" spans="2:35" ht="42" x14ac:dyDescent="0.35">
      <c r="B404" s="23">
        <v>20260370</v>
      </c>
      <c r="C404" s="99" t="s">
        <v>558</v>
      </c>
      <c r="D404" s="23" t="s">
        <v>105</v>
      </c>
      <c r="E404" s="23" t="s">
        <v>363</v>
      </c>
      <c r="F404" s="155" t="s">
        <v>144</v>
      </c>
      <c r="G404" s="156" t="s">
        <v>373</v>
      </c>
      <c r="H404" s="157">
        <v>10</v>
      </c>
      <c r="I404" s="157">
        <v>0</v>
      </c>
      <c r="J404" s="127">
        <v>40000000</v>
      </c>
      <c r="K404" s="88" t="s">
        <v>398</v>
      </c>
      <c r="L404" s="155" t="s">
        <v>156</v>
      </c>
      <c r="M404" s="158" t="s">
        <v>513</v>
      </c>
      <c r="N404" s="23" t="s">
        <v>198</v>
      </c>
      <c r="O404" s="151" t="s">
        <v>958</v>
      </c>
      <c r="P404" s="156" t="s">
        <v>348</v>
      </c>
      <c r="Q404" s="53">
        <v>80111600</v>
      </c>
      <c r="R404" s="158" t="s">
        <v>210</v>
      </c>
      <c r="S404" s="158" t="str">
        <f>MID(PAA[[#This Row],[Meta Proyecto de Inversión]],1,4)</f>
        <v>8173</v>
      </c>
      <c r="T404" s="158" t="str">
        <f>MID(PAA[[#This Row],[Meta Proyecto de Inversión]],6,1)</f>
        <v>1</v>
      </c>
      <c r="U404" s="159" t="str">
        <f>IFERROR(VLOOKUP(N404,TD!$B$50:$F$54,2,0)," ")</f>
        <v>O230117</v>
      </c>
      <c r="V404" s="159" t="str">
        <f>IFERROR(VLOOKUP(N404,TD!$B$50:$F$54,3,0)," ")</f>
        <v>4503</v>
      </c>
      <c r="W404" s="159">
        <f>IFERROR(VLOOKUP(N404,TD!$B$50:$F$54,4,0)," ")</f>
        <v>20240255</v>
      </c>
      <c r="X404" s="158" t="s">
        <v>166</v>
      </c>
      <c r="Y404" s="159" t="str">
        <f>IFERROR(VLOOKUP(X404,TD!$J$51:$K$64,2,0)," ")</f>
        <v>Servicio de capacitaciones en gestión del riesgo de incendios  a la ciudadania.</v>
      </c>
      <c r="Z404" s="160" t="str">
        <f>CONCATENATE(X404,"-",Y404)</f>
        <v>05-Servicio de capacitaciones en gestión del riesgo de incendios  a la ciudadania.</v>
      </c>
      <c r="AA404" s="158" t="s">
        <v>223</v>
      </c>
      <c r="AB404" s="159" t="str">
        <f>IFERROR(VLOOKUP(AA404,TD!$N$51:$O$66,2,0)," ")</f>
        <v>Servicio prevención y control de incendios</v>
      </c>
      <c r="AC404" s="160" t="str">
        <f>CONCATENATE(AA404,"_",AB404)</f>
        <v>035_Servicio prevención y control de incendios</v>
      </c>
      <c r="AD404" s="160" t="str">
        <f>CONCATENATE(Z404," ",AC404)</f>
        <v>05-Servicio de capacitaciones en gestión del riesgo de incendios  a la ciudadania. 035_Servicio prevención y control de incendios</v>
      </c>
      <c r="AE404" s="159" t="str">
        <f>CONCATENATE(U404,V404,W404,X404,AA404)</f>
        <v>O23011745032024025505035</v>
      </c>
      <c r="AF404" s="159" t="str">
        <f>IFERROR(VLOOKUP(AD404,TD!$J$66:$K$89,2,0)," ")</f>
        <v>PM/0131/0105/45030350255</v>
      </c>
      <c r="AG404" s="118" t="s">
        <v>385</v>
      </c>
      <c r="AH404" s="158" t="s">
        <v>193</v>
      </c>
      <c r="AI404" s="161" t="str">
        <f>CONCATENATE(PAA[[#This Row],[Id Interno]],"-",PAA[[#This Row],[tipo de Contrato (TH talento humano - B/S bienes y/o servicios)]],"-",S404,"-",T404,"-",PAA[[#This Row],[Objeto de la contratación]])</f>
        <v>20260370-TH-8173-1-Prestar servicios de apoyo en las actividades de Programas y Campañas de Prevención para la Subdirección de Gestión del Riesgo. _SGR</v>
      </c>
    </row>
    <row r="405" spans="2:35" ht="70" x14ac:dyDescent="0.35">
      <c r="B405" s="23">
        <v>20260371</v>
      </c>
      <c r="C405" s="99" t="s">
        <v>558</v>
      </c>
      <c r="D405" s="23" t="s">
        <v>105</v>
      </c>
      <c r="E405" s="23" t="s">
        <v>363</v>
      </c>
      <c r="F405" s="155" t="s">
        <v>144</v>
      </c>
      <c r="G405" s="156" t="s">
        <v>373</v>
      </c>
      <c r="H405" s="157">
        <v>10</v>
      </c>
      <c r="I405" s="157">
        <v>0</v>
      </c>
      <c r="J405" s="127">
        <v>37500000</v>
      </c>
      <c r="K405" s="88" t="s">
        <v>398</v>
      </c>
      <c r="L405" s="155" t="s">
        <v>156</v>
      </c>
      <c r="M405" s="158" t="s">
        <v>513</v>
      </c>
      <c r="N405" s="23" t="s">
        <v>198</v>
      </c>
      <c r="O405" s="151" t="s">
        <v>958</v>
      </c>
      <c r="P405" s="155" t="s">
        <v>348</v>
      </c>
      <c r="Q405" s="53">
        <v>80111600</v>
      </c>
      <c r="R405" s="158" t="s">
        <v>210</v>
      </c>
      <c r="S405" s="158" t="str">
        <f>MID(PAA[[#This Row],[Meta Proyecto de Inversión]],1,4)</f>
        <v>8173</v>
      </c>
      <c r="T405" s="158" t="str">
        <f>MID(PAA[[#This Row],[Meta Proyecto de Inversión]],6,1)</f>
        <v>1</v>
      </c>
      <c r="U405" s="159" t="str">
        <f>IFERROR(VLOOKUP(N405,TD!$B$50:$F$54,2,0)," ")</f>
        <v>O230117</v>
      </c>
      <c r="V405" s="159" t="str">
        <f>IFERROR(VLOOKUP(N405,TD!$B$50:$F$54,3,0)," ")</f>
        <v>4503</v>
      </c>
      <c r="W405" s="159">
        <f>IFERROR(VLOOKUP(N405,TD!$B$50:$F$54,4,0)," ")</f>
        <v>20240255</v>
      </c>
      <c r="X405" s="158" t="s">
        <v>166</v>
      </c>
      <c r="Y405" s="159" t="str">
        <f>IFERROR(VLOOKUP(X405,TD!$J$51:$K$64,2,0)," ")</f>
        <v>Servicio de capacitaciones en gestión del riesgo de incendios  a la ciudadania.</v>
      </c>
      <c r="Z405" s="160" t="str">
        <f>CONCATENATE(X405,"-",Y405)</f>
        <v>05-Servicio de capacitaciones en gestión del riesgo de incendios  a la ciudadania.</v>
      </c>
      <c r="AA405" s="158" t="s">
        <v>223</v>
      </c>
      <c r="AB405" s="159" t="str">
        <f>IFERROR(VLOOKUP(AA405,TD!$N$51:$O$66,2,0)," ")</f>
        <v>Servicio prevención y control de incendios</v>
      </c>
      <c r="AC405" s="160" t="str">
        <f>CONCATENATE(AA405,"_",AB405)</f>
        <v>035_Servicio prevención y control de incendios</v>
      </c>
      <c r="AD405" s="160" t="str">
        <f>CONCATENATE(Z405," ",AC405)</f>
        <v>05-Servicio de capacitaciones en gestión del riesgo de incendios  a la ciudadania. 035_Servicio prevención y control de incendios</v>
      </c>
      <c r="AE405" s="159" t="str">
        <f>CONCATENATE(U405,V405,W405,X405,AA405)</f>
        <v>O23011745032024025505035</v>
      </c>
      <c r="AF405" s="159" t="str">
        <f>IFERROR(VLOOKUP(AD405,TD!$J$66:$K$89,2,0)," ")</f>
        <v>PM/0131/0105/45030350255</v>
      </c>
      <c r="AG405" s="118" t="s">
        <v>385</v>
      </c>
      <c r="AH405" s="158" t="s">
        <v>193</v>
      </c>
      <c r="AI405" s="161" t="str">
        <f>CONCATENATE(PAA[[#This Row],[Id Interno]],"-",PAA[[#This Row],[tipo de Contrato (TH talento humano - B/S bienes y/o servicios)]],"-",S405,"-",T405,"-",PAA[[#This Row],[Objeto de la contratación]])</f>
        <v>20260371-TH-8173-1-Prestar servicios de apoyo en las actividades de Programas y Campañas de Prevención para la Subdirección de Gestión del Riesgo. _SGR</v>
      </c>
    </row>
    <row r="406" spans="2:35" ht="42" x14ac:dyDescent="0.35">
      <c r="B406" s="23">
        <v>20260372</v>
      </c>
      <c r="C406" s="99" t="s">
        <v>559</v>
      </c>
      <c r="D406" s="23" t="s">
        <v>105</v>
      </c>
      <c r="E406" s="23" t="s">
        <v>363</v>
      </c>
      <c r="F406" s="155" t="s">
        <v>144</v>
      </c>
      <c r="G406" s="156" t="s">
        <v>373</v>
      </c>
      <c r="H406" s="157">
        <v>10</v>
      </c>
      <c r="I406" s="157">
        <v>0</v>
      </c>
      <c r="J406" s="127">
        <v>38000000</v>
      </c>
      <c r="K406" s="88" t="s">
        <v>398</v>
      </c>
      <c r="L406" s="155" t="s">
        <v>156</v>
      </c>
      <c r="M406" s="158" t="s">
        <v>513</v>
      </c>
      <c r="N406" s="23" t="s">
        <v>198</v>
      </c>
      <c r="O406" s="151" t="s">
        <v>958</v>
      </c>
      <c r="P406" s="155" t="s">
        <v>348</v>
      </c>
      <c r="Q406" s="53">
        <v>80111600</v>
      </c>
      <c r="R406" s="158" t="s">
        <v>210</v>
      </c>
      <c r="S406" s="158" t="str">
        <f>MID(PAA[[#This Row],[Meta Proyecto de Inversión]],1,4)</f>
        <v>8173</v>
      </c>
      <c r="T406" s="158" t="str">
        <f>MID(PAA[[#This Row],[Meta Proyecto de Inversión]],6,1)</f>
        <v>1</v>
      </c>
      <c r="U406" s="159" t="str">
        <f>IFERROR(VLOOKUP(N406,TD!$B$50:$F$54,2,0)," ")</f>
        <v>O230117</v>
      </c>
      <c r="V406" s="159" t="str">
        <f>IFERROR(VLOOKUP(N406,TD!$B$50:$F$54,3,0)," ")</f>
        <v>4503</v>
      </c>
      <c r="W406" s="159">
        <f>IFERROR(VLOOKUP(N406,TD!$B$50:$F$54,4,0)," ")</f>
        <v>20240255</v>
      </c>
      <c r="X406" s="158" t="s">
        <v>166</v>
      </c>
      <c r="Y406" s="159" t="str">
        <f>IFERROR(VLOOKUP(X406,TD!$J$51:$K$64,2,0)," ")</f>
        <v>Servicio de capacitaciones en gestión del riesgo de incendios  a la ciudadania.</v>
      </c>
      <c r="Z406" s="160" t="str">
        <f>CONCATENATE(X406,"-",Y406)</f>
        <v>05-Servicio de capacitaciones en gestión del riesgo de incendios  a la ciudadania.</v>
      </c>
      <c r="AA406" s="158" t="s">
        <v>223</v>
      </c>
      <c r="AB406" s="159" t="str">
        <f>IFERROR(VLOOKUP(AA406,TD!$N$51:$O$66,2,0)," ")</f>
        <v>Servicio prevención y control de incendios</v>
      </c>
      <c r="AC406" s="160" t="str">
        <f>CONCATENATE(AA406,"_",AB406)</f>
        <v>035_Servicio prevención y control de incendios</v>
      </c>
      <c r="AD406" s="160" t="str">
        <f>CONCATENATE(Z406," ",AC406)</f>
        <v>05-Servicio de capacitaciones en gestión del riesgo de incendios  a la ciudadania. 035_Servicio prevención y control de incendios</v>
      </c>
      <c r="AE406" s="159" t="str">
        <f>CONCATENATE(U406,V406,W406,X406,AA406)</f>
        <v>O23011745032024025505035</v>
      </c>
      <c r="AF406" s="159" t="str">
        <f>IFERROR(VLOOKUP(AD406,TD!$J$66:$K$89,2,0)," ")</f>
        <v>PM/0131/0105/45030350255</v>
      </c>
      <c r="AG406" s="118" t="s">
        <v>385</v>
      </c>
      <c r="AH406" s="158" t="s">
        <v>193</v>
      </c>
      <c r="AI406" s="161" t="str">
        <f>CONCATENATE(PAA[[#This Row],[Id Interno]],"-",PAA[[#This Row],[tipo de Contrato (TH talento humano - B/S bienes y/o servicios)]],"-",S406,"-",T406,"-",PAA[[#This Row],[Objeto de la contratación]])</f>
        <v>20260372-TH-8173-1-Prestar servicios apoyo técnico para el desarrollo de los contenidos graficos, piezas comunicativa y de imagen institucional para la Subdirección de Gestión del riesgo._SGR</v>
      </c>
    </row>
    <row r="407" spans="2:35" ht="56" x14ac:dyDescent="0.35">
      <c r="B407" s="23">
        <v>20260373</v>
      </c>
      <c r="C407" s="99" t="s">
        <v>560</v>
      </c>
      <c r="D407" s="23" t="s">
        <v>105</v>
      </c>
      <c r="E407" s="23" t="s">
        <v>363</v>
      </c>
      <c r="F407" s="155" t="s">
        <v>144</v>
      </c>
      <c r="G407" s="156" t="s">
        <v>373</v>
      </c>
      <c r="H407" s="157">
        <v>8</v>
      </c>
      <c r="I407" s="157">
        <v>0</v>
      </c>
      <c r="J407" s="127">
        <v>64000000</v>
      </c>
      <c r="K407" s="88" t="s">
        <v>398</v>
      </c>
      <c r="L407" s="155" t="s">
        <v>156</v>
      </c>
      <c r="M407" s="158" t="s">
        <v>513</v>
      </c>
      <c r="N407" s="23" t="s">
        <v>198</v>
      </c>
      <c r="O407" s="151" t="s">
        <v>958</v>
      </c>
      <c r="P407" s="155" t="s">
        <v>348</v>
      </c>
      <c r="Q407" s="100">
        <v>80111600</v>
      </c>
      <c r="R407" s="158" t="s">
        <v>210</v>
      </c>
      <c r="S407" s="158" t="str">
        <f>MID(PAA[[#This Row],[Meta Proyecto de Inversión]],1,4)</f>
        <v>8173</v>
      </c>
      <c r="T407" s="158" t="str">
        <f>MID(PAA[[#This Row],[Meta Proyecto de Inversión]],6,1)</f>
        <v>1</v>
      </c>
      <c r="U407" s="159" t="str">
        <f>IFERROR(VLOOKUP(N407,TD!$B$50:$F$54,2,0)," ")</f>
        <v>O230117</v>
      </c>
      <c r="V407" s="159" t="str">
        <f>IFERROR(VLOOKUP(N407,TD!$B$50:$F$54,3,0)," ")</f>
        <v>4503</v>
      </c>
      <c r="W407" s="159">
        <f>IFERROR(VLOOKUP(N407,TD!$B$50:$F$54,4,0)," ")</f>
        <v>20240255</v>
      </c>
      <c r="X407" s="158" t="s">
        <v>166</v>
      </c>
      <c r="Y407" s="159" t="str">
        <f>IFERROR(VLOOKUP(X407,TD!$J$51:$K$64,2,0)," ")</f>
        <v>Servicio de capacitaciones en gestión del riesgo de incendios  a la ciudadania.</v>
      </c>
      <c r="Z407" s="160" t="str">
        <f>CONCATENATE(X407,"-",Y407)</f>
        <v>05-Servicio de capacitaciones en gestión del riesgo de incendios  a la ciudadania.</v>
      </c>
      <c r="AA407" s="158" t="s">
        <v>223</v>
      </c>
      <c r="AB407" s="159" t="str">
        <f>IFERROR(VLOOKUP(AA407,TD!$N$51:$O$66,2,0)," ")</f>
        <v>Servicio prevención y control de incendios</v>
      </c>
      <c r="AC407" s="160" t="str">
        <f>CONCATENATE(AA407,"_",AB407)</f>
        <v>035_Servicio prevención y control de incendios</v>
      </c>
      <c r="AD407" s="160" t="str">
        <f>CONCATENATE(Z407," ",AC407)</f>
        <v>05-Servicio de capacitaciones en gestión del riesgo de incendios  a la ciudadania. 035_Servicio prevención y control de incendios</v>
      </c>
      <c r="AE407" s="159" t="str">
        <f>CONCATENATE(U407,V407,W407,X407,AA407)</f>
        <v>O23011745032024025505035</v>
      </c>
      <c r="AF407" s="159" t="str">
        <f>IFERROR(VLOOKUP(AD407,TD!$J$66:$K$89,2,0)," ")</f>
        <v>PM/0131/0105/45030350255</v>
      </c>
      <c r="AG407" s="118" t="s">
        <v>385</v>
      </c>
      <c r="AH407" s="158" t="s">
        <v>193</v>
      </c>
      <c r="AI407" s="161" t="str">
        <f>CONCATENATE(PAA[[#This Row],[Id Interno]],"-",PAA[[#This Row],[tipo de Contrato (TH talento humano - B/S bienes y/o servicios)]],"-",S407,"-",T407,"-",PAA[[#This Row],[Objeto de la contratación]])</f>
        <v>20260373-TH-8173-1-Prestar servicios profesionales  liderando los procesos de formacion y capacitacion de la subdirección de gestión del riesgo._SGR</v>
      </c>
    </row>
    <row r="408" spans="2:35" ht="56" x14ac:dyDescent="0.35">
      <c r="B408" s="23">
        <v>20260374</v>
      </c>
      <c r="C408" s="99" t="s">
        <v>561</v>
      </c>
      <c r="D408" s="23" t="s">
        <v>105</v>
      </c>
      <c r="E408" s="23" t="s">
        <v>363</v>
      </c>
      <c r="F408" s="155" t="s">
        <v>144</v>
      </c>
      <c r="G408" s="156" t="s">
        <v>373</v>
      </c>
      <c r="H408" s="157">
        <v>10</v>
      </c>
      <c r="I408" s="157">
        <v>0</v>
      </c>
      <c r="J408" s="127">
        <v>70000000</v>
      </c>
      <c r="K408" s="88" t="s">
        <v>398</v>
      </c>
      <c r="L408" s="155" t="s">
        <v>156</v>
      </c>
      <c r="M408" s="158" t="s">
        <v>513</v>
      </c>
      <c r="N408" s="23" t="s">
        <v>198</v>
      </c>
      <c r="O408" s="151" t="s">
        <v>958</v>
      </c>
      <c r="P408" s="155" t="s">
        <v>348</v>
      </c>
      <c r="Q408" s="100">
        <v>80111600</v>
      </c>
      <c r="R408" s="158" t="s">
        <v>210</v>
      </c>
      <c r="S408" s="158" t="str">
        <f>MID(PAA[[#This Row],[Meta Proyecto de Inversión]],1,4)</f>
        <v>8173</v>
      </c>
      <c r="T408" s="158" t="str">
        <f>MID(PAA[[#This Row],[Meta Proyecto de Inversión]],6,1)</f>
        <v>1</v>
      </c>
      <c r="U408" s="159" t="str">
        <f>IFERROR(VLOOKUP(N408,TD!$B$50:$F$54,2,0)," ")</f>
        <v>O230117</v>
      </c>
      <c r="V408" s="159" t="str">
        <f>IFERROR(VLOOKUP(N408,TD!$B$50:$F$54,3,0)," ")</f>
        <v>4503</v>
      </c>
      <c r="W408" s="159">
        <f>IFERROR(VLOOKUP(N408,TD!$B$50:$F$54,4,0)," ")</f>
        <v>20240255</v>
      </c>
      <c r="X408" s="158" t="s">
        <v>166</v>
      </c>
      <c r="Y408" s="159" t="str">
        <f>IFERROR(VLOOKUP(X408,TD!$J$51:$K$64,2,0)," ")</f>
        <v>Servicio de capacitaciones en gestión del riesgo de incendios  a la ciudadania.</v>
      </c>
      <c r="Z408" s="160" t="str">
        <f>CONCATENATE(X408,"-",Y408)</f>
        <v>05-Servicio de capacitaciones en gestión del riesgo de incendios  a la ciudadania.</v>
      </c>
      <c r="AA408" s="158" t="s">
        <v>223</v>
      </c>
      <c r="AB408" s="159" t="str">
        <f>IFERROR(VLOOKUP(AA408,TD!$N$51:$O$66,2,0)," ")</f>
        <v>Servicio prevención y control de incendios</v>
      </c>
      <c r="AC408" s="160" t="str">
        <f>CONCATENATE(AA408,"_",AB408)</f>
        <v>035_Servicio prevención y control de incendios</v>
      </c>
      <c r="AD408" s="160" t="str">
        <f>CONCATENATE(Z408," ",AC408)</f>
        <v>05-Servicio de capacitaciones en gestión del riesgo de incendios  a la ciudadania. 035_Servicio prevención y control de incendios</v>
      </c>
      <c r="AE408" s="159" t="str">
        <f>CONCATENATE(U408,V408,W408,X408,AA408)</f>
        <v>O23011745032024025505035</v>
      </c>
      <c r="AF408" s="159" t="str">
        <f>IFERROR(VLOOKUP(AD408,TD!$J$66:$K$89,2,0)," ")</f>
        <v>PM/0131/0105/45030350255</v>
      </c>
      <c r="AG408" s="118" t="s">
        <v>385</v>
      </c>
      <c r="AH408" s="158" t="s">
        <v>193</v>
      </c>
      <c r="AI408" s="161" t="str">
        <f>CONCATENATE(PAA[[#This Row],[Id Interno]],"-",PAA[[#This Row],[tipo de Contrato (TH talento humano - B/S bienes y/o servicios)]],"-",S408,"-",T408,"-",PAA[[#This Row],[Objeto de la contratación]])</f>
        <v>20260374-TH-8173-1-Prestar servicios profesionales en los procesos de formacion y capacitacion de la subdirección de gestión del riesgo._SGR</v>
      </c>
    </row>
    <row r="409" spans="2:35" ht="56" x14ac:dyDescent="0.35">
      <c r="B409" s="23">
        <v>20260375</v>
      </c>
      <c r="C409" s="99" t="s">
        <v>562</v>
      </c>
      <c r="D409" s="23" t="s">
        <v>105</v>
      </c>
      <c r="E409" s="23" t="s">
        <v>363</v>
      </c>
      <c r="F409" s="155" t="s">
        <v>144</v>
      </c>
      <c r="G409" s="156" t="s">
        <v>373</v>
      </c>
      <c r="H409" s="157">
        <v>10</v>
      </c>
      <c r="I409" s="157">
        <v>0</v>
      </c>
      <c r="J409" s="127">
        <v>70000000</v>
      </c>
      <c r="K409" s="88" t="s">
        <v>398</v>
      </c>
      <c r="L409" s="155" t="s">
        <v>156</v>
      </c>
      <c r="M409" s="158" t="s">
        <v>513</v>
      </c>
      <c r="N409" s="23" t="s">
        <v>198</v>
      </c>
      <c r="O409" s="151" t="s">
        <v>958</v>
      </c>
      <c r="P409" s="155" t="s">
        <v>348</v>
      </c>
      <c r="Q409" s="100">
        <v>80111600</v>
      </c>
      <c r="R409" s="158" t="s">
        <v>214</v>
      </c>
      <c r="S409" s="158" t="str">
        <f>MID(PAA[[#This Row],[Meta Proyecto de Inversión]],1,4)</f>
        <v>8173</v>
      </c>
      <c r="T409" s="158" t="str">
        <f>MID(PAA[[#This Row],[Meta Proyecto de Inversión]],6,1)</f>
        <v>5</v>
      </c>
      <c r="U409" s="159" t="str">
        <f>IFERROR(VLOOKUP(N409,TD!$B$50:$F$54,2,0)," ")</f>
        <v>O230117</v>
      </c>
      <c r="V409" s="159" t="str">
        <f>IFERROR(VLOOKUP(N409,TD!$B$50:$F$54,3,0)," ")</f>
        <v>4503</v>
      </c>
      <c r="W409" s="159">
        <f>IFERROR(VLOOKUP(N409,TD!$B$50:$F$54,4,0)," ")</f>
        <v>20240255</v>
      </c>
      <c r="X409" s="158">
        <v>16</v>
      </c>
      <c r="Y409" s="159" t="str">
        <f>IFERROR(VLOOKUP(X409,TD!$J$51:$K$64,2,0)," ")</f>
        <v>Servicio de monitoreo y seguimiento para la gestión del riesgo</v>
      </c>
      <c r="Z409" s="160" t="str">
        <f>CONCATENATE(X409,"-",Y409)</f>
        <v>16-Servicio de monitoreo y seguimiento para la gestión del riesgo</v>
      </c>
      <c r="AA409" s="158" t="s">
        <v>224</v>
      </c>
      <c r="AB409" s="159" t="str">
        <f>IFERROR(VLOOKUP(AA409,TD!$N$51:$O$66,2,0)," ")</f>
        <v>Servicio de monitoreo y seguimiento para la gestión del riesgo</v>
      </c>
      <c r="AC409" s="160" t="str">
        <f>CONCATENATE(AA409,"_",AB409)</f>
        <v>018_Servicio de monitoreo y seguimiento para la gestión del riesgo</v>
      </c>
      <c r="AD409" s="160" t="str">
        <f>CONCATENATE(Z409," ",AC409)</f>
        <v>16-Servicio de monitoreo y seguimiento para la gestión del riesgo 018_Servicio de monitoreo y seguimiento para la gestión del riesgo</v>
      </c>
      <c r="AE409" s="159" t="str">
        <f>CONCATENATE(U409,V409,W409,X409,AA409)</f>
        <v>O23011745032024025516018</v>
      </c>
      <c r="AF409" s="159" t="str">
        <f>IFERROR(VLOOKUP(AD409,TD!$J$66:$K$89,2,0)," ")</f>
        <v>PM/0131/0116/45030180255</v>
      </c>
      <c r="AG409" s="118" t="s">
        <v>385</v>
      </c>
      <c r="AH409" s="158" t="s">
        <v>193</v>
      </c>
      <c r="AI409" s="161" t="str">
        <f>CONCATENATE(PAA[[#This Row],[Id Interno]],"-",PAA[[#This Row],[tipo de Contrato (TH talento humano - B/S bienes y/o servicios)]],"-",S409,"-",T409,"-",PAA[[#This Row],[Objeto de la contratación]])</f>
        <v>20260375-TH-8173-5-Prestar servicios profesionales liderando las actividades de identificacion y caracterizacion  de escenarios  de riesgos a cargo de la Subdirección de Gestión del Riesgo._SGR</v>
      </c>
    </row>
    <row r="410" spans="2:35" ht="56" x14ac:dyDescent="0.35">
      <c r="B410" s="23">
        <v>20260376</v>
      </c>
      <c r="C410" s="99" t="s">
        <v>563</v>
      </c>
      <c r="D410" s="23" t="s">
        <v>105</v>
      </c>
      <c r="E410" s="23" t="s">
        <v>363</v>
      </c>
      <c r="F410" s="155" t="s">
        <v>144</v>
      </c>
      <c r="G410" s="156" t="s">
        <v>373</v>
      </c>
      <c r="H410" s="157">
        <v>10</v>
      </c>
      <c r="I410" s="157">
        <v>0</v>
      </c>
      <c r="J410" s="127">
        <v>55000000</v>
      </c>
      <c r="K410" s="88" t="s">
        <v>398</v>
      </c>
      <c r="L410" s="155" t="s">
        <v>156</v>
      </c>
      <c r="M410" s="158" t="s">
        <v>513</v>
      </c>
      <c r="N410" s="23" t="s">
        <v>198</v>
      </c>
      <c r="O410" s="151" t="s">
        <v>958</v>
      </c>
      <c r="P410" s="155" t="s">
        <v>348</v>
      </c>
      <c r="Q410" s="100">
        <v>80111600</v>
      </c>
      <c r="R410" s="158" t="s">
        <v>214</v>
      </c>
      <c r="S410" s="158" t="str">
        <f>MID(PAA[[#This Row],[Meta Proyecto de Inversión]],1,4)</f>
        <v>8173</v>
      </c>
      <c r="T410" s="158" t="str">
        <f>MID(PAA[[#This Row],[Meta Proyecto de Inversión]],6,1)</f>
        <v>5</v>
      </c>
      <c r="U410" s="159" t="str">
        <f>IFERROR(VLOOKUP(N410,TD!$B$50:$F$54,2,0)," ")</f>
        <v>O230117</v>
      </c>
      <c r="V410" s="159" t="str">
        <f>IFERROR(VLOOKUP(N410,TD!$B$50:$F$54,3,0)," ")</f>
        <v>4503</v>
      </c>
      <c r="W410" s="159">
        <f>IFERROR(VLOOKUP(N410,TD!$B$50:$F$54,4,0)," ")</f>
        <v>20240255</v>
      </c>
      <c r="X410" s="158">
        <v>16</v>
      </c>
      <c r="Y410" s="159" t="str">
        <f>IFERROR(VLOOKUP(X410,TD!$J$51:$K$64,2,0)," ")</f>
        <v>Servicio de monitoreo y seguimiento para la gestión del riesgo</v>
      </c>
      <c r="Z410" s="160" t="str">
        <f>CONCATENATE(X410,"-",Y410)</f>
        <v>16-Servicio de monitoreo y seguimiento para la gestión del riesgo</v>
      </c>
      <c r="AA410" s="158" t="s">
        <v>224</v>
      </c>
      <c r="AB410" s="159" t="str">
        <f>IFERROR(VLOOKUP(AA410,TD!$N$51:$O$66,2,0)," ")</f>
        <v>Servicio de monitoreo y seguimiento para la gestión del riesgo</v>
      </c>
      <c r="AC410" s="160" t="str">
        <f>CONCATENATE(AA410,"_",AB410)</f>
        <v>018_Servicio de monitoreo y seguimiento para la gestión del riesgo</v>
      </c>
      <c r="AD410" s="160" t="str">
        <f>CONCATENATE(Z410," ",AC410)</f>
        <v>16-Servicio de monitoreo y seguimiento para la gestión del riesgo 018_Servicio de monitoreo y seguimiento para la gestión del riesgo</v>
      </c>
      <c r="AE410" s="159" t="str">
        <f>CONCATENATE(U410,V410,W410,X410,AA410)</f>
        <v>O23011745032024025516018</v>
      </c>
      <c r="AF410" s="159" t="str">
        <f>IFERROR(VLOOKUP(AD410,TD!$J$66:$K$89,2,0)," ")</f>
        <v>PM/0131/0116/45030180255</v>
      </c>
      <c r="AG410" s="118" t="s">
        <v>385</v>
      </c>
      <c r="AH410" s="158" t="s">
        <v>193</v>
      </c>
      <c r="AI410" s="161" t="str">
        <f>CONCATENATE(PAA[[#This Row],[Id Interno]],"-",PAA[[#This Row],[tipo de Contrato (TH talento humano - B/S bienes y/o servicios)]],"-",S410,"-",T410,"-",PAA[[#This Row],[Objeto de la contratación]])</f>
        <v>20260376-TH-8173-5-Prestar servicios profesionales en las actividades de identificacion y caracterizacion  de escenarios  de riesgos a cargo de la Subdirección de Gestión del Riesgo._SGR</v>
      </c>
    </row>
    <row r="411" spans="2:35" ht="56" x14ac:dyDescent="0.35">
      <c r="B411" s="23">
        <v>20260377</v>
      </c>
      <c r="C411" s="99" t="s">
        <v>563</v>
      </c>
      <c r="D411" s="23" t="s">
        <v>105</v>
      </c>
      <c r="E411" s="23" t="s">
        <v>363</v>
      </c>
      <c r="F411" s="155" t="s">
        <v>144</v>
      </c>
      <c r="G411" s="156" t="s">
        <v>373</v>
      </c>
      <c r="H411" s="157">
        <v>10</v>
      </c>
      <c r="I411" s="157">
        <v>0</v>
      </c>
      <c r="J411" s="127">
        <v>55000000</v>
      </c>
      <c r="K411" s="88" t="s">
        <v>398</v>
      </c>
      <c r="L411" s="155" t="s">
        <v>156</v>
      </c>
      <c r="M411" s="158" t="s">
        <v>513</v>
      </c>
      <c r="N411" s="23" t="s">
        <v>198</v>
      </c>
      <c r="O411" s="151" t="s">
        <v>958</v>
      </c>
      <c r="P411" s="155" t="s">
        <v>348</v>
      </c>
      <c r="Q411" s="100">
        <v>80111600</v>
      </c>
      <c r="R411" s="158" t="s">
        <v>214</v>
      </c>
      <c r="S411" s="158" t="str">
        <f>MID(PAA[[#This Row],[Meta Proyecto de Inversión]],1,4)</f>
        <v>8173</v>
      </c>
      <c r="T411" s="158" t="str">
        <f>MID(PAA[[#This Row],[Meta Proyecto de Inversión]],6,1)</f>
        <v>5</v>
      </c>
      <c r="U411" s="159" t="str">
        <f>IFERROR(VLOOKUP(N411,TD!$B$50:$F$54,2,0)," ")</f>
        <v>O230117</v>
      </c>
      <c r="V411" s="159" t="str">
        <f>IFERROR(VLOOKUP(N411,TD!$B$50:$F$54,3,0)," ")</f>
        <v>4503</v>
      </c>
      <c r="W411" s="159">
        <f>IFERROR(VLOOKUP(N411,TD!$B$50:$F$54,4,0)," ")</f>
        <v>20240255</v>
      </c>
      <c r="X411" s="158">
        <v>16</v>
      </c>
      <c r="Y411" s="159" t="str">
        <f>IFERROR(VLOOKUP(X411,TD!$J$51:$K$64,2,0)," ")</f>
        <v>Servicio de monitoreo y seguimiento para la gestión del riesgo</v>
      </c>
      <c r="Z411" s="160" t="str">
        <f>CONCATENATE(X411,"-",Y411)</f>
        <v>16-Servicio de monitoreo y seguimiento para la gestión del riesgo</v>
      </c>
      <c r="AA411" s="158" t="s">
        <v>224</v>
      </c>
      <c r="AB411" s="159" t="str">
        <f>IFERROR(VLOOKUP(AA411,TD!$N$51:$O$66,2,0)," ")</f>
        <v>Servicio de monitoreo y seguimiento para la gestión del riesgo</v>
      </c>
      <c r="AC411" s="160" t="str">
        <f>CONCATENATE(AA411,"_",AB411)</f>
        <v>018_Servicio de monitoreo y seguimiento para la gestión del riesgo</v>
      </c>
      <c r="AD411" s="160" t="str">
        <f>CONCATENATE(Z411," ",AC411)</f>
        <v>16-Servicio de monitoreo y seguimiento para la gestión del riesgo 018_Servicio de monitoreo y seguimiento para la gestión del riesgo</v>
      </c>
      <c r="AE411" s="159" t="str">
        <f>CONCATENATE(U411,V411,W411,X411,AA411)</f>
        <v>O23011745032024025516018</v>
      </c>
      <c r="AF411" s="159" t="str">
        <f>IFERROR(VLOOKUP(AD411,TD!$J$66:$K$89,2,0)," ")</f>
        <v>PM/0131/0116/45030180255</v>
      </c>
      <c r="AG411" s="118" t="s">
        <v>385</v>
      </c>
      <c r="AH411" s="158" t="s">
        <v>193</v>
      </c>
      <c r="AI411" s="161" t="str">
        <f>CONCATENATE(PAA[[#This Row],[Id Interno]],"-",PAA[[#This Row],[tipo de Contrato (TH talento humano - B/S bienes y/o servicios)]],"-",S411,"-",T411,"-",PAA[[#This Row],[Objeto de la contratación]])</f>
        <v>20260377-TH-8173-5-Prestar servicios profesionales en las actividades de identificacion y caracterizacion  de escenarios  de riesgos a cargo de la Subdirección de Gestión del Riesgo._SGR</v>
      </c>
    </row>
    <row r="412" spans="2:35" ht="56" x14ac:dyDescent="0.35">
      <c r="B412" s="23">
        <v>20260378</v>
      </c>
      <c r="C412" s="99" t="s">
        <v>563</v>
      </c>
      <c r="D412" s="23" t="s">
        <v>105</v>
      </c>
      <c r="E412" s="23" t="s">
        <v>363</v>
      </c>
      <c r="F412" s="155" t="s">
        <v>144</v>
      </c>
      <c r="G412" s="156" t="s">
        <v>373</v>
      </c>
      <c r="H412" s="157">
        <v>10</v>
      </c>
      <c r="I412" s="157">
        <v>0</v>
      </c>
      <c r="J412" s="127">
        <v>55000000</v>
      </c>
      <c r="K412" s="88" t="s">
        <v>398</v>
      </c>
      <c r="L412" s="155" t="s">
        <v>156</v>
      </c>
      <c r="M412" s="158" t="s">
        <v>513</v>
      </c>
      <c r="N412" s="23" t="s">
        <v>198</v>
      </c>
      <c r="O412" s="151" t="s">
        <v>958</v>
      </c>
      <c r="P412" s="155" t="s">
        <v>348</v>
      </c>
      <c r="Q412" s="100">
        <v>80111600</v>
      </c>
      <c r="R412" s="158" t="s">
        <v>214</v>
      </c>
      <c r="S412" s="158" t="str">
        <f>MID(PAA[[#This Row],[Meta Proyecto de Inversión]],1,4)</f>
        <v>8173</v>
      </c>
      <c r="T412" s="158" t="str">
        <f>MID(PAA[[#This Row],[Meta Proyecto de Inversión]],6,1)</f>
        <v>5</v>
      </c>
      <c r="U412" s="159" t="str">
        <f>IFERROR(VLOOKUP(N412,TD!$B$50:$F$54,2,0)," ")</f>
        <v>O230117</v>
      </c>
      <c r="V412" s="159" t="str">
        <f>IFERROR(VLOOKUP(N412,TD!$B$50:$F$54,3,0)," ")</f>
        <v>4503</v>
      </c>
      <c r="W412" s="159">
        <f>IFERROR(VLOOKUP(N412,TD!$B$50:$F$54,4,0)," ")</f>
        <v>20240255</v>
      </c>
      <c r="X412" s="158">
        <v>16</v>
      </c>
      <c r="Y412" s="159" t="str">
        <f>IFERROR(VLOOKUP(X412,TD!$J$51:$K$64,2,0)," ")</f>
        <v>Servicio de monitoreo y seguimiento para la gestión del riesgo</v>
      </c>
      <c r="Z412" s="160" t="str">
        <f>CONCATENATE(X412,"-",Y412)</f>
        <v>16-Servicio de monitoreo y seguimiento para la gestión del riesgo</v>
      </c>
      <c r="AA412" s="158" t="s">
        <v>224</v>
      </c>
      <c r="AB412" s="159" t="str">
        <f>IFERROR(VLOOKUP(AA412,TD!$N$51:$O$66,2,0)," ")</f>
        <v>Servicio de monitoreo y seguimiento para la gestión del riesgo</v>
      </c>
      <c r="AC412" s="160" t="str">
        <f>CONCATENATE(AA412,"_",AB412)</f>
        <v>018_Servicio de monitoreo y seguimiento para la gestión del riesgo</v>
      </c>
      <c r="AD412" s="160" t="str">
        <f>CONCATENATE(Z412," ",AC412)</f>
        <v>16-Servicio de monitoreo y seguimiento para la gestión del riesgo 018_Servicio de monitoreo y seguimiento para la gestión del riesgo</v>
      </c>
      <c r="AE412" s="159" t="str">
        <f>CONCATENATE(U412,V412,W412,X412,AA412)</f>
        <v>O23011745032024025516018</v>
      </c>
      <c r="AF412" s="159" t="str">
        <f>IFERROR(VLOOKUP(AD412,TD!$J$66:$K$89,2,0)," ")</f>
        <v>PM/0131/0116/45030180255</v>
      </c>
      <c r="AG412" s="118" t="s">
        <v>385</v>
      </c>
      <c r="AH412" s="158" t="s">
        <v>193</v>
      </c>
      <c r="AI412" s="161" t="str">
        <f>CONCATENATE(PAA[[#This Row],[Id Interno]],"-",PAA[[#This Row],[tipo de Contrato (TH talento humano - B/S bienes y/o servicios)]],"-",S412,"-",T412,"-",PAA[[#This Row],[Objeto de la contratación]])</f>
        <v>20260378-TH-8173-5-Prestar servicios profesionales en las actividades de identificacion y caracterizacion  de escenarios  de riesgos a cargo de la Subdirección de Gestión del Riesgo._SGR</v>
      </c>
    </row>
    <row r="413" spans="2:35" ht="56" x14ac:dyDescent="0.35">
      <c r="B413" s="23">
        <v>20260379</v>
      </c>
      <c r="C413" s="99" t="s">
        <v>564</v>
      </c>
      <c r="D413" s="23" t="s">
        <v>105</v>
      </c>
      <c r="E413" s="23" t="s">
        <v>363</v>
      </c>
      <c r="F413" s="155" t="s">
        <v>144</v>
      </c>
      <c r="G413" s="156" t="s">
        <v>373</v>
      </c>
      <c r="H413" s="157">
        <v>8</v>
      </c>
      <c r="I413" s="157">
        <v>0</v>
      </c>
      <c r="J413" s="127">
        <v>72800000</v>
      </c>
      <c r="K413" s="88" t="s">
        <v>398</v>
      </c>
      <c r="L413" s="155" t="s">
        <v>156</v>
      </c>
      <c r="M413" s="158" t="s">
        <v>513</v>
      </c>
      <c r="N413" s="23" t="s">
        <v>198</v>
      </c>
      <c r="O413" s="151" t="s">
        <v>958</v>
      </c>
      <c r="P413" s="155" t="s">
        <v>348</v>
      </c>
      <c r="Q413" s="100">
        <v>80111600</v>
      </c>
      <c r="R413" s="158" t="s">
        <v>215</v>
      </c>
      <c r="S413" s="158" t="str">
        <f>MID(PAA[[#This Row],[Meta Proyecto de Inversión]],1,4)</f>
        <v>8173</v>
      </c>
      <c r="T413" s="158" t="str">
        <f>MID(PAA[[#This Row],[Meta Proyecto de Inversión]],6,1)</f>
        <v>6</v>
      </c>
      <c r="U413" s="159" t="str">
        <f>IFERROR(VLOOKUP(N413,TD!$B$50:$F$54,2,0)," ")</f>
        <v>O230117</v>
      </c>
      <c r="V413" s="159" t="str">
        <f>IFERROR(VLOOKUP(N413,TD!$B$50:$F$54,3,0)," ")</f>
        <v>4503</v>
      </c>
      <c r="W413" s="159">
        <f>IFERROR(VLOOKUP(N413,TD!$B$50:$F$54,4,0)," ")</f>
        <v>20240255</v>
      </c>
      <c r="X413" s="158">
        <v>16</v>
      </c>
      <c r="Y413" s="159" t="str">
        <f>IFERROR(VLOOKUP(X413,TD!$J$51:$K$64,2,0)," ")</f>
        <v>Servicio de monitoreo y seguimiento para la gestión del riesgo</v>
      </c>
      <c r="Z413" s="160" t="str">
        <f>CONCATENATE(X413,"-",Y413)</f>
        <v>16-Servicio de monitoreo y seguimiento para la gestión del riesgo</v>
      </c>
      <c r="AA413" s="158" t="s">
        <v>224</v>
      </c>
      <c r="AB413" s="159" t="str">
        <f>IFERROR(VLOOKUP(AA413,TD!$N$51:$O$66,2,0)," ")</f>
        <v>Servicio de monitoreo y seguimiento para la gestión del riesgo</v>
      </c>
      <c r="AC413" s="160" t="str">
        <f>CONCATENATE(AA413,"_",AB413)</f>
        <v>018_Servicio de monitoreo y seguimiento para la gestión del riesgo</v>
      </c>
      <c r="AD413" s="160" t="str">
        <f>CONCATENATE(Z413," ",AC413)</f>
        <v>16-Servicio de monitoreo y seguimiento para la gestión del riesgo 018_Servicio de monitoreo y seguimiento para la gestión del riesgo</v>
      </c>
      <c r="AE413" s="159" t="str">
        <f>CONCATENATE(U413,V413,W413,X413,AA413)</f>
        <v>O23011745032024025516018</v>
      </c>
      <c r="AF413" s="159" t="str">
        <f>IFERROR(VLOOKUP(AD413,TD!$J$66:$K$89,2,0)," ")</f>
        <v>PM/0131/0116/45030180255</v>
      </c>
      <c r="AG413" s="118" t="s">
        <v>385</v>
      </c>
      <c r="AH413" s="158" t="s">
        <v>193</v>
      </c>
      <c r="AI413" s="161" t="str">
        <f>CONCATENATE(PAA[[#This Row],[Id Interno]],"-",PAA[[#This Row],[tipo de Contrato (TH talento humano - B/S bienes y/o servicios)]],"-",S413,"-",T413,"-",PAA[[#This Row],[Objeto de la contratación]])</f>
        <v>20260379-TH-8173-6-prestar servicios profesionales liderando las actividades de monitoreo del riesgo de la subdirecion  de gestión del riesgo_SGR</v>
      </c>
    </row>
    <row r="414" spans="2:35" ht="56" x14ac:dyDescent="0.35">
      <c r="B414" s="23">
        <v>20260380</v>
      </c>
      <c r="C414" s="99" t="s">
        <v>565</v>
      </c>
      <c r="D414" s="23" t="s">
        <v>105</v>
      </c>
      <c r="E414" s="23" t="s">
        <v>363</v>
      </c>
      <c r="F414" s="155" t="s">
        <v>144</v>
      </c>
      <c r="G414" s="156" t="s">
        <v>373</v>
      </c>
      <c r="H414" s="157">
        <v>10</v>
      </c>
      <c r="I414" s="157">
        <v>0</v>
      </c>
      <c r="J414" s="127">
        <v>55000000</v>
      </c>
      <c r="K414" s="88" t="s">
        <v>398</v>
      </c>
      <c r="L414" s="155" t="s">
        <v>156</v>
      </c>
      <c r="M414" s="158" t="s">
        <v>513</v>
      </c>
      <c r="N414" s="23" t="s">
        <v>198</v>
      </c>
      <c r="O414" s="151" t="s">
        <v>958</v>
      </c>
      <c r="P414" s="155" t="s">
        <v>348</v>
      </c>
      <c r="Q414" s="100">
        <v>80111600</v>
      </c>
      <c r="R414" s="158" t="s">
        <v>215</v>
      </c>
      <c r="S414" s="158" t="str">
        <f>MID(PAA[[#This Row],[Meta Proyecto de Inversión]],1,4)</f>
        <v>8173</v>
      </c>
      <c r="T414" s="158" t="str">
        <f>MID(PAA[[#This Row],[Meta Proyecto de Inversión]],6,1)</f>
        <v>6</v>
      </c>
      <c r="U414" s="159" t="str">
        <f>IFERROR(VLOOKUP(N414,TD!$B$50:$F$54,2,0)," ")</f>
        <v>O230117</v>
      </c>
      <c r="V414" s="159" t="str">
        <f>IFERROR(VLOOKUP(N414,TD!$B$50:$F$54,3,0)," ")</f>
        <v>4503</v>
      </c>
      <c r="W414" s="159">
        <f>IFERROR(VLOOKUP(N414,TD!$B$50:$F$54,4,0)," ")</f>
        <v>20240255</v>
      </c>
      <c r="X414" s="158">
        <v>16</v>
      </c>
      <c r="Y414" s="159" t="str">
        <f>IFERROR(VLOOKUP(X414,TD!$J$51:$K$64,2,0)," ")</f>
        <v>Servicio de monitoreo y seguimiento para la gestión del riesgo</v>
      </c>
      <c r="Z414" s="160" t="str">
        <f>CONCATENATE(X414,"-",Y414)</f>
        <v>16-Servicio de monitoreo y seguimiento para la gestión del riesgo</v>
      </c>
      <c r="AA414" s="158" t="s">
        <v>224</v>
      </c>
      <c r="AB414" s="159" t="str">
        <f>IFERROR(VLOOKUP(AA414,TD!$N$51:$O$66,2,0)," ")</f>
        <v>Servicio de monitoreo y seguimiento para la gestión del riesgo</v>
      </c>
      <c r="AC414" s="160" t="str">
        <f>CONCATENATE(AA414,"_",AB414)</f>
        <v>018_Servicio de monitoreo y seguimiento para la gestión del riesgo</v>
      </c>
      <c r="AD414" s="160" t="str">
        <f>CONCATENATE(Z414," ",AC414)</f>
        <v>16-Servicio de monitoreo y seguimiento para la gestión del riesgo 018_Servicio de monitoreo y seguimiento para la gestión del riesgo</v>
      </c>
      <c r="AE414" s="159" t="str">
        <f>CONCATENATE(U414,V414,W414,X414,AA414)</f>
        <v>O23011745032024025516018</v>
      </c>
      <c r="AF414" s="159" t="str">
        <f>IFERROR(VLOOKUP(AD414,TD!$J$66:$K$89,2,0)," ")</f>
        <v>PM/0131/0116/45030180255</v>
      </c>
      <c r="AG414" s="118" t="s">
        <v>385</v>
      </c>
      <c r="AH414" s="158" t="s">
        <v>193</v>
      </c>
      <c r="AI414" s="161" t="str">
        <f>CONCATENATE(PAA[[#This Row],[Id Interno]],"-",PAA[[#This Row],[tipo de Contrato (TH talento humano - B/S bienes y/o servicios)]],"-",S414,"-",T414,"-",PAA[[#This Row],[Objeto de la contratación]])</f>
        <v>20260380-TH-8173-6-Prestar servicios profesionales en las actividades de monitoreo del riesgo para la Subdirección de Gestión del Riesgo._SGR</v>
      </c>
    </row>
    <row r="415" spans="2:35" ht="56" x14ac:dyDescent="0.35">
      <c r="B415" s="23">
        <v>20260381</v>
      </c>
      <c r="C415" s="99" t="s">
        <v>565</v>
      </c>
      <c r="D415" s="23" t="s">
        <v>105</v>
      </c>
      <c r="E415" s="23" t="s">
        <v>363</v>
      </c>
      <c r="F415" s="155" t="s">
        <v>144</v>
      </c>
      <c r="G415" s="156" t="s">
        <v>373</v>
      </c>
      <c r="H415" s="157">
        <v>10</v>
      </c>
      <c r="I415" s="157">
        <v>0</v>
      </c>
      <c r="J415" s="127">
        <v>60000000</v>
      </c>
      <c r="K415" s="88" t="s">
        <v>398</v>
      </c>
      <c r="L415" s="155" t="s">
        <v>156</v>
      </c>
      <c r="M415" s="158" t="s">
        <v>513</v>
      </c>
      <c r="N415" s="23" t="s">
        <v>198</v>
      </c>
      <c r="O415" s="151" t="s">
        <v>958</v>
      </c>
      <c r="P415" s="155" t="s">
        <v>348</v>
      </c>
      <c r="Q415" s="100">
        <v>80111600</v>
      </c>
      <c r="R415" s="158" t="s">
        <v>215</v>
      </c>
      <c r="S415" s="158" t="str">
        <f>MID(PAA[[#This Row],[Meta Proyecto de Inversión]],1,4)</f>
        <v>8173</v>
      </c>
      <c r="T415" s="158" t="str">
        <f>MID(PAA[[#This Row],[Meta Proyecto de Inversión]],6,1)</f>
        <v>6</v>
      </c>
      <c r="U415" s="159" t="str">
        <f>IFERROR(VLOOKUP(N415,TD!$B$50:$F$54,2,0)," ")</f>
        <v>O230117</v>
      </c>
      <c r="V415" s="159" t="str">
        <f>IFERROR(VLOOKUP(N415,TD!$B$50:$F$54,3,0)," ")</f>
        <v>4503</v>
      </c>
      <c r="W415" s="159">
        <f>IFERROR(VLOOKUP(N415,TD!$B$50:$F$54,4,0)," ")</f>
        <v>20240255</v>
      </c>
      <c r="X415" s="158">
        <v>16</v>
      </c>
      <c r="Y415" s="159" t="str">
        <f>IFERROR(VLOOKUP(X415,TD!$J$51:$K$64,2,0)," ")</f>
        <v>Servicio de monitoreo y seguimiento para la gestión del riesgo</v>
      </c>
      <c r="Z415" s="160" t="str">
        <f>CONCATENATE(X415,"-",Y415)</f>
        <v>16-Servicio de monitoreo y seguimiento para la gestión del riesgo</v>
      </c>
      <c r="AA415" s="158" t="s">
        <v>224</v>
      </c>
      <c r="AB415" s="159" t="str">
        <f>IFERROR(VLOOKUP(AA415,TD!$N$51:$O$66,2,0)," ")</f>
        <v>Servicio de monitoreo y seguimiento para la gestión del riesgo</v>
      </c>
      <c r="AC415" s="160" t="str">
        <f>CONCATENATE(AA415,"_",AB415)</f>
        <v>018_Servicio de monitoreo y seguimiento para la gestión del riesgo</v>
      </c>
      <c r="AD415" s="160" t="str">
        <f>CONCATENATE(Z415," ",AC415)</f>
        <v>16-Servicio de monitoreo y seguimiento para la gestión del riesgo 018_Servicio de monitoreo y seguimiento para la gestión del riesgo</v>
      </c>
      <c r="AE415" s="159" t="str">
        <f>CONCATENATE(U415,V415,W415,X415,AA415)</f>
        <v>O23011745032024025516018</v>
      </c>
      <c r="AF415" s="159" t="str">
        <f>IFERROR(VLOOKUP(AD415,TD!$J$66:$K$89,2,0)," ")</f>
        <v>PM/0131/0116/45030180255</v>
      </c>
      <c r="AG415" s="118" t="s">
        <v>385</v>
      </c>
      <c r="AH415" s="158" t="s">
        <v>193</v>
      </c>
      <c r="AI415" s="161" t="str">
        <f>CONCATENATE(PAA[[#This Row],[Id Interno]],"-",PAA[[#This Row],[tipo de Contrato (TH talento humano - B/S bienes y/o servicios)]],"-",S415,"-",T415,"-",PAA[[#This Row],[Objeto de la contratación]])</f>
        <v>20260381-TH-8173-6-Prestar servicios profesionales en las actividades de monitoreo del riesgo para la Subdirección de Gestión del Riesgo._SGR</v>
      </c>
    </row>
    <row r="416" spans="2:35" ht="56" x14ac:dyDescent="0.35">
      <c r="B416" s="23">
        <v>20260382</v>
      </c>
      <c r="C416" s="99" t="s">
        <v>566</v>
      </c>
      <c r="D416" s="23" t="s">
        <v>105</v>
      </c>
      <c r="E416" s="23" t="s">
        <v>363</v>
      </c>
      <c r="F416" s="155" t="s">
        <v>145</v>
      </c>
      <c r="G416" s="156" t="s">
        <v>373</v>
      </c>
      <c r="H416" s="157">
        <v>10</v>
      </c>
      <c r="I416" s="157">
        <v>0</v>
      </c>
      <c r="J416" s="127">
        <v>40000000</v>
      </c>
      <c r="K416" s="88" t="s">
        <v>398</v>
      </c>
      <c r="L416" s="155" t="s">
        <v>156</v>
      </c>
      <c r="M416" s="158" t="s">
        <v>513</v>
      </c>
      <c r="N416" s="23" t="s">
        <v>198</v>
      </c>
      <c r="O416" s="151" t="s">
        <v>958</v>
      </c>
      <c r="P416" s="155" t="s">
        <v>348</v>
      </c>
      <c r="Q416" s="100">
        <v>80111600</v>
      </c>
      <c r="R416" s="158" t="s">
        <v>215</v>
      </c>
      <c r="S416" s="158" t="str">
        <f>MID(PAA[[#This Row],[Meta Proyecto de Inversión]],1,4)</f>
        <v>8173</v>
      </c>
      <c r="T416" s="158" t="str">
        <f>MID(PAA[[#This Row],[Meta Proyecto de Inversión]],6,1)</f>
        <v>6</v>
      </c>
      <c r="U416" s="159" t="str">
        <f>IFERROR(VLOOKUP(N416,TD!$B$50:$F$54,2,0)," ")</f>
        <v>O230117</v>
      </c>
      <c r="V416" s="159" t="str">
        <f>IFERROR(VLOOKUP(N416,TD!$B$50:$F$54,3,0)," ")</f>
        <v>4503</v>
      </c>
      <c r="W416" s="159">
        <f>IFERROR(VLOOKUP(N416,TD!$B$50:$F$54,4,0)," ")</f>
        <v>20240255</v>
      </c>
      <c r="X416" s="158">
        <v>16</v>
      </c>
      <c r="Y416" s="159" t="str">
        <f>IFERROR(VLOOKUP(X416,TD!$J$51:$K$64,2,0)," ")</f>
        <v>Servicio de monitoreo y seguimiento para la gestión del riesgo</v>
      </c>
      <c r="Z416" s="160" t="str">
        <f>CONCATENATE(X416,"-",Y416)</f>
        <v>16-Servicio de monitoreo y seguimiento para la gestión del riesgo</v>
      </c>
      <c r="AA416" s="158" t="s">
        <v>224</v>
      </c>
      <c r="AB416" s="159" t="str">
        <f>IFERROR(VLOOKUP(AA416,TD!$N$51:$O$66,2,0)," ")</f>
        <v>Servicio de monitoreo y seguimiento para la gestión del riesgo</v>
      </c>
      <c r="AC416" s="160" t="str">
        <f>CONCATENATE(AA416,"_",AB416)</f>
        <v>018_Servicio de monitoreo y seguimiento para la gestión del riesgo</v>
      </c>
      <c r="AD416" s="160" t="str">
        <f>CONCATENATE(Z416," ",AC416)</f>
        <v>16-Servicio de monitoreo y seguimiento para la gestión del riesgo 018_Servicio de monitoreo y seguimiento para la gestión del riesgo</v>
      </c>
      <c r="AE416" s="159" t="str">
        <f>CONCATENATE(U416,V416,W416,X416,AA416)</f>
        <v>O23011745032024025516018</v>
      </c>
      <c r="AF416" s="159" t="str">
        <f>IFERROR(VLOOKUP(AD416,TD!$J$66:$K$89,2,0)," ")</f>
        <v>PM/0131/0116/45030180255</v>
      </c>
      <c r="AG416" s="118" t="s">
        <v>385</v>
      </c>
      <c r="AH416" s="158" t="s">
        <v>193</v>
      </c>
      <c r="AI416" s="161" t="str">
        <f>CONCATENATE(PAA[[#This Row],[Id Interno]],"-",PAA[[#This Row],[tipo de Contrato (TH talento humano - B/S bienes y/o servicios)]],"-",S416,"-",T416,"-",PAA[[#This Row],[Objeto de la contratación]])</f>
        <v>20260382-TH-8173-6-Prestar servicios  de apoyo en las actividades de monitoreo del riesgo para la Subdirección de Gestión del Riesgo._SGR</v>
      </c>
    </row>
    <row r="417" spans="2:35" ht="56" x14ac:dyDescent="0.35">
      <c r="B417" s="23">
        <v>20260383</v>
      </c>
      <c r="C417" s="99" t="s">
        <v>567</v>
      </c>
      <c r="D417" s="23" t="s">
        <v>105</v>
      </c>
      <c r="E417" s="23" t="s">
        <v>363</v>
      </c>
      <c r="F417" s="155" t="s">
        <v>144</v>
      </c>
      <c r="G417" s="156" t="s">
        <v>373</v>
      </c>
      <c r="H417" s="157">
        <v>8</v>
      </c>
      <c r="I417" s="157">
        <v>0</v>
      </c>
      <c r="J417" s="127">
        <v>72800000</v>
      </c>
      <c r="K417" s="88" t="s">
        <v>398</v>
      </c>
      <c r="L417" s="155" t="s">
        <v>156</v>
      </c>
      <c r="M417" s="158" t="s">
        <v>513</v>
      </c>
      <c r="N417" s="23" t="s">
        <v>198</v>
      </c>
      <c r="O417" s="151" t="s">
        <v>958</v>
      </c>
      <c r="P417" s="155" t="s">
        <v>348</v>
      </c>
      <c r="Q417" s="100">
        <v>80111600</v>
      </c>
      <c r="R417" s="158" t="s">
        <v>214</v>
      </c>
      <c r="S417" s="158" t="str">
        <f>MID(PAA[[#This Row],[Meta Proyecto de Inversión]],1,4)</f>
        <v>8173</v>
      </c>
      <c r="T417" s="158" t="str">
        <f>MID(PAA[[#This Row],[Meta Proyecto de Inversión]],6,1)</f>
        <v>5</v>
      </c>
      <c r="U417" s="159" t="str">
        <f>IFERROR(VLOOKUP(N417,TD!$B$50:$F$54,2,0)," ")</f>
        <v>O230117</v>
      </c>
      <c r="V417" s="159" t="str">
        <f>IFERROR(VLOOKUP(N417,TD!$B$50:$F$54,3,0)," ")</f>
        <v>4503</v>
      </c>
      <c r="W417" s="159">
        <f>IFERROR(VLOOKUP(N417,TD!$B$50:$F$54,4,0)," ")</f>
        <v>20240255</v>
      </c>
      <c r="X417" s="158">
        <v>16</v>
      </c>
      <c r="Y417" s="159" t="str">
        <f>IFERROR(VLOOKUP(X417,TD!$J$51:$K$64,2,0)," ")</f>
        <v>Servicio de monitoreo y seguimiento para la gestión del riesgo</v>
      </c>
      <c r="Z417" s="160" t="str">
        <f>CONCATENATE(X417,"-",Y417)</f>
        <v>16-Servicio de monitoreo y seguimiento para la gestión del riesgo</v>
      </c>
      <c r="AA417" s="158" t="s">
        <v>224</v>
      </c>
      <c r="AB417" s="159" t="str">
        <f>IFERROR(VLOOKUP(AA417,TD!$N$51:$O$66,2,0)," ")</f>
        <v>Servicio de monitoreo y seguimiento para la gestión del riesgo</v>
      </c>
      <c r="AC417" s="160" t="str">
        <f>CONCATENATE(AA417,"_",AB417)</f>
        <v>018_Servicio de monitoreo y seguimiento para la gestión del riesgo</v>
      </c>
      <c r="AD417" s="160" t="str">
        <f>CONCATENATE(Z417," ",AC417)</f>
        <v>16-Servicio de monitoreo y seguimiento para la gestión del riesgo 018_Servicio de monitoreo y seguimiento para la gestión del riesgo</v>
      </c>
      <c r="AE417" s="159" t="str">
        <f>CONCATENATE(U417,V417,W417,X417,AA417)</f>
        <v>O23011745032024025516018</v>
      </c>
      <c r="AF417" s="159" t="str">
        <f>IFERROR(VLOOKUP(AD417,TD!$J$66:$K$89,2,0)," ")</f>
        <v>PM/0131/0116/45030180255</v>
      </c>
      <c r="AG417" s="118" t="s">
        <v>385</v>
      </c>
      <c r="AH417" s="158" t="s">
        <v>193</v>
      </c>
      <c r="AI417" s="161" t="str">
        <f>CONCATENATE(PAA[[#This Row],[Id Interno]],"-",PAA[[#This Row],[tipo de Contrato (TH talento humano - B/S bienes y/o servicios)]],"-",S417,"-",T417,"-",PAA[[#This Row],[Objeto de la contratación]])</f>
        <v>20260383-TH-8173-5-Prestar  servicios profesionales  liderando las actividades de proyeccion e innovacion para la Subdirección de Gestión del Riesgo._SGR</v>
      </c>
    </row>
    <row r="418" spans="2:35" ht="56" x14ac:dyDescent="0.35">
      <c r="B418" s="23">
        <v>20260384</v>
      </c>
      <c r="C418" s="99" t="s">
        <v>568</v>
      </c>
      <c r="D418" s="23" t="s">
        <v>105</v>
      </c>
      <c r="E418" s="23" t="s">
        <v>363</v>
      </c>
      <c r="F418" s="155" t="s">
        <v>144</v>
      </c>
      <c r="G418" s="156" t="s">
        <v>373</v>
      </c>
      <c r="H418" s="157">
        <v>10</v>
      </c>
      <c r="I418" s="157">
        <v>0</v>
      </c>
      <c r="J418" s="127">
        <v>80000000</v>
      </c>
      <c r="K418" s="88" t="s">
        <v>398</v>
      </c>
      <c r="L418" s="155" t="s">
        <v>156</v>
      </c>
      <c r="M418" s="158" t="s">
        <v>513</v>
      </c>
      <c r="N418" s="23" t="s">
        <v>198</v>
      </c>
      <c r="O418" s="151" t="s">
        <v>958</v>
      </c>
      <c r="P418" s="155" t="s">
        <v>348</v>
      </c>
      <c r="Q418" s="100">
        <v>80111600</v>
      </c>
      <c r="R418" s="158" t="s">
        <v>214</v>
      </c>
      <c r="S418" s="158" t="str">
        <f>MID(PAA[[#This Row],[Meta Proyecto de Inversión]],1,4)</f>
        <v>8173</v>
      </c>
      <c r="T418" s="158" t="str">
        <f>MID(PAA[[#This Row],[Meta Proyecto de Inversión]],6,1)</f>
        <v>5</v>
      </c>
      <c r="U418" s="159" t="str">
        <f>IFERROR(VLOOKUP(N418,TD!$B$50:$F$54,2,0)," ")</f>
        <v>O230117</v>
      </c>
      <c r="V418" s="159" t="str">
        <f>IFERROR(VLOOKUP(N418,TD!$B$50:$F$54,3,0)," ")</f>
        <v>4503</v>
      </c>
      <c r="W418" s="159">
        <f>IFERROR(VLOOKUP(N418,TD!$B$50:$F$54,4,0)," ")</f>
        <v>20240255</v>
      </c>
      <c r="X418" s="158">
        <v>16</v>
      </c>
      <c r="Y418" s="159" t="str">
        <f>IFERROR(VLOOKUP(X418,TD!$J$51:$K$64,2,0)," ")</f>
        <v>Servicio de monitoreo y seguimiento para la gestión del riesgo</v>
      </c>
      <c r="Z418" s="160" t="str">
        <f>CONCATENATE(X418,"-",Y418)</f>
        <v>16-Servicio de monitoreo y seguimiento para la gestión del riesgo</v>
      </c>
      <c r="AA418" s="158" t="s">
        <v>224</v>
      </c>
      <c r="AB418" s="159" t="str">
        <f>IFERROR(VLOOKUP(AA418,TD!$N$51:$O$66,2,0)," ")</f>
        <v>Servicio de monitoreo y seguimiento para la gestión del riesgo</v>
      </c>
      <c r="AC418" s="160" t="str">
        <f>CONCATENATE(AA418,"_",AB418)</f>
        <v>018_Servicio de monitoreo y seguimiento para la gestión del riesgo</v>
      </c>
      <c r="AD418" s="160" t="str">
        <f>CONCATENATE(Z418," ",AC418)</f>
        <v>16-Servicio de monitoreo y seguimiento para la gestión del riesgo 018_Servicio de monitoreo y seguimiento para la gestión del riesgo</v>
      </c>
      <c r="AE418" s="159" t="str">
        <f>CONCATENATE(U418,V418,W418,X418,AA418)</f>
        <v>O23011745032024025516018</v>
      </c>
      <c r="AF418" s="159" t="str">
        <f>IFERROR(VLOOKUP(AD418,TD!$J$66:$K$89,2,0)," ")</f>
        <v>PM/0131/0116/45030180255</v>
      </c>
      <c r="AG418" s="118" t="s">
        <v>385</v>
      </c>
      <c r="AH418" s="158" t="s">
        <v>193</v>
      </c>
      <c r="AI418" s="161" t="str">
        <f>CONCATENATE(PAA[[#This Row],[Id Interno]],"-",PAA[[#This Row],[tipo de Contrato (TH talento humano - B/S bienes y/o servicios)]],"-",S418,"-",T418,"-",PAA[[#This Row],[Objeto de la contratación]])</f>
        <v>20260384-TH-8173-5-Prestar  servicios profesionales  en las actividades de proyeccion e innovacion para la Subdirección de Gestión del Riesgo._SGR</v>
      </c>
    </row>
    <row r="419" spans="2:35" ht="56" x14ac:dyDescent="0.35">
      <c r="B419" s="23">
        <v>20260385</v>
      </c>
      <c r="C419" s="99" t="s">
        <v>568</v>
      </c>
      <c r="D419" s="23" t="s">
        <v>105</v>
      </c>
      <c r="E419" s="23" t="s">
        <v>363</v>
      </c>
      <c r="F419" s="155" t="s">
        <v>144</v>
      </c>
      <c r="G419" s="156" t="s">
        <v>373</v>
      </c>
      <c r="H419" s="157">
        <v>8</v>
      </c>
      <c r="I419" s="157">
        <v>0</v>
      </c>
      <c r="J419" s="127">
        <v>48000000</v>
      </c>
      <c r="K419" s="88" t="s">
        <v>398</v>
      </c>
      <c r="L419" s="155" t="s">
        <v>156</v>
      </c>
      <c r="M419" s="158" t="s">
        <v>513</v>
      </c>
      <c r="N419" s="23" t="s">
        <v>198</v>
      </c>
      <c r="O419" s="151" t="s">
        <v>958</v>
      </c>
      <c r="P419" s="155" t="s">
        <v>348</v>
      </c>
      <c r="Q419" s="100">
        <v>80111600</v>
      </c>
      <c r="R419" s="158" t="s">
        <v>214</v>
      </c>
      <c r="S419" s="158" t="str">
        <f>MID(PAA[[#This Row],[Meta Proyecto de Inversión]],1,4)</f>
        <v>8173</v>
      </c>
      <c r="T419" s="158" t="str">
        <f>MID(PAA[[#This Row],[Meta Proyecto de Inversión]],6,1)</f>
        <v>5</v>
      </c>
      <c r="U419" s="159" t="str">
        <f>IFERROR(VLOOKUP(N419,TD!$B$50:$F$54,2,0)," ")</f>
        <v>O230117</v>
      </c>
      <c r="V419" s="159" t="str">
        <f>IFERROR(VLOOKUP(N419,TD!$B$50:$F$54,3,0)," ")</f>
        <v>4503</v>
      </c>
      <c r="W419" s="159">
        <f>IFERROR(VLOOKUP(N419,TD!$B$50:$F$54,4,0)," ")</f>
        <v>20240255</v>
      </c>
      <c r="X419" s="158">
        <v>16</v>
      </c>
      <c r="Y419" s="159" t="str">
        <f>IFERROR(VLOOKUP(X419,TD!$J$51:$K$64,2,0)," ")</f>
        <v>Servicio de monitoreo y seguimiento para la gestión del riesgo</v>
      </c>
      <c r="Z419" s="160" t="str">
        <f>CONCATENATE(X419,"-",Y419)</f>
        <v>16-Servicio de monitoreo y seguimiento para la gestión del riesgo</v>
      </c>
      <c r="AA419" s="158" t="s">
        <v>224</v>
      </c>
      <c r="AB419" s="159" t="str">
        <f>IFERROR(VLOOKUP(AA419,TD!$N$51:$O$66,2,0)," ")</f>
        <v>Servicio de monitoreo y seguimiento para la gestión del riesgo</v>
      </c>
      <c r="AC419" s="160" t="str">
        <f>CONCATENATE(AA419,"_",AB419)</f>
        <v>018_Servicio de monitoreo y seguimiento para la gestión del riesgo</v>
      </c>
      <c r="AD419" s="160" t="str">
        <f>CONCATENATE(Z419," ",AC419)</f>
        <v>16-Servicio de monitoreo y seguimiento para la gestión del riesgo 018_Servicio de monitoreo y seguimiento para la gestión del riesgo</v>
      </c>
      <c r="AE419" s="159" t="str">
        <f>CONCATENATE(U419,V419,W419,X419,AA419)</f>
        <v>O23011745032024025516018</v>
      </c>
      <c r="AF419" s="159" t="str">
        <f>IFERROR(VLOOKUP(AD419,TD!$J$66:$K$89,2,0)," ")</f>
        <v>PM/0131/0116/45030180255</v>
      </c>
      <c r="AG419" s="118" t="s">
        <v>385</v>
      </c>
      <c r="AH419" s="158" t="s">
        <v>193</v>
      </c>
      <c r="AI419" s="161" t="str">
        <f>CONCATENATE(PAA[[#This Row],[Id Interno]],"-",PAA[[#This Row],[tipo de Contrato (TH talento humano - B/S bienes y/o servicios)]],"-",S419,"-",T419,"-",PAA[[#This Row],[Objeto de la contratación]])</f>
        <v>20260385-TH-8173-5-Prestar  servicios profesionales  en las actividades de proyeccion e innovacion para la Subdirección de Gestión del Riesgo._SGR</v>
      </c>
    </row>
    <row r="420" spans="2:35" ht="56" x14ac:dyDescent="0.35">
      <c r="B420" s="23">
        <v>20260386</v>
      </c>
      <c r="C420" s="99" t="s">
        <v>568</v>
      </c>
      <c r="D420" s="23" t="s">
        <v>105</v>
      </c>
      <c r="E420" s="23" t="s">
        <v>363</v>
      </c>
      <c r="F420" s="155" t="s">
        <v>144</v>
      </c>
      <c r="G420" s="156" t="s">
        <v>373</v>
      </c>
      <c r="H420" s="157">
        <v>6</v>
      </c>
      <c r="I420" s="157">
        <v>0</v>
      </c>
      <c r="J420" s="127">
        <v>54000000</v>
      </c>
      <c r="K420" s="88" t="s">
        <v>398</v>
      </c>
      <c r="L420" s="155" t="s">
        <v>156</v>
      </c>
      <c r="M420" s="158" t="s">
        <v>513</v>
      </c>
      <c r="N420" s="23" t="s">
        <v>198</v>
      </c>
      <c r="O420" s="151" t="s">
        <v>958</v>
      </c>
      <c r="P420" s="155" t="s">
        <v>348</v>
      </c>
      <c r="Q420" s="100">
        <v>80111600</v>
      </c>
      <c r="R420" s="158" t="s">
        <v>214</v>
      </c>
      <c r="S420" s="158" t="str">
        <f>MID(PAA[[#This Row],[Meta Proyecto de Inversión]],1,4)</f>
        <v>8173</v>
      </c>
      <c r="T420" s="158" t="str">
        <f>MID(PAA[[#This Row],[Meta Proyecto de Inversión]],6,1)</f>
        <v>5</v>
      </c>
      <c r="U420" s="159" t="str">
        <f>IFERROR(VLOOKUP(N420,TD!$B$50:$F$54,2,0)," ")</f>
        <v>O230117</v>
      </c>
      <c r="V420" s="159" t="str">
        <f>IFERROR(VLOOKUP(N420,TD!$B$50:$F$54,3,0)," ")</f>
        <v>4503</v>
      </c>
      <c r="W420" s="159">
        <f>IFERROR(VLOOKUP(N420,TD!$B$50:$F$54,4,0)," ")</f>
        <v>20240255</v>
      </c>
      <c r="X420" s="158">
        <v>16</v>
      </c>
      <c r="Y420" s="159" t="str">
        <f>IFERROR(VLOOKUP(X420,TD!$J$51:$K$64,2,0)," ")</f>
        <v>Servicio de monitoreo y seguimiento para la gestión del riesgo</v>
      </c>
      <c r="Z420" s="160" t="str">
        <f>CONCATENATE(X420,"-",Y420)</f>
        <v>16-Servicio de monitoreo y seguimiento para la gestión del riesgo</v>
      </c>
      <c r="AA420" s="158" t="s">
        <v>224</v>
      </c>
      <c r="AB420" s="159" t="str">
        <f>IFERROR(VLOOKUP(AA420,TD!$N$51:$O$66,2,0)," ")</f>
        <v>Servicio de monitoreo y seguimiento para la gestión del riesgo</v>
      </c>
      <c r="AC420" s="160" t="str">
        <f>CONCATENATE(AA420,"_",AB420)</f>
        <v>018_Servicio de monitoreo y seguimiento para la gestión del riesgo</v>
      </c>
      <c r="AD420" s="160" t="str">
        <f>CONCATENATE(Z420," ",AC420)</f>
        <v>16-Servicio de monitoreo y seguimiento para la gestión del riesgo 018_Servicio de monitoreo y seguimiento para la gestión del riesgo</v>
      </c>
      <c r="AE420" s="159" t="str">
        <f>CONCATENATE(U420,V420,W420,X420,AA420)</f>
        <v>O23011745032024025516018</v>
      </c>
      <c r="AF420" s="159" t="str">
        <f>IFERROR(VLOOKUP(AD420,TD!$J$66:$K$89,2,0)," ")</f>
        <v>PM/0131/0116/45030180255</v>
      </c>
      <c r="AG420" s="118" t="s">
        <v>385</v>
      </c>
      <c r="AH420" s="158" t="s">
        <v>193</v>
      </c>
      <c r="AI420" s="161" t="str">
        <f>CONCATENATE(PAA[[#This Row],[Id Interno]],"-",PAA[[#This Row],[tipo de Contrato (TH talento humano - B/S bienes y/o servicios)]],"-",S420,"-",T420,"-",PAA[[#This Row],[Objeto de la contratación]])</f>
        <v>20260386-TH-8173-5-Prestar  servicios profesionales  en las actividades de proyeccion e innovacion para la Subdirección de Gestión del Riesgo._SGR</v>
      </c>
    </row>
    <row r="421" spans="2:35" ht="56" x14ac:dyDescent="0.35">
      <c r="B421" s="23">
        <v>20260387</v>
      </c>
      <c r="C421" s="99" t="s">
        <v>496</v>
      </c>
      <c r="D421" s="23" t="s">
        <v>120</v>
      </c>
      <c r="E421" s="23" t="s">
        <v>402</v>
      </c>
      <c r="F421" s="155" t="s">
        <v>124</v>
      </c>
      <c r="G421" s="156" t="s">
        <v>981</v>
      </c>
      <c r="H421" s="157">
        <v>8</v>
      </c>
      <c r="I421" s="157">
        <v>0</v>
      </c>
      <c r="J421" s="127">
        <v>817611040</v>
      </c>
      <c r="K421" s="88" t="s">
        <v>398</v>
      </c>
      <c r="L421" s="155" t="s">
        <v>156</v>
      </c>
      <c r="M421" s="158" t="s">
        <v>513</v>
      </c>
      <c r="N421" s="23" t="s">
        <v>198</v>
      </c>
      <c r="O421" s="151" t="s">
        <v>958</v>
      </c>
      <c r="P421" s="155" t="s">
        <v>348</v>
      </c>
      <c r="Q421" s="100" t="s">
        <v>539</v>
      </c>
      <c r="R421" s="158" t="s">
        <v>210</v>
      </c>
      <c r="S421" s="158" t="str">
        <f>MID(PAA[[#This Row],[Meta Proyecto de Inversión]],1,4)</f>
        <v>8173</v>
      </c>
      <c r="T421" s="158" t="str">
        <f>MID(PAA[[#This Row],[Meta Proyecto de Inversión]],6,1)</f>
        <v>1</v>
      </c>
      <c r="U421" s="159" t="str">
        <f>IFERROR(VLOOKUP(N421,TD!$B$50:$F$54,2,0)," ")</f>
        <v>O230117</v>
      </c>
      <c r="V421" s="159" t="str">
        <f>IFERROR(VLOOKUP(N421,TD!$B$50:$F$54,3,0)," ")</f>
        <v>4503</v>
      </c>
      <c r="W421" s="159">
        <f>IFERROR(VLOOKUP(N421,TD!$B$50:$F$54,4,0)," ")</f>
        <v>20240255</v>
      </c>
      <c r="X421" s="158" t="s">
        <v>166</v>
      </c>
      <c r="Y421" s="159" t="str">
        <f>IFERROR(VLOOKUP(X421,TD!$J$51:$K$64,2,0)," ")</f>
        <v>Servicio de capacitaciones en gestión del riesgo de incendios  a la ciudadania.</v>
      </c>
      <c r="Z421" s="160" t="str">
        <f>CONCATENATE(X421,"-",Y421)</f>
        <v>05-Servicio de capacitaciones en gestión del riesgo de incendios  a la ciudadania.</v>
      </c>
      <c r="AA421" s="158" t="s">
        <v>223</v>
      </c>
      <c r="AB421" s="159" t="str">
        <f>IFERROR(VLOOKUP(AA421,TD!$N$51:$O$66,2,0)," ")</f>
        <v>Servicio prevención y control de incendios</v>
      </c>
      <c r="AC421" s="160" t="str">
        <f>CONCATENATE(AA421,"_",AB421)</f>
        <v>035_Servicio prevención y control de incendios</v>
      </c>
      <c r="AD421" s="160" t="str">
        <f>CONCATENATE(Z421," ",AC421)</f>
        <v>05-Servicio de capacitaciones en gestión del riesgo de incendios  a la ciudadania. 035_Servicio prevención y control de incendios</v>
      </c>
      <c r="AE421" s="159" t="str">
        <f>CONCATENATE(U421,V421,W421,X421,AA421)</f>
        <v>O23011745032024025505035</v>
      </c>
      <c r="AF421" s="159" t="str">
        <f>IFERROR(VLOOKUP(AD421,TD!$J$66:$K$89,2,0)," ")</f>
        <v>PM/0131/0105/45030350255</v>
      </c>
      <c r="AG421" s="118" t="s">
        <v>570</v>
      </c>
      <c r="AH421" s="158" t="s">
        <v>193</v>
      </c>
      <c r="AI421" s="161" t="str">
        <f>CONCATENATE(PAA[[#This Row],[Id Interno]],"-",PAA[[#This Row],[tipo de Contrato (TH talento humano - B/S bienes y/o servicios)]],"-",S421,"-",T421,"-",PAA[[#This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422" spans="2:35" ht="56" x14ac:dyDescent="0.35">
      <c r="B422" s="23">
        <v>20260388</v>
      </c>
      <c r="C422" s="99" t="s">
        <v>540</v>
      </c>
      <c r="D422" s="23" t="s">
        <v>101</v>
      </c>
      <c r="E422" s="23" t="s">
        <v>402</v>
      </c>
      <c r="F422" s="155" t="s">
        <v>101</v>
      </c>
      <c r="G422" s="156" t="s">
        <v>375</v>
      </c>
      <c r="H422" s="157">
        <v>3</v>
      </c>
      <c r="I422" s="157">
        <v>0</v>
      </c>
      <c r="J422" s="127">
        <v>50000000</v>
      </c>
      <c r="K422" s="88" t="s">
        <v>398</v>
      </c>
      <c r="L422" s="155" t="s">
        <v>156</v>
      </c>
      <c r="M422" s="158" t="s">
        <v>513</v>
      </c>
      <c r="N422" s="23" t="s">
        <v>198</v>
      </c>
      <c r="O422" s="151" t="s">
        <v>958</v>
      </c>
      <c r="P422" s="155" t="s">
        <v>348</v>
      </c>
      <c r="Q422" s="100" t="s">
        <v>541</v>
      </c>
      <c r="R422" s="158" t="s">
        <v>210</v>
      </c>
      <c r="S422" s="158" t="str">
        <f>MID(PAA[[#This Row],[Meta Proyecto de Inversión]],1,4)</f>
        <v>8173</v>
      </c>
      <c r="T422" s="158" t="str">
        <f>MID(PAA[[#This Row],[Meta Proyecto de Inversión]],6,1)</f>
        <v>1</v>
      </c>
      <c r="U422" s="159" t="str">
        <f>IFERROR(VLOOKUP(N422,TD!$B$50:$F$54,2,0)," ")</f>
        <v>O230117</v>
      </c>
      <c r="V422" s="159" t="str">
        <f>IFERROR(VLOOKUP(N422,TD!$B$50:$F$54,3,0)," ")</f>
        <v>4503</v>
      </c>
      <c r="W422" s="159">
        <f>IFERROR(VLOOKUP(N422,TD!$B$50:$F$54,4,0)," ")</f>
        <v>20240255</v>
      </c>
      <c r="X422" s="158" t="s">
        <v>166</v>
      </c>
      <c r="Y422" s="159" t="str">
        <f>IFERROR(VLOOKUP(X422,TD!$J$51:$K$64,2,0)," ")</f>
        <v>Servicio de capacitaciones en gestión del riesgo de incendios  a la ciudadania.</v>
      </c>
      <c r="Z422" s="160" t="str">
        <f>CONCATENATE(X422,"-",Y422)</f>
        <v>05-Servicio de capacitaciones en gestión del riesgo de incendios  a la ciudadania.</v>
      </c>
      <c r="AA422" s="158" t="s">
        <v>223</v>
      </c>
      <c r="AB422" s="159" t="str">
        <f>IFERROR(VLOOKUP(AA422,TD!$N$51:$O$66,2,0)," ")</f>
        <v>Servicio prevención y control de incendios</v>
      </c>
      <c r="AC422" s="160" t="str">
        <f>CONCATENATE(AA422,"_",AB422)</f>
        <v>035_Servicio prevención y control de incendios</v>
      </c>
      <c r="AD422" s="160" t="str">
        <f>CONCATENATE(Z422," ",AC422)</f>
        <v>05-Servicio de capacitaciones en gestión del riesgo de incendios  a la ciudadania. 035_Servicio prevención y control de incendios</v>
      </c>
      <c r="AE422" s="159" t="str">
        <f>CONCATENATE(U422,V422,W422,X422,AA422)</f>
        <v>O23011745032024025505035</v>
      </c>
      <c r="AF422" s="159" t="str">
        <f>IFERROR(VLOOKUP(AD422,TD!$J$66:$K$89,2,0)," ")</f>
        <v>PM/0131/0105/45030350255</v>
      </c>
      <c r="AG422" s="118" t="s">
        <v>569</v>
      </c>
      <c r="AH422" s="158" t="s">
        <v>193</v>
      </c>
      <c r="AI422" s="161" t="str">
        <f>CONCATENATE(PAA[[#This Row],[Id Interno]],"-",PAA[[#This Row],[tipo de Contrato (TH talento humano - B/S bienes y/o servicios)]],"-",S422,"-",T422,"-",PAA[[#This Row],[Objeto de la contratación]])</f>
        <v>20260388-BS-8173-1-Adquisición de suministros y elementos de identificación institucional para el fortalecimiento de los procesos misionales de la Subdirección de Gestión del Riesgo_SGR</v>
      </c>
    </row>
    <row r="423" spans="2:35" ht="56" x14ac:dyDescent="0.35">
      <c r="B423" s="23">
        <v>20260389</v>
      </c>
      <c r="C423" s="99" t="s">
        <v>1003</v>
      </c>
      <c r="D423" s="23" t="s">
        <v>101</v>
      </c>
      <c r="E423" s="23" t="s">
        <v>402</v>
      </c>
      <c r="F423" s="155" t="s">
        <v>101</v>
      </c>
      <c r="G423" s="156" t="s">
        <v>375</v>
      </c>
      <c r="H423" s="157">
        <v>3</v>
      </c>
      <c r="I423" s="157">
        <v>0</v>
      </c>
      <c r="J423" s="127">
        <v>50000000</v>
      </c>
      <c r="K423" s="88" t="s">
        <v>398</v>
      </c>
      <c r="L423" s="155" t="s">
        <v>156</v>
      </c>
      <c r="M423" s="158" t="s">
        <v>513</v>
      </c>
      <c r="N423" s="23" t="s">
        <v>198</v>
      </c>
      <c r="O423" s="151" t="s">
        <v>958</v>
      </c>
      <c r="P423" s="155" t="s">
        <v>348</v>
      </c>
      <c r="Q423" s="100" t="s">
        <v>542</v>
      </c>
      <c r="R423" s="158" t="s">
        <v>210</v>
      </c>
      <c r="S423" s="158" t="str">
        <f>MID(PAA[[#This Row],[Meta Proyecto de Inversión]],1,4)</f>
        <v>8173</v>
      </c>
      <c r="T423" s="158" t="str">
        <f>MID(PAA[[#This Row],[Meta Proyecto de Inversión]],6,1)</f>
        <v>1</v>
      </c>
      <c r="U423" s="159" t="str">
        <f>IFERROR(VLOOKUP(N423,TD!$B$50:$F$54,2,0)," ")</f>
        <v>O230117</v>
      </c>
      <c r="V423" s="159" t="str">
        <f>IFERROR(VLOOKUP(N423,TD!$B$50:$F$54,3,0)," ")</f>
        <v>4503</v>
      </c>
      <c r="W423" s="159">
        <f>IFERROR(VLOOKUP(N423,TD!$B$50:$F$54,4,0)," ")</f>
        <v>20240255</v>
      </c>
      <c r="X423" s="158" t="s">
        <v>166</v>
      </c>
      <c r="Y423" s="159" t="str">
        <f>IFERROR(VLOOKUP(X423,TD!$J$51:$K$64,2,0)," ")</f>
        <v>Servicio de capacitaciones en gestión del riesgo de incendios  a la ciudadania.</v>
      </c>
      <c r="Z423" s="160" t="str">
        <f>CONCATENATE(X423,"-",Y423)</f>
        <v>05-Servicio de capacitaciones en gestión del riesgo de incendios  a la ciudadania.</v>
      </c>
      <c r="AA423" s="158" t="s">
        <v>223</v>
      </c>
      <c r="AB423" s="159" t="str">
        <f>IFERROR(VLOOKUP(AA423,TD!$N$51:$O$66,2,0)," ")</f>
        <v>Servicio prevención y control de incendios</v>
      </c>
      <c r="AC423" s="160" t="str">
        <f>CONCATENATE(AA423,"_",AB423)</f>
        <v>035_Servicio prevención y control de incendios</v>
      </c>
      <c r="AD423" s="160" t="str">
        <f>CONCATENATE(Z423," ",AC423)</f>
        <v>05-Servicio de capacitaciones en gestión del riesgo de incendios  a la ciudadania. 035_Servicio prevención y control de incendios</v>
      </c>
      <c r="AE423" s="159" t="str">
        <f>CONCATENATE(U423,V423,W423,X423,AA423)</f>
        <v>O23011745032024025505035</v>
      </c>
      <c r="AF423" s="159" t="str">
        <f>IFERROR(VLOOKUP(AD423,TD!$J$66:$K$89,2,0)," ")</f>
        <v>PM/0131/0105/45030350255</v>
      </c>
      <c r="AG423" s="118" t="s">
        <v>932</v>
      </c>
      <c r="AH423" s="158" t="s">
        <v>193</v>
      </c>
      <c r="AI423" s="161" t="str">
        <f>CONCATENATE(PAA[[#This Row],[Id Interno]],"-",PAA[[#This Row],[tipo de Contrato (TH talento humano - B/S bienes y/o servicios)]],"-",S423,"-",T423,"-",PAA[[#This Row],[Objeto de la contratación]])</f>
        <v>20260389-BS-8173-1-Adquisición de materiales y elementos especializados para el desarrollo de actividades de reduccion del riesgo adelantados por la Subdirección de Gestión del Riesgo_SGR</v>
      </c>
    </row>
    <row r="424" spans="2:35" ht="56" x14ac:dyDescent="0.35">
      <c r="B424" s="23">
        <v>20260390</v>
      </c>
      <c r="C424" s="99" t="s">
        <v>543</v>
      </c>
      <c r="D424" s="23" t="s">
        <v>101</v>
      </c>
      <c r="E424" s="23" t="s">
        <v>402</v>
      </c>
      <c r="F424" s="155" t="s">
        <v>111</v>
      </c>
      <c r="G424" s="156" t="s">
        <v>375</v>
      </c>
      <c r="H424" s="157">
        <v>3</v>
      </c>
      <c r="I424" s="157">
        <v>0</v>
      </c>
      <c r="J424" s="127">
        <v>50000000</v>
      </c>
      <c r="K424" s="88" t="s">
        <v>398</v>
      </c>
      <c r="L424" s="155" t="s">
        <v>156</v>
      </c>
      <c r="M424" s="158" t="s">
        <v>513</v>
      </c>
      <c r="N424" s="23" t="s">
        <v>198</v>
      </c>
      <c r="O424" s="151" t="s">
        <v>958</v>
      </c>
      <c r="P424" s="155" t="s">
        <v>348</v>
      </c>
      <c r="Q424" s="100">
        <v>14111500</v>
      </c>
      <c r="R424" s="158" t="s">
        <v>210</v>
      </c>
      <c r="S424" s="158" t="str">
        <f>MID(PAA[[#This Row],[Meta Proyecto de Inversión]],1,4)</f>
        <v>8173</v>
      </c>
      <c r="T424" s="158" t="str">
        <f>MID(PAA[[#This Row],[Meta Proyecto de Inversión]],6,1)</f>
        <v>1</v>
      </c>
      <c r="U424" s="159" t="str">
        <f>IFERROR(VLOOKUP(N424,TD!$B$50:$F$54,2,0)," ")</f>
        <v>O230117</v>
      </c>
      <c r="V424" s="159" t="str">
        <f>IFERROR(VLOOKUP(N424,TD!$B$50:$F$54,3,0)," ")</f>
        <v>4503</v>
      </c>
      <c r="W424" s="159">
        <f>IFERROR(VLOOKUP(N424,TD!$B$50:$F$54,4,0)," ")</f>
        <v>20240255</v>
      </c>
      <c r="X424" s="158" t="s">
        <v>166</v>
      </c>
      <c r="Y424" s="159" t="str">
        <f>IFERROR(VLOOKUP(X424,TD!$J$51:$K$64,2,0)," ")</f>
        <v>Servicio de capacitaciones en gestión del riesgo de incendios  a la ciudadania.</v>
      </c>
      <c r="Z424" s="160" t="str">
        <f>CONCATENATE(X424,"-",Y424)</f>
        <v>05-Servicio de capacitaciones en gestión del riesgo de incendios  a la ciudadania.</v>
      </c>
      <c r="AA424" s="158" t="s">
        <v>223</v>
      </c>
      <c r="AB424" s="159" t="str">
        <f>IFERROR(VLOOKUP(AA424,TD!$N$51:$O$66,2,0)," ")</f>
        <v>Servicio prevención y control de incendios</v>
      </c>
      <c r="AC424" s="160" t="str">
        <f>CONCATENATE(AA424,"_",AB424)</f>
        <v>035_Servicio prevención y control de incendios</v>
      </c>
      <c r="AD424" s="160" t="str">
        <f>CONCATENATE(Z424," ",AC424)</f>
        <v>05-Servicio de capacitaciones en gestión del riesgo de incendios  a la ciudadania. 035_Servicio prevención y control de incendios</v>
      </c>
      <c r="AE424" s="159" t="str">
        <f>CONCATENATE(U424,V424,W424,X424,AA424)</f>
        <v>O23011745032024025505035</v>
      </c>
      <c r="AF424" s="159" t="str">
        <f>IFERROR(VLOOKUP(AD424,TD!$J$66:$K$89,2,0)," ")</f>
        <v>PM/0131/0105/45030350255</v>
      </c>
      <c r="AG424" s="118" t="s">
        <v>580</v>
      </c>
      <c r="AH424" s="158" t="s">
        <v>193</v>
      </c>
      <c r="AI424" s="161" t="str">
        <f>CONCATENATE(PAA[[#This Row],[Id Interno]],"-",PAA[[#This Row],[tipo de Contrato (TH talento humano - B/S bienes y/o servicios)]],"-",S424,"-",T424,"-",PAA[[#This Row],[Objeto de la contratación]])</f>
        <v>20260390-BS-8173-1-Adquisición de insumos y materias primas para la producción de materiales impresos en artes gráficas_ SGR.</v>
      </c>
    </row>
    <row r="425" spans="2:35" ht="56" x14ac:dyDescent="0.35">
      <c r="B425" s="23">
        <v>20260391</v>
      </c>
      <c r="C425" s="99" t="s">
        <v>587</v>
      </c>
      <c r="D425" s="23" t="s">
        <v>101</v>
      </c>
      <c r="E425" s="23" t="s">
        <v>402</v>
      </c>
      <c r="F425" s="155" t="s">
        <v>101</v>
      </c>
      <c r="G425" s="156" t="s">
        <v>375</v>
      </c>
      <c r="H425" s="157">
        <v>3</v>
      </c>
      <c r="I425" s="157">
        <v>0</v>
      </c>
      <c r="J425" s="127">
        <v>50000000</v>
      </c>
      <c r="K425" s="88" t="s">
        <v>398</v>
      </c>
      <c r="L425" s="155" t="s">
        <v>156</v>
      </c>
      <c r="M425" s="158" t="s">
        <v>513</v>
      </c>
      <c r="N425" s="23" t="s">
        <v>198</v>
      </c>
      <c r="O425" s="151" t="s">
        <v>958</v>
      </c>
      <c r="P425" s="155" t="s">
        <v>348</v>
      </c>
      <c r="Q425" s="100" t="s">
        <v>544</v>
      </c>
      <c r="R425" s="158" t="s">
        <v>210</v>
      </c>
      <c r="S425" s="158" t="str">
        <f>MID(PAA[[#This Row],[Meta Proyecto de Inversión]],1,4)</f>
        <v>8173</v>
      </c>
      <c r="T425" s="158" t="str">
        <f>MID(PAA[[#This Row],[Meta Proyecto de Inversión]],6,1)</f>
        <v>1</v>
      </c>
      <c r="U425" s="159" t="str">
        <f>IFERROR(VLOOKUP(N425,TD!$B$50:$F$54,2,0)," ")</f>
        <v>O230117</v>
      </c>
      <c r="V425" s="159" t="str">
        <f>IFERROR(VLOOKUP(N425,TD!$B$50:$F$54,3,0)," ")</f>
        <v>4503</v>
      </c>
      <c r="W425" s="159">
        <f>IFERROR(VLOOKUP(N425,TD!$B$50:$F$54,4,0)," ")</f>
        <v>20240255</v>
      </c>
      <c r="X425" s="158" t="s">
        <v>166</v>
      </c>
      <c r="Y425" s="159" t="str">
        <f>IFERROR(VLOOKUP(X425,TD!$J$51:$K$64,2,0)," ")</f>
        <v>Servicio de capacitaciones en gestión del riesgo de incendios  a la ciudadania.</v>
      </c>
      <c r="Z425" s="160" t="str">
        <f>CONCATENATE(X425,"-",Y425)</f>
        <v>05-Servicio de capacitaciones en gestión del riesgo de incendios  a la ciudadania.</v>
      </c>
      <c r="AA425" s="158" t="s">
        <v>223</v>
      </c>
      <c r="AB425" s="159" t="str">
        <f>IFERROR(VLOOKUP(AA425,TD!$N$51:$O$66,2,0)," ")</f>
        <v>Servicio prevención y control de incendios</v>
      </c>
      <c r="AC425" s="160" t="str">
        <f>CONCATENATE(AA425,"_",AB425)</f>
        <v>035_Servicio prevención y control de incendios</v>
      </c>
      <c r="AD425" s="160" t="str">
        <f>CONCATENATE(Z425," ",AC425)</f>
        <v>05-Servicio de capacitaciones en gestión del riesgo de incendios  a la ciudadania. 035_Servicio prevención y control de incendios</v>
      </c>
      <c r="AE425" s="159" t="str">
        <f>CONCATENATE(U425,V425,W425,X425,AA425)</f>
        <v>O23011745032024025505035</v>
      </c>
      <c r="AF425" s="159" t="str">
        <f>IFERROR(VLOOKUP(AD425,TD!$J$66:$K$89,2,0)," ")</f>
        <v>PM/0131/0105/45030350255</v>
      </c>
      <c r="AG425" s="118" t="s">
        <v>80</v>
      </c>
      <c r="AH425" s="158" t="s">
        <v>193</v>
      </c>
      <c r="AI425" s="161" t="str">
        <f>CONCATENATE(PAA[[#This Row],[Id Interno]],"-",PAA[[#This Row],[tipo de Contrato (TH talento humano - B/S bienes y/o servicios)]],"-",S425,"-",T425,"-",PAA[[#This Row],[Objeto de la contratación]])</f>
        <v>20260391-BS-8173-1-Adquisición de elementos y equipos necesarios para fortalecer las capacidades técnicas y operativas de los equipos especializados de la subdirecion de gestion del riesgo_SGR.</v>
      </c>
    </row>
    <row r="426" spans="2:35" ht="56" x14ac:dyDescent="0.35">
      <c r="B426" s="23">
        <v>20260392</v>
      </c>
      <c r="C426" s="99" t="s">
        <v>678</v>
      </c>
      <c r="D426" s="23" t="s">
        <v>78</v>
      </c>
      <c r="E426" s="23" t="s">
        <v>402</v>
      </c>
      <c r="F426" s="155" t="s">
        <v>89</v>
      </c>
      <c r="G426" s="156" t="s">
        <v>373</v>
      </c>
      <c r="H426" s="157">
        <v>12</v>
      </c>
      <c r="I426" s="157">
        <v>0</v>
      </c>
      <c r="J426" s="127">
        <v>1447882000</v>
      </c>
      <c r="K426" s="88" t="s">
        <v>397</v>
      </c>
      <c r="L426" s="155" t="s">
        <v>155</v>
      </c>
      <c r="M426" s="158" t="s">
        <v>422</v>
      </c>
      <c r="N426" s="23" t="s">
        <v>197</v>
      </c>
      <c r="O426" s="151" t="s">
        <v>957</v>
      </c>
      <c r="P426" s="155" t="s">
        <v>348</v>
      </c>
      <c r="Q426" s="100" t="s">
        <v>775</v>
      </c>
      <c r="R426" s="158" t="s">
        <v>207</v>
      </c>
      <c r="S426" s="158" t="str">
        <f>MID(PAA[[#This Row],[Meta Proyecto de Inversión]],1,4)</f>
        <v>8126</v>
      </c>
      <c r="T426" s="158" t="str">
        <f>MID(PAA[[#This Row],[Meta Proyecto de Inversión]],6,1)</f>
        <v>8</v>
      </c>
      <c r="U426" s="159" t="str">
        <f>IFERROR(VLOOKUP(N426,TD!$B$50:$F$54,2,0)," ")</f>
        <v>O230117</v>
      </c>
      <c r="V426" s="159" t="str">
        <f>IFERROR(VLOOKUP(N426,TD!$B$50:$F$54,3,0)," ")</f>
        <v>4599</v>
      </c>
      <c r="W426" s="159">
        <f>IFERROR(VLOOKUP(N426,TD!$B$50:$F$54,4,0)," ")</f>
        <v>20240207</v>
      </c>
      <c r="X426" s="158" t="s">
        <v>174</v>
      </c>
      <c r="Y426" s="159" t="str">
        <f>IFERROR(VLOOKUP(X426,TD!$J$51:$K$64,2,0)," ")</f>
        <v>Infraestructura física, mantenimiento y dotación (Sedes construidas, mantenidas reforzadas)</v>
      </c>
      <c r="Z426" s="160" t="str">
        <f>CONCATENATE(X426,"-",Y426)</f>
        <v>08-Infraestructura física, mantenimiento y dotación (Sedes construidas, mantenidas reforzadas)</v>
      </c>
      <c r="AA426" s="158" t="s">
        <v>227</v>
      </c>
      <c r="AB426" s="159" t="str">
        <f>IFERROR(VLOOKUP(AA426,TD!$N$51:$O$66,2,0)," ")</f>
        <v>Sedes mantenidas</v>
      </c>
      <c r="AC426" s="160" t="str">
        <f>CONCATENATE(AA426,"_",AB426)</f>
        <v>016_Sedes mantenidas</v>
      </c>
      <c r="AD426" s="160" t="str">
        <f>CONCATENATE(Z426," ",AC426)</f>
        <v>08-Infraestructura física, mantenimiento y dotación (Sedes construidas, mantenidas reforzadas) 016_Sedes mantenidas</v>
      </c>
      <c r="AE426" s="159" t="str">
        <f>CONCATENATE(U426,V426,W426,X426,AA426)</f>
        <v>O23011745992024020708016</v>
      </c>
      <c r="AF426" s="159" t="str">
        <f>IFERROR(VLOOKUP(AD426,TD!$J$66:$K$89,2,0)," ")</f>
        <v>PM/0131/0108/45990160207</v>
      </c>
      <c r="AG426" s="118" t="s">
        <v>132</v>
      </c>
      <c r="AH426" s="158" t="s">
        <v>193</v>
      </c>
      <c r="AI426" s="161" t="str">
        <f>CONCATENATE(PAA[[#This Row],[Id Interno]],"-",PAA[[#This Row],[tipo de Contrato (TH talento humano - B/S bienes y/o servicios)]],"-",S426,"-",T426,"-",PAA[[#This Row],[Objeto de la contratación]])</f>
        <v>20260392-BS-8126-8-Prestar el servicio de vigilancia y seguridad privada en la modalidad de vigilancia fija, según especificaciones técnicas, en las instalaciones donde la UAE Especial Cuerpo Oficial de Bomberos requiera-SGC</v>
      </c>
    </row>
    <row r="427" spans="2:35" ht="56" x14ac:dyDescent="0.35">
      <c r="B427" s="23">
        <v>20260393</v>
      </c>
      <c r="C427" s="99" t="s">
        <v>679</v>
      </c>
      <c r="D427" s="23" t="s">
        <v>78</v>
      </c>
      <c r="E427" s="23" t="s">
        <v>402</v>
      </c>
      <c r="F427" s="155" t="s">
        <v>97</v>
      </c>
      <c r="G427" s="156" t="s">
        <v>373</v>
      </c>
      <c r="H427" s="157">
        <v>18</v>
      </c>
      <c r="I427" s="157">
        <v>0</v>
      </c>
      <c r="J427" s="127">
        <v>4336206000</v>
      </c>
      <c r="K427" s="88" t="s">
        <v>397</v>
      </c>
      <c r="L427" s="155" t="s">
        <v>155</v>
      </c>
      <c r="M427" s="158" t="s">
        <v>422</v>
      </c>
      <c r="N427" s="23" t="s">
        <v>198</v>
      </c>
      <c r="O427" s="151" t="s">
        <v>958</v>
      </c>
      <c r="P427" s="155" t="s">
        <v>571</v>
      </c>
      <c r="Q427" s="100" t="s">
        <v>776</v>
      </c>
      <c r="R427" s="158" t="s">
        <v>216</v>
      </c>
      <c r="S427" s="158" t="str">
        <f>MID(PAA[[#This Row],[Meta Proyecto de Inversión]],1,4)</f>
        <v>8173</v>
      </c>
      <c r="T427" s="158" t="str">
        <f>MID(PAA[[#This Row],[Meta Proyecto de Inversión]],6,1)</f>
        <v>7</v>
      </c>
      <c r="U427" s="159" t="str">
        <f>IFERROR(VLOOKUP(N427,TD!$B$50:$F$54,2,0)," ")</f>
        <v>O230117</v>
      </c>
      <c r="V427" s="159" t="str">
        <f>IFERROR(VLOOKUP(N427,TD!$B$50:$F$54,3,0)," ")</f>
        <v>4503</v>
      </c>
      <c r="W427" s="159">
        <f>IFERROR(VLOOKUP(N427,TD!$B$50:$F$54,4,0)," ")</f>
        <v>20240255</v>
      </c>
      <c r="X427" s="158">
        <v>14</v>
      </c>
      <c r="Y427" s="159" t="str">
        <f>IFERROR(VLOOKUP(X427,TD!$J$51:$K$64,2,0)," ")</f>
        <v xml:space="preserve">Infraestructura física misional construida mantenida y dotada </v>
      </c>
      <c r="Z427" s="160" t="str">
        <f>CONCATENATE(X427,"-",Y427)</f>
        <v xml:space="preserve">14-Infraestructura física misional construida mantenida y dotada </v>
      </c>
      <c r="AA427" s="158" t="s">
        <v>225</v>
      </c>
      <c r="AB427" s="159" t="str">
        <f>IFERROR(VLOOKUP(AA427,TD!$N$51:$O$66,2,0)," ")</f>
        <v>Estaciones de bomberos adecuadas</v>
      </c>
      <c r="AC427" s="160" t="str">
        <f>CONCATENATE(AA427,"_",AB427)</f>
        <v>014_Estaciones de bomberos adecuadas</v>
      </c>
      <c r="AD427" s="160" t="str">
        <f>CONCATENATE(Z427," ",AC427)</f>
        <v>14-Infraestructura física misional construida mantenida y dotada  014_Estaciones de bomberos adecuadas</v>
      </c>
      <c r="AE427" s="159" t="str">
        <f>CONCATENATE(U427,V427,W427,X427,AA427)</f>
        <v>O23011745032024025514014</v>
      </c>
      <c r="AF427" s="159" t="str">
        <f>IFERROR(VLOOKUP(AD427,TD!$J$66:$K$89,2,0)," ")</f>
        <v>PM/0131/0114/45030140255</v>
      </c>
      <c r="AG427" s="118" t="s">
        <v>94</v>
      </c>
      <c r="AH427" s="158" t="s">
        <v>193</v>
      </c>
      <c r="AI427" s="161" t="str">
        <f>CONCATENATE(PAA[[#This Row],[Id Interno]],"-",PAA[[#This Row],[tipo de Contrato (TH talento humano - B/S bienes y/o servicios)]],"-",S427,"-",T427,"-",PAA[[#This Row],[Objeto de la contratación]])</f>
        <v>20260393-BS-8173-7-Construcción de la estación de bomberos Caobos Salazar  B13 - de la UAE Cuerpo Oficial de Bomberos de Bogotá – SGC</v>
      </c>
    </row>
    <row r="428" spans="2:35" ht="56" x14ac:dyDescent="0.35">
      <c r="B428" s="23">
        <v>20260394</v>
      </c>
      <c r="C428" s="99" t="s">
        <v>680</v>
      </c>
      <c r="D428" s="23" t="s">
        <v>100</v>
      </c>
      <c r="E428" s="23" t="s">
        <v>402</v>
      </c>
      <c r="F428" s="155" t="s">
        <v>131</v>
      </c>
      <c r="G428" s="156" t="s">
        <v>373</v>
      </c>
      <c r="H428" s="157">
        <v>18</v>
      </c>
      <c r="I428" s="157">
        <v>0</v>
      </c>
      <c r="J428" s="127">
        <v>831592000</v>
      </c>
      <c r="K428" s="88" t="s">
        <v>397</v>
      </c>
      <c r="L428" s="155" t="s">
        <v>155</v>
      </c>
      <c r="M428" s="158" t="s">
        <v>422</v>
      </c>
      <c r="N428" s="23" t="s">
        <v>198</v>
      </c>
      <c r="O428" s="151" t="s">
        <v>958</v>
      </c>
      <c r="P428" s="155" t="s">
        <v>571</v>
      </c>
      <c r="Q428" s="100" t="s">
        <v>777</v>
      </c>
      <c r="R428" s="158" t="s">
        <v>216</v>
      </c>
      <c r="S428" s="158" t="str">
        <f>MID(PAA[[#This Row],[Meta Proyecto de Inversión]],1,4)</f>
        <v>8173</v>
      </c>
      <c r="T428" s="158" t="str">
        <f>MID(PAA[[#This Row],[Meta Proyecto de Inversión]],6,1)</f>
        <v>7</v>
      </c>
      <c r="U428" s="159" t="str">
        <f>IFERROR(VLOOKUP(N428,TD!$B$50:$F$54,2,0)," ")</f>
        <v>O230117</v>
      </c>
      <c r="V428" s="159" t="str">
        <f>IFERROR(VLOOKUP(N428,TD!$B$50:$F$54,3,0)," ")</f>
        <v>4503</v>
      </c>
      <c r="W428" s="159">
        <f>IFERROR(VLOOKUP(N428,TD!$B$50:$F$54,4,0)," ")</f>
        <v>20240255</v>
      </c>
      <c r="X428" s="158">
        <v>14</v>
      </c>
      <c r="Y428" s="159" t="str">
        <f>IFERROR(VLOOKUP(X428,TD!$J$51:$K$64,2,0)," ")</f>
        <v xml:space="preserve">Infraestructura física misional construida mantenida y dotada </v>
      </c>
      <c r="Z428" s="160" t="str">
        <f>CONCATENATE(X428,"-",Y428)</f>
        <v xml:space="preserve">14-Infraestructura física misional construida mantenida y dotada </v>
      </c>
      <c r="AA428" s="158" t="s">
        <v>225</v>
      </c>
      <c r="AB428" s="159" t="str">
        <f>IFERROR(VLOOKUP(AA428,TD!$N$51:$O$66,2,0)," ")</f>
        <v>Estaciones de bomberos adecuadas</v>
      </c>
      <c r="AC428" s="160" t="str">
        <f>CONCATENATE(AA428,"_",AB428)</f>
        <v>014_Estaciones de bomberos adecuadas</v>
      </c>
      <c r="AD428" s="160" t="str">
        <f>CONCATENATE(Z428," ",AC428)</f>
        <v>14-Infraestructura física misional construida mantenida y dotada  014_Estaciones de bomberos adecuadas</v>
      </c>
      <c r="AE428" s="159" t="str">
        <f>CONCATENATE(U428,V428,W428,X428,AA428)</f>
        <v>O23011745032024025514014</v>
      </c>
      <c r="AF428" s="159" t="str">
        <f>IFERROR(VLOOKUP(AD428,TD!$J$66:$K$89,2,0)," ")</f>
        <v>PM/0131/0114/45030140255</v>
      </c>
      <c r="AG428" s="118" t="s">
        <v>94</v>
      </c>
      <c r="AH428" s="158" t="s">
        <v>193</v>
      </c>
      <c r="AI428" s="161" t="str">
        <f>CONCATENATE(PAA[[#This Row],[Id Interno]],"-",PAA[[#This Row],[tipo de Contrato (TH talento humano - B/S bienes y/o servicios)]],"-",S428,"-",T428,"-",PAA[[#This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29" spans="2:35" ht="56" x14ac:dyDescent="0.35">
      <c r="B429" s="23">
        <v>20260395</v>
      </c>
      <c r="C429" s="99" t="s">
        <v>681</v>
      </c>
      <c r="D429" s="23" t="s">
        <v>105</v>
      </c>
      <c r="E429" s="23" t="s">
        <v>363</v>
      </c>
      <c r="F429" s="155" t="s">
        <v>144</v>
      </c>
      <c r="G429" s="156" t="s">
        <v>373</v>
      </c>
      <c r="H429" s="157">
        <v>11</v>
      </c>
      <c r="I429" s="157">
        <v>0</v>
      </c>
      <c r="J429" s="127">
        <v>81104000</v>
      </c>
      <c r="K429" s="88" t="s">
        <v>398</v>
      </c>
      <c r="L429" s="155" t="s">
        <v>155</v>
      </c>
      <c r="M429" s="158" t="s">
        <v>422</v>
      </c>
      <c r="N429" s="23" t="s">
        <v>198</v>
      </c>
      <c r="O429" s="151" t="s">
        <v>958</v>
      </c>
      <c r="P429" s="155" t="s">
        <v>348</v>
      </c>
      <c r="Q429" s="100" t="s">
        <v>778</v>
      </c>
      <c r="R429" s="158" t="s">
        <v>216</v>
      </c>
      <c r="S429" s="158" t="str">
        <f>MID(PAA[[#This Row],[Meta Proyecto de Inversión]],1,4)</f>
        <v>8173</v>
      </c>
      <c r="T429" s="158" t="str">
        <f>MID(PAA[[#This Row],[Meta Proyecto de Inversión]],6,1)</f>
        <v>7</v>
      </c>
      <c r="U429" s="159" t="str">
        <f>IFERROR(VLOOKUP(N429,TD!$B$50:$F$54,2,0)," ")</f>
        <v>O230117</v>
      </c>
      <c r="V429" s="159" t="str">
        <f>IFERROR(VLOOKUP(N429,TD!$B$50:$F$54,3,0)," ")</f>
        <v>4503</v>
      </c>
      <c r="W429" s="159">
        <f>IFERROR(VLOOKUP(N429,TD!$B$50:$F$54,4,0)," ")</f>
        <v>20240255</v>
      </c>
      <c r="X429" s="158">
        <v>14</v>
      </c>
      <c r="Y429" s="159" t="str">
        <f>IFERROR(VLOOKUP(X429,TD!$J$51:$K$64,2,0)," ")</f>
        <v xml:space="preserve">Infraestructura física misional construida mantenida y dotada </v>
      </c>
      <c r="Z429" s="160" t="str">
        <f>CONCATENATE(X429,"-",Y429)</f>
        <v xml:space="preserve">14-Infraestructura física misional construida mantenida y dotada </v>
      </c>
      <c r="AA429" s="158" t="s">
        <v>225</v>
      </c>
      <c r="AB429" s="159" t="str">
        <f>IFERROR(VLOOKUP(AA429,TD!$N$51:$O$66,2,0)," ")</f>
        <v>Estaciones de bomberos adecuadas</v>
      </c>
      <c r="AC429" s="160" t="str">
        <f>CONCATENATE(AA429,"_",AB429)</f>
        <v>014_Estaciones de bomberos adecuadas</v>
      </c>
      <c r="AD429" s="160" t="str">
        <f>CONCATENATE(Z429," ",AC429)</f>
        <v>14-Infraestructura física misional construida mantenida y dotada  014_Estaciones de bomberos adecuadas</v>
      </c>
      <c r="AE429" s="159" t="str">
        <f>CONCATENATE(U429,V429,W429,X429,AA429)</f>
        <v>O23011745032024025514014</v>
      </c>
      <c r="AF429" s="159" t="str">
        <f>IFERROR(VLOOKUP(AD429,TD!$J$66:$K$89,2,0)," ")</f>
        <v>PM/0131/0114/45030140255</v>
      </c>
      <c r="AG429" s="118" t="s">
        <v>385</v>
      </c>
      <c r="AH429" s="158" t="s">
        <v>193</v>
      </c>
      <c r="AI429" s="161" t="str">
        <f>CONCATENATE(PAA[[#This Row],[Id Interno]],"-",PAA[[#This Row],[tipo de Contrato (TH talento humano - B/S bienes y/o servicios)]],"-",S429,"-",T429,"-",PAA[[#This Row],[Objeto de la contratación]])</f>
        <v>20260395-TH-8173-7-Prestación de servicios profesionales para apoyar a la supervisión con las actividades técnicas del Área de Infraestructura de la Subdirección de Gestión Corporativa-SGC</v>
      </c>
    </row>
    <row r="430" spans="2:35" ht="56" x14ac:dyDescent="0.35">
      <c r="B430" s="23">
        <v>20260396</v>
      </c>
      <c r="C430" s="99" t="s">
        <v>682</v>
      </c>
      <c r="D430" s="23" t="s">
        <v>105</v>
      </c>
      <c r="E430" s="23" t="s">
        <v>363</v>
      </c>
      <c r="F430" s="155" t="s">
        <v>144</v>
      </c>
      <c r="G430" s="156" t="s">
        <v>373</v>
      </c>
      <c r="H430" s="157">
        <v>11</v>
      </c>
      <c r="I430" s="157">
        <v>0</v>
      </c>
      <c r="J430" s="127">
        <v>99000000</v>
      </c>
      <c r="K430" s="88" t="s">
        <v>398</v>
      </c>
      <c r="L430" s="155" t="s">
        <v>155</v>
      </c>
      <c r="M430" s="158" t="s">
        <v>422</v>
      </c>
      <c r="N430" s="23" t="s">
        <v>198</v>
      </c>
      <c r="O430" s="151" t="s">
        <v>958</v>
      </c>
      <c r="P430" s="155" t="s">
        <v>348</v>
      </c>
      <c r="Q430" s="100" t="s">
        <v>778</v>
      </c>
      <c r="R430" s="158" t="s">
        <v>216</v>
      </c>
      <c r="S430" s="158" t="str">
        <f>MID(PAA[[#This Row],[Meta Proyecto de Inversión]],1,4)</f>
        <v>8173</v>
      </c>
      <c r="T430" s="158" t="str">
        <f>MID(PAA[[#This Row],[Meta Proyecto de Inversión]],6,1)</f>
        <v>7</v>
      </c>
      <c r="U430" s="159" t="str">
        <f>IFERROR(VLOOKUP(N430,TD!$B$50:$F$54,2,0)," ")</f>
        <v>O230117</v>
      </c>
      <c r="V430" s="159" t="str">
        <f>IFERROR(VLOOKUP(N430,TD!$B$50:$F$54,3,0)," ")</f>
        <v>4503</v>
      </c>
      <c r="W430" s="159">
        <f>IFERROR(VLOOKUP(N430,TD!$B$50:$F$54,4,0)," ")</f>
        <v>20240255</v>
      </c>
      <c r="X430" s="158">
        <v>14</v>
      </c>
      <c r="Y430" s="159" t="str">
        <f>IFERROR(VLOOKUP(X430,TD!$J$51:$K$64,2,0)," ")</f>
        <v xml:space="preserve">Infraestructura física misional construida mantenida y dotada </v>
      </c>
      <c r="Z430" s="160" t="str">
        <f>CONCATENATE(X430,"-",Y430)</f>
        <v xml:space="preserve">14-Infraestructura física misional construida mantenida y dotada </v>
      </c>
      <c r="AA430" s="158" t="s">
        <v>225</v>
      </c>
      <c r="AB430" s="159" t="str">
        <f>IFERROR(VLOOKUP(AA430,TD!$N$51:$O$66,2,0)," ")</f>
        <v>Estaciones de bomberos adecuadas</v>
      </c>
      <c r="AC430" s="160" t="str">
        <f>CONCATENATE(AA430,"_",AB430)</f>
        <v>014_Estaciones de bomberos adecuadas</v>
      </c>
      <c r="AD430" s="160" t="str">
        <f>CONCATENATE(Z430," ",AC430)</f>
        <v>14-Infraestructura física misional construida mantenida y dotada  014_Estaciones de bomberos adecuadas</v>
      </c>
      <c r="AE430" s="159" t="str">
        <f>CONCATENATE(U430,V430,W430,X430,AA430)</f>
        <v>O23011745032024025514014</v>
      </c>
      <c r="AF430" s="159" t="str">
        <f>IFERROR(VLOOKUP(AD430,TD!$J$66:$K$89,2,0)," ")</f>
        <v>PM/0131/0114/45030140255</v>
      </c>
      <c r="AG430" s="118" t="s">
        <v>385</v>
      </c>
      <c r="AH430" s="158" t="s">
        <v>193</v>
      </c>
      <c r="AI430" s="161" t="str">
        <f>CONCATENATE(PAA[[#This Row],[Id Interno]],"-",PAA[[#This Row],[tipo de Contrato (TH talento humano - B/S bienes y/o servicios)]],"-",S430,"-",T430,"-",PAA[[#This Row],[Objeto de la contratación]])</f>
        <v>20260396-TH-8173-7-Prestación de servicios profesionales para apoyar las actividades de estructuración de procesos contractuales del Área de Infraestructura de la Subdirección de Gestión Corporativa-SGC</v>
      </c>
    </row>
    <row r="431" spans="2:35" ht="56" x14ac:dyDescent="0.35">
      <c r="B431" s="23">
        <v>20260397</v>
      </c>
      <c r="C431" s="99" t="s">
        <v>683</v>
      </c>
      <c r="D431" s="23" t="s">
        <v>105</v>
      </c>
      <c r="E431" s="23" t="s">
        <v>363</v>
      </c>
      <c r="F431" s="155" t="s">
        <v>144</v>
      </c>
      <c r="G431" s="156" t="s">
        <v>373</v>
      </c>
      <c r="H431" s="157">
        <v>11</v>
      </c>
      <c r="I431" s="157">
        <v>0</v>
      </c>
      <c r="J431" s="127">
        <v>56772000</v>
      </c>
      <c r="K431" s="88" t="s">
        <v>398</v>
      </c>
      <c r="L431" s="155" t="s">
        <v>155</v>
      </c>
      <c r="M431" s="158" t="s">
        <v>422</v>
      </c>
      <c r="N431" s="23" t="s">
        <v>197</v>
      </c>
      <c r="O431" s="151" t="s">
        <v>957</v>
      </c>
      <c r="P431" s="155" t="s">
        <v>348</v>
      </c>
      <c r="Q431" s="100" t="s">
        <v>778</v>
      </c>
      <c r="R431" s="158" t="s">
        <v>207</v>
      </c>
      <c r="S431" s="158" t="str">
        <f>MID(PAA[[#This Row],[Meta Proyecto de Inversión]],1,4)</f>
        <v>8126</v>
      </c>
      <c r="T431" s="158" t="str">
        <f>MID(PAA[[#This Row],[Meta Proyecto de Inversión]],6,1)</f>
        <v>8</v>
      </c>
      <c r="U431" s="159" t="str">
        <f>IFERROR(VLOOKUP(N431,TD!$B$50:$F$54,2,0)," ")</f>
        <v>O230117</v>
      </c>
      <c r="V431" s="159" t="str">
        <f>IFERROR(VLOOKUP(N431,TD!$B$50:$F$54,3,0)," ")</f>
        <v>4599</v>
      </c>
      <c r="W431" s="159">
        <f>IFERROR(VLOOKUP(N431,TD!$B$50:$F$54,4,0)," ")</f>
        <v>20240207</v>
      </c>
      <c r="X431" s="158" t="s">
        <v>174</v>
      </c>
      <c r="Y431" s="159" t="str">
        <f>IFERROR(VLOOKUP(X431,TD!$J$51:$K$64,2,0)," ")</f>
        <v>Infraestructura física, mantenimiento y dotación (Sedes construidas, mantenidas reforzadas)</v>
      </c>
      <c r="Z431" s="160" t="str">
        <f>CONCATENATE(X431,"-",Y431)</f>
        <v>08-Infraestructura física, mantenimiento y dotación (Sedes construidas, mantenidas reforzadas)</v>
      </c>
      <c r="AA431" s="158" t="s">
        <v>227</v>
      </c>
      <c r="AB431" s="159" t="str">
        <f>IFERROR(VLOOKUP(AA431,TD!$N$51:$O$66,2,0)," ")</f>
        <v>Sedes mantenidas</v>
      </c>
      <c r="AC431" s="160" t="str">
        <f>CONCATENATE(AA431,"_",AB431)</f>
        <v>016_Sedes mantenidas</v>
      </c>
      <c r="AD431" s="160" t="str">
        <f>CONCATENATE(Z431," ",AC431)</f>
        <v>08-Infraestructura física, mantenimiento y dotación (Sedes construidas, mantenidas reforzadas) 016_Sedes mantenidas</v>
      </c>
      <c r="AE431" s="159" t="str">
        <f>CONCATENATE(U431,V431,W431,X431,AA431)</f>
        <v>O23011745992024020708016</v>
      </c>
      <c r="AF431" s="159" t="str">
        <f>IFERROR(VLOOKUP(AD431,TD!$J$66:$K$89,2,0)," ")</f>
        <v>PM/0131/0108/45990160207</v>
      </c>
      <c r="AG431" s="118" t="s">
        <v>385</v>
      </c>
      <c r="AH431" s="158" t="s">
        <v>193</v>
      </c>
      <c r="AI431" s="161" t="str">
        <f>CONCATENATE(PAA[[#This Row],[Id Interno]],"-",PAA[[#This Row],[tipo de Contrato (TH talento humano - B/S bienes y/o servicios)]],"-",S431,"-",T431,"-",PAA[[#This Row],[Objeto de la contratación]])</f>
        <v>20260397-TH-8126-8-Prestar los servicios profesionales en las actividades asociadas del área de infraestructura que contribuyan para la implementación de procesos y procedimientos para la adecuada prestación del servicio-SGC.</v>
      </c>
    </row>
    <row r="432" spans="2:35" ht="56" x14ac:dyDescent="0.35">
      <c r="B432" s="23">
        <v>20260398</v>
      </c>
      <c r="C432" s="99" t="s">
        <v>684</v>
      </c>
      <c r="D432" s="23" t="s">
        <v>105</v>
      </c>
      <c r="E432" s="23" t="s">
        <v>363</v>
      </c>
      <c r="F432" s="155" t="s">
        <v>144</v>
      </c>
      <c r="G432" s="156" t="s">
        <v>373</v>
      </c>
      <c r="H432" s="157">
        <v>10</v>
      </c>
      <c r="I432" s="157">
        <v>0</v>
      </c>
      <c r="J432" s="127">
        <v>70000000</v>
      </c>
      <c r="K432" s="88" t="s">
        <v>398</v>
      </c>
      <c r="L432" s="155" t="s">
        <v>155</v>
      </c>
      <c r="M432" s="158" t="s">
        <v>422</v>
      </c>
      <c r="N432" s="23" t="s">
        <v>197</v>
      </c>
      <c r="O432" s="151" t="s">
        <v>957</v>
      </c>
      <c r="P432" s="155" t="s">
        <v>348</v>
      </c>
      <c r="Q432" s="100" t="s">
        <v>778</v>
      </c>
      <c r="R432" s="158" t="s">
        <v>208</v>
      </c>
      <c r="S432" s="158" t="str">
        <f>MID(PAA[[#This Row],[Meta Proyecto de Inversión]],1,4)</f>
        <v>8126</v>
      </c>
      <c r="T432" s="158" t="str">
        <f>MID(PAA[[#This Row],[Meta Proyecto de Inversión]],6,1)</f>
        <v>9</v>
      </c>
      <c r="U432" s="159" t="str">
        <f>IFERROR(VLOOKUP(N432,TD!$B$50:$F$54,2,0)," ")</f>
        <v>O230117</v>
      </c>
      <c r="V432" s="159" t="str">
        <f>IFERROR(VLOOKUP(N432,TD!$B$50:$F$54,3,0)," ")</f>
        <v>4599</v>
      </c>
      <c r="W432" s="159">
        <f>IFERROR(VLOOKUP(N432,TD!$B$50:$F$54,4,0)," ")</f>
        <v>20240207</v>
      </c>
      <c r="X432" s="158" t="s">
        <v>174</v>
      </c>
      <c r="Y432" s="159" t="str">
        <f>IFERROR(VLOOKUP(X432,TD!$J$51:$K$64,2,0)," ")</f>
        <v>Infraestructura física, mantenimiento y dotación (Sedes construidas, mantenidas reforzadas)</v>
      </c>
      <c r="Z432" s="160" t="str">
        <f>CONCATENATE(X432,"-",Y432)</f>
        <v>08-Infraestructura física, mantenimiento y dotación (Sedes construidas, mantenidas reforzadas)</v>
      </c>
      <c r="AA432" s="158" t="s">
        <v>227</v>
      </c>
      <c r="AB432" s="159" t="str">
        <f>IFERROR(VLOOKUP(AA432,TD!$N$51:$O$66,2,0)," ")</f>
        <v>Sedes mantenidas</v>
      </c>
      <c r="AC432" s="160" t="str">
        <f>CONCATENATE(AA432,"_",AB432)</f>
        <v>016_Sedes mantenidas</v>
      </c>
      <c r="AD432" s="160" t="str">
        <f>CONCATENATE(Z432," ",AC432)</f>
        <v>08-Infraestructura física, mantenimiento y dotación (Sedes construidas, mantenidas reforzadas) 016_Sedes mantenidas</v>
      </c>
      <c r="AE432" s="159" t="str">
        <f>CONCATENATE(U432,V432,W432,X432,AA432)</f>
        <v>O23011745992024020708016</v>
      </c>
      <c r="AF432" s="159" t="str">
        <f>IFERROR(VLOOKUP(AD432,TD!$J$66:$K$89,2,0)," ")</f>
        <v>PM/0131/0108/45990160207</v>
      </c>
      <c r="AG432" s="118" t="s">
        <v>385</v>
      </c>
      <c r="AH432" s="158" t="s">
        <v>193</v>
      </c>
      <c r="AI432" s="161" t="str">
        <f>CONCATENATE(PAA[[#This Row],[Id Interno]],"-",PAA[[#This Row],[tipo de Contrato (TH talento humano - B/S bienes y/o servicios)]],"-",S432,"-",T432,"-",PAA[[#This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33" spans="2:35" ht="56" x14ac:dyDescent="0.35">
      <c r="B433" s="23">
        <v>20260399</v>
      </c>
      <c r="C433" s="99" t="s">
        <v>685</v>
      </c>
      <c r="D433" s="23" t="s">
        <v>105</v>
      </c>
      <c r="E433" s="23" t="s">
        <v>363</v>
      </c>
      <c r="F433" s="155" t="s">
        <v>145</v>
      </c>
      <c r="G433" s="156" t="s">
        <v>373</v>
      </c>
      <c r="H433" s="157">
        <v>11</v>
      </c>
      <c r="I433" s="157">
        <v>0</v>
      </c>
      <c r="J433" s="127">
        <v>36128000</v>
      </c>
      <c r="K433" s="88" t="s">
        <v>398</v>
      </c>
      <c r="L433" s="155" t="s">
        <v>155</v>
      </c>
      <c r="M433" s="158" t="s">
        <v>422</v>
      </c>
      <c r="N433" s="23" t="s">
        <v>197</v>
      </c>
      <c r="O433" s="151" t="s">
        <v>957</v>
      </c>
      <c r="P433" s="155" t="s">
        <v>348</v>
      </c>
      <c r="Q433" s="100" t="s">
        <v>778</v>
      </c>
      <c r="R433" s="158" t="s">
        <v>208</v>
      </c>
      <c r="S433" s="158" t="str">
        <f>MID(PAA[[#This Row],[Meta Proyecto de Inversión]],1,4)</f>
        <v>8126</v>
      </c>
      <c r="T433" s="158" t="str">
        <f>MID(PAA[[#This Row],[Meta Proyecto de Inversión]],6,1)</f>
        <v>9</v>
      </c>
      <c r="U433" s="159" t="str">
        <f>IFERROR(VLOOKUP(N433,TD!$B$50:$F$54,2,0)," ")</f>
        <v>O230117</v>
      </c>
      <c r="V433" s="159" t="str">
        <f>IFERROR(VLOOKUP(N433,TD!$B$50:$F$54,3,0)," ")</f>
        <v>4599</v>
      </c>
      <c r="W433" s="159">
        <f>IFERROR(VLOOKUP(N433,TD!$B$50:$F$54,4,0)," ")</f>
        <v>20240207</v>
      </c>
      <c r="X433" s="158" t="s">
        <v>174</v>
      </c>
      <c r="Y433" s="159" t="str">
        <f>IFERROR(VLOOKUP(X433,TD!$J$51:$K$64,2,0)," ")</f>
        <v>Infraestructura física, mantenimiento y dotación (Sedes construidas, mantenidas reforzadas)</v>
      </c>
      <c r="Z433" s="160" t="str">
        <f>CONCATENATE(X433,"-",Y433)</f>
        <v>08-Infraestructura física, mantenimiento y dotación (Sedes construidas, mantenidas reforzadas)</v>
      </c>
      <c r="AA433" s="158" t="s">
        <v>227</v>
      </c>
      <c r="AB433" s="159" t="str">
        <f>IFERROR(VLOOKUP(AA433,TD!$N$51:$O$66,2,0)," ")</f>
        <v>Sedes mantenidas</v>
      </c>
      <c r="AC433" s="160" t="str">
        <f>CONCATENATE(AA433,"_",AB433)</f>
        <v>016_Sedes mantenidas</v>
      </c>
      <c r="AD433" s="160" t="str">
        <f>CONCATENATE(Z433," ",AC433)</f>
        <v>08-Infraestructura física, mantenimiento y dotación (Sedes construidas, mantenidas reforzadas) 016_Sedes mantenidas</v>
      </c>
      <c r="AE433" s="159" t="str">
        <f>CONCATENATE(U433,V433,W433,X433,AA433)</f>
        <v>O23011745992024020708016</v>
      </c>
      <c r="AF433" s="159" t="str">
        <f>IFERROR(VLOOKUP(AD433,TD!$J$66:$K$89,2,0)," ")</f>
        <v>PM/0131/0108/45990160207</v>
      </c>
      <c r="AG433" s="118" t="s">
        <v>385</v>
      </c>
      <c r="AH433" s="158" t="s">
        <v>193</v>
      </c>
      <c r="AI433" s="161" t="str">
        <f>CONCATENATE(PAA[[#This Row],[Id Interno]],"-",PAA[[#This Row],[tipo de Contrato (TH talento humano - B/S bienes y/o servicios)]],"-",S433,"-",T433,"-",PAA[[#This Row],[Objeto de la contratación]])</f>
        <v>20260399-TH-8126-9-Prestación de servicios de apoyo a la gestión en la ejecución de los planes y programas de servicio al ciudadano a cargo de la Subdirección de Gestión Corporativa.-SGC</v>
      </c>
    </row>
    <row r="434" spans="2:35" ht="70" x14ac:dyDescent="0.35">
      <c r="B434" s="23">
        <v>20260400</v>
      </c>
      <c r="C434" s="99" t="s">
        <v>686</v>
      </c>
      <c r="D434" s="23" t="s">
        <v>105</v>
      </c>
      <c r="E434" s="23" t="s">
        <v>363</v>
      </c>
      <c r="F434" s="155" t="s">
        <v>144</v>
      </c>
      <c r="G434" s="156" t="s">
        <v>373</v>
      </c>
      <c r="H434" s="157">
        <v>11</v>
      </c>
      <c r="I434" s="157">
        <v>0</v>
      </c>
      <c r="J434" s="127">
        <v>100272000</v>
      </c>
      <c r="K434" s="88" t="s">
        <v>398</v>
      </c>
      <c r="L434" s="155" t="s">
        <v>155</v>
      </c>
      <c r="M434" s="158" t="s">
        <v>422</v>
      </c>
      <c r="N434" s="23" t="s">
        <v>197</v>
      </c>
      <c r="O434" s="151" t="s">
        <v>957</v>
      </c>
      <c r="P434" s="155" t="s">
        <v>348</v>
      </c>
      <c r="Q434" s="100" t="s">
        <v>778</v>
      </c>
      <c r="R434" s="158" t="s">
        <v>208</v>
      </c>
      <c r="S434" s="158" t="str">
        <f>MID(PAA[[#This Row],[Meta Proyecto de Inversión]],1,4)</f>
        <v>8126</v>
      </c>
      <c r="T434" s="158" t="str">
        <f>MID(PAA[[#This Row],[Meta Proyecto de Inversión]],6,1)</f>
        <v>9</v>
      </c>
      <c r="U434" s="159" t="str">
        <f>IFERROR(VLOOKUP(N434,TD!$B$50:$F$54,2,0)," ")</f>
        <v>O230117</v>
      </c>
      <c r="V434" s="159" t="str">
        <f>IFERROR(VLOOKUP(N434,TD!$B$50:$F$54,3,0)," ")</f>
        <v>4599</v>
      </c>
      <c r="W434" s="159">
        <f>IFERROR(VLOOKUP(N434,TD!$B$50:$F$54,4,0)," ")</f>
        <v>20240207</v>
      </c>
      <c r="X434" s="158" t="s">
        <v>174</v>
      </c>
      <c r="Y434" s="159" t="str">
        <f>IFERROR(VLOOKUP(X434,TD!$J$51:$K$64,2,0)," ")</f>
        <v>Infraestructura física, mantenimiento y dotación (Sedes construidas, mantenidas reforzadas)</v>
      </c>
      <c r="Z434" s="160" t="str">
        <f>CONCATENATE(X434,"-",Y434)</f>
        <v>08-Infraestructura física, mantenimiento y dotación (Sedes construidas, mantenidas reforzadas)</v>
      </c>
      <c r="AA434" s="158" t="s">
        <v>227</v>
      </c>
      <c r="AB434" s="159" t="str">
        <f>IFERROR(VLOOKUP(AA434,TD!$N$51:$O$66,2,0)," ")</f>
        <v>Sedes mantenidas</v>
      </c>
      <c r="AC434" s="160" t="str">
        <f>CONCATENATE(AA434,"_",AB434)</f>
        <v>016_Sedes mantenidas</v>
      </c>
      <c r="AD434" s="160" t="str">
        <f>CONCATENATE(Z434," ",AC434)</f>
        <v>08-Infraestructura física, mantenimiento y dotación (Sedes construidas, mantenidas reforzadas) 016_Sedes mantenidas</v>
      </c>
      <c r="AE434" s="159" t="str">
        <f>CONCATENATE(U434,V434,W434,X434,AA434)</f>
        <v>O23011745992024020708016</v>
      </c>
      <c r="AF434" s="159" t="str">
        <f>IFERROR(VLOOKUP(AD434,TD!$J$66:$K$89,2,0)," ")</f>
        <v>PM/0131/0108/45990160207</v>
      </c>
      <c r="AG434" s="118" t="s">
        <v>385</v>
      </c>
      <c r="AH434" s="158" t="s">
        <v>193</v>
      </c>
      <c r="AI434" s="161" t="str">
        <f>CONCATENATE(PAA[[#This Row],[Id Interno]],"-",PAA[[#This Row],[tipo de Contrato (TH talento humano - B/S bienes y/o servicios)]],"-",S434,"-",T434,"-",PAA[[#This Row],[Objeto de la contratación]])</f>
        <v>20260400-TH-8126-9-Prestación de servicios profesionales para articular la gestión en la ejecución de los planes y programas de servicio al ciudadano a cargo de la Subdirección de Gestión Corporativa.-SGC</v>
      </c>
    </row>
    <row r="435" spans="2:35" ht="70" x14ac:dyDescent="0.35">
      <c r="B435" s="23">
        <v>20260401</v>
      </c>
      <c r="C435" s="99" t="s">
        <v>685</v>
      </c>
      <c r="D435" s="23" t="s">
        <v>105</v>
      </c>
      <c r="E435" s="23" t="s">
        <v>363</v>
      </c>
      <c r="F435" s="155" t="s">
        <v>145</v>
      </c>
      <c r="G435" s="156" t="s">
        <v>373</v>
      </c>
      <c r="H435" s="157">
        <v>11</v>
      </c>
      <c r="I435" s="157">
        <v>0</v>
      </c>
      <c r="J435" s="127">
        <v>36128000</v>
      </c>
      <c r="K435" s="88" t="s">
        <v>398</v>
      </c>
      <c r="L435" s="155" t="s">
        <v>155</v>
      </c>
      <c r="M435" s="158" t="s">
        <v>422</v>
      </c>
      <c r="N435" s="23" t="s">
        <v>197</v>
      </c>
      <c r="O435" s="151" t="s">
        <v>957</v>
      </c>
      <c r="P435" s="155" t="s">
        <v>348</v>
      </c>
      <c r="Q435" s="100" t="s">
        <v>778</v>
      </c>
      <c r="R435" s="158" t="s">
        <v>208</v>
      </c>
      <c r="S435" s="158" t="str">
        <f>MID(PAA[[#This Row],[Meta Proyecto de Inversión]],1,4)</f>
        <v>8126</v>
      </c>
      <c r="T435" s="158" t="str">
        <f>MID(PAA[[#This Row],[Meta Proyecto de Inversión]],6,1)</f>
        <v>9</v>
      </c>
      <c r="U435" s="159" t="str">
        <f>IFERROR(VLOOKUP(N435,TD!$B$50:$F$54,2,0)," ")</f>
        <v>O230117</v>
      </c>
      <c r="V435" s="159" t="str">
        <f>IFERROR(VLOOKUP(N435,TD!$B$50:$F$54,3,0)," ")</f>
        <v>4599</v>
      </c>
      <c r="W435" s="159">
        <f>IFERROR(VLOOKUP(N435,TD!$B$50:$F$54,4,0)," ")</f>
        <v>20240207</v>
      </c>
      <c r="X435" s="158" t="s">
        <v>174</v>
      </c>
      <c r="Y435" s="159" t="str">
        <f>IFERROR(VLOOKUP(X435,TD!$J$51:$K$64,2,0)," ")</f>
        <v>Infraestructura física, mantenimiento y dotación (Sedes construidas, mantenidas reforzadas)</v>
      </c>
      <c r="Z435" s="160" t="str">
        <f>CONCATENATE(X435,"-",Y435)</f>
        <v>08-Infraestructura física, mantenimiento y dotación (Sedes construidas, mantenidas reforzadas)</v>
      </c>
      <c r="AA435" s="158" t="s">
        <v>227</v>
      </c>
      <c r="AB435" s="159" t="str">
        <f>IFERROR(VLOOKUP(AA435,TD!$N$51:$O$66,2,0)," ")</f>
        <v>Sedes mantenidas</v>
      </c>
      <c r="AC435" s="160" t="str">
        <f>CONCATENATE(AA435,"_",AB435)</f>
        <v>016_Sedes mantenidas</v>
      </c>
      <c r="AD435" s="160" t="str">
        <f>CONCATENATE(Z435," ",AC435)</f>
        <v>08-Infraestructura física, mantenimiento y dotación (Sedes construidas, mantenidas reforzadas) 016_Sedes mantenidas</v>
      </c>
      <c r="AE435" s="159" t="str">
        <f>CONCATENATE(U435,V435,W435,X435,AA435)</f>
        <v>O23011745992024020708016</v>
      </c>
      <c r="AF435" s="159" t="str">
        <f>IFERROR(VLOOKUP(AD435,TD!$J$66:$K$89,2,0)," ")</f>
        <v>PM/0131/0108/45990160207</v>
      </c>
      <c r="AG435" s="118" t="s">
        <v>385</v>
      </c>
      <c r="AH435" s="158" t="s">
        <v>193</v>
      </c>
      <c r="AI435" s="161" t="str">
        <f>CONCATENATE(PAA[[#This Row],[Id Interno]],"-",PAA[[#This Row],[tipo de Contrato (TH talento humano - B/S bienes y/o servicios)]],"-",S435,"-",T435,"-",PAA[[#This Row],[Objeto de la contratación]])</f>
        <v>20260401-TH-8126-9-Prestación de servicios de apoyo a la gestión en la ejecución de los planes y programas de servicio al ciudadano a cargo de la Subdirección de Gestión Corporativa.-SGC</v>
      </c>
    </row>
    <row r="436" spans="2:35" ht="56" x14ac:dyDescent="0.35">
      <c r="B436" s="23">
        <v>20260402</v>
      </c>
      <c r="C436" s="99" t="s">
        <v>685</v>
      </c>
      <c r="D436" s="23" t="s">
        <v>105</v>
      </c>
      <c r="E436" s="23" t="s">
        <v>363</v>
      </c>
      <c r="F436" s="155" t="s">
        <v>145</v>
      </c>
      <c r="G436" s="156" t="s">
        <v>373</v>
      </c>
      <c r="H436" s="157">
        <v>11</v>
      </c>
      <c r="I436" s="157">
        <v>0</v>
      </c>
      <c r="J436" s="127">
        <v>36128000</v>
      </c>
      <c r="K436" s="88" t="s">
        <v>398</v>
      </c>
      <c r="L436" s="155" t="s">
        <v>155</v>
      </c>
      <c r="M436" s="158" t="s">
        <v>422</v>
      </c>
      <c r="N436" s="23" t="s">
        <v>197</v>
      </c>
      <c r="O436" s="151" t="s">
        <v>957</v>
      </c>
      <c r="P436" s="155" t="s">
        <v>348</v>
      </c>
      <c r="Q436" s="100" t="s">
        <v>778</v>
      </c>
      <c r="R436" s="158" t="s">
        <v>208</v>
      </c>
      <c r="S436" s="158" t="str">
        <f>MID(PAA[[#This Row],[Meta Proyecto de Inversión]],1,4)</f>
        <v>8126</v>
      </c>
      <c r="T436" s="158" t="str">
        <f>MID(PAA[[#This Row],[Meta Proyecto de Inversión]],6,1)</f>
        <v>9</v>
      </c>
      <c r="U436" s="159" t="str">
        <f>IFERROR(VLOOKUP(N436,TD!$B$50:$F$54,2,0)," ")</f>
        <v>O230117</v>
      </c>
      <c r="V436" s="159" t="str">
        <f>IFERROR(VLOOKUP(N436,TD!$B$50:$F$54,3,0)," ")</f>
        <v>4599</v>
      </c>
      <c r="W436" s="159">
        <f>IFERROR(VLOOKUP(N436,TD!$B$50:$F$54,4,0)," ")</f>
        <v>20240207</v>
      </c>
      <c r="X436" s="158" t="s">
        <v>174</v>
      </c>
      <c r="Y436" s="159" t="str">
        <f>IFERROR(VLOOKUP(X436,TD!$J$51:$K$64,2,0)," ")</f>
        <v>Infraestructura física, mantenimiento y dotación (Sedes construidas, mantenidas reforzadas)</v>
      </c>
      <c r="Z436" s="160" t="str">
        <f>CONCATENATE(X436,"-",Y436)</f>
        <v>08-Infraestructura física, mantenimiento y dotación (Sedes construidas, mantenidas reforzadas)</v>
      </c>
      <c r="AA436" s="158" t="s">
        <v>227</v>
      </c>
      <c r="AB436" s="159" t="str">
        <f>IFERROR(VLOOKUP(AA436,TD!$N$51:$O$66,2,0)," ")</f>
        <v>Sedes mantenidas</v>
      </c>
      <c r="AC436" s="160" t="str">
        <f>CONCATENATE(AA436,"_",AB436)</f>
        <v>016_Sedes mantenidas</v>
      </c>
      <c r="AD436" s="160" t="str">
        <f>CONCATENATE(Z436," ",AC436)</f>
        <v>08-Infraestructura física, mantenimiento y dotación (Sedes construidas, mantenidas reforzadas) 016_Sedes mantenidas</v>
      </c>
      <c r="AE436" s="159" t="str">
        <f>CONCATENATE(U436,V436,W436,X436,AA436)</f>
        <v>O23011745992024020708016</v>
      </c>
      <c r="AF436" s="159" t="str">
        <f>IFERROR(VLOOKUP(AD436,TD!$J$66:$K$89,2,0)," ")</f>
        <v>PM/0131/0108/45990160207</v>
      </c>
      <c r="AG436" s="118" t="s">
        <v>385</v>
      </c>
      <c r="AH436" s="158" t="s">
        <v>193</v>
      </c>
      <c r="AI436" s="161" t="str">
        <f>CONCATENATE(PAA[[#This Row],[Id Interno]],"-",PAA[[#This Row],[tipo de Contrato (TH talento humano - B/S bienes y/o servicios)]],"-",S436,"-",T436,"-",PAA[[#This Row],[Objeto de la contratación]])</f>
        <v>20260402-TH-8126-9-Prestación de servicios de apoyo a la gestión en la ejecución de los planes y programas de servicio al ciudadano a cargo de la Subdirección de Gestión Corporativa.-SGC</v>
      </c>
    </row>
    <row r="437" spans="2:35" ht="56" x14ac:dyDescent="0.35">
      <c r="B437" s="23">
        <v>20260403</v>
      </c>
      <c r="C437" s="99" t="s">
        <v>685</v>
      </c>
      <c r="D437" s="23" t="s">
        <v>105</v>
      </c>
      <c r="E437" s="23" t="s">
        <v>363</v>
      </c>
      <c r="F437" s="155" t="s">
        <v>145</v>
      </c>
      <c r="G437" s="156" t="s">
        <v>373</v>
      </c>
      <c r="H437" s="157">
        <v>11</v>
      </c>
      <c r="I437" s="157">
        <v>0</v>
      </c>
      <c r="J437" s="127">
        <v>36128000</v>
      </c>
      <c r="K437" s="88" t="s">
        <v>398</v>
      </c>
      <c r="L437" s="155" t="s">
        <v>155</v>
      </c>
      <c r="M437" s="158" t="s">
        <v>422</v>
      </c>
      <c r="N437" s="23" t="s">
        <v>197</v>
      </c>
      <c r="O437" s="151" t="s">
        <v>957</v>
      </c>
      <c r="P437" s="155" t="s">
        <v>348</v>
      </c>
      <c r="Q437" s="100" t="s">
        <v>778</v>
      </c>
      <c r="R437" s="158" t="s">
        <v>208</v>
      </c>
      <c r="S437" s="158" t="str">
        <f>MID(PAA[[#This Row],[Meta Proyecto de Inversión]],1,4)</f>
        <v>8126</v>
      </c>
      <c r="T437" s="158" t="str">
        <f>MID(PAA[[#This Row],[Meta Proyecto de Inversión]],6,1)</f>
        <v>9</v>
      </c>
      <c r="U437" s="159" t="str">
        <f>IFERROR(VLOOKUP(N437,TD!$B$50:$F$54,2,0)," ")</f>
        <v>O230117</v>
      </c>
      <c r="V437" s="159" t="str">
        <f>IFERROR(VLOOKUP(N437,TD!$B$50:$F$54,3,0)," ")</f>
        <v>4599</v>
      </c>
      <c r="W437" s="159">
        <f>IFERROR(VLOOKUP(N437,TD!$B$50:$F$54,4,0)," ")</f>
        <v>20240207</v>
      </c>
      <c r="X437" s="158" t="s">
        <v>174</v>
      </c>
      <c r="Y437" s="159" t="str">
        <f>IFERROR(VLOOKUP(X437,TD!$J$51:$K$64,2,0)," ")</f>
        <v>Infraestructura física, mantenimiento y dotación (Sedes construidas, mantenidas reforzadas)</v>
      </c>
      <c r="Z437" s="160" t="str">
        <f>CONCATENATE(X437,"-",Y437)</f>
        <v>08-Infraestructura física, mantenimiento y dotación (Sedes construidas, mantenidas reforzadas)</v>
      </c>
      <c r="AA437" s="158" t="s">
        <v>227</v>
      </c>
      <c r="AB437" s="159" t="str">
        <f>IFERROR(VLOOKUP(AA437,TD!$N$51:$O$66,2,0)," ")</f>
        <v>Sedes mantenidas</v>
      </c>
      <c r="AC437" s="160" t="str">
        <f>CONCATENATE(AA437,"_",AB437)</f>
        <v>016_Sedes mantenidas</v>
      </c>
      <c r="AD437" s="160" t="str">
        <f>CONCATENATE(Z437," ",AC437)</f>
        <v>08-Infraestructura física, mantenimiento y dotación (Sedes construidas, mantenidas reforzadas) 016_Sedes mantenidas</v>
      </c>
      <c r="AE437" s="159" t="str">
        <f>CONCATENATE(U437,V437,W437,X437,AA437)</f>
        <v>O23011745992024020708016</v>
      </c>
      <c r="AF437" s="159" t="str">
        <f>IFERROR(VLOOKUP(AD437,TD!$J$66:$K$89,2,0)," ")</f>
        <v>PM/0131/0108/45990160207</v>
      </c>
      <c r="AG437" s="118" t="s">
        <v>385</v>
      </c>
      <c r="AH437" s="158" t="s">
        <v>193</v>
      </c>
      <c r="AI437" s="161" t="str">
        <f>CONCATENATE(PAA[[#This Row],[Id Interno]],"-",PAA[[#This Row],[tipo de Contrato (TH talento humano - B/S bienes y/o servicios)]],"-",S437,"-",T437,"-",PAA[[#This Row],[Objeto de la contratación]])</f>
        <v>20260403-TH-8126-9-Prestación de servicios de apoyo a la gestión en la ejecución de los planes y programas de servicio al ciudadano a cargo de la Subdirección de Gestión Corporativa.-SGC</v>
      </c>
    </row>
    <row r="438" spans="2:35" ht="56" x14ac:dyDescent="0.35">
      <c r="B438" s="23">
        <v>20260404</v>
      </c>
      <c r="C438" s="99" t="s">
        <v>685</v>
      </c>
      <c r="D438" s="23" t="s">
        <v>105</v>
      </c>
      <c r="E438" s="23" t="s">
        <v>363</v>
      </c>
      <c r="F438" s="155" t="s">
        <v>145</v>
      </c>
      <c r="G438" s="156" t="s">
        <v>373</v>
      </c>
      <c r="H438" s="157">
        <v>11</v>
      </c>
      <c r="I438" s="157">
        <v>0</v>
      </c>
      <c r="J438" s="127">
        <v>36128000</v>
      </c>
      <c r="K438" s="88" t="s">
        <v>398</v>
      </c>
      <c r="L438" s="155" t="s">
        <v>155</v>
      </c>
      <c r="M438" s="158" t="s">
        <v>422</v>
      </c>
      <c r="N438" s="23" t="s">
        <v>197</v>
      </c>
      <c r="O438" s="151" t="s">
        <v>957</v>
      </c>
      <c r="P438" s="155" t="s">
        <v>348</v>
      </c>
      <c r="Q438" s="53" t="s">
        <v>778</v>
      </c>
      <c r="R438" s="158" t="s">
        <v>208</v>
      </c>
      <c r="S438" s="158" t="str">
        <f>MID(PAA[[#This Row],[Meta Proyecto de Inversión]],1,4)</f>
        <v>8126</v>
      </c>
      <c r="T438" s="158" t="str">
        <f>MID(PAA[[#This Row],[Meta Proyecto de Inversión]],6,1)</f>
        <v>9</v>
      </c>
      <c r="U438" s="159" t="str">
        <f>IFERROR(VLOOKUP(N438,TD!$B$50:$F$54,2,0)," ")</f>
        <v>O230117</v>
      </c>
      <c r="V438" s="159" t="str">
        <f>IFERROR(VLOOKUP(N438,TD!$B$50:$F$54,3,0)," ")</f>
        <v>4599</v>
      </c>
      <c r="W438" s="159">
        <f>IFERROR(VLOOKUP(N438,TD!$B$50:$F$54,4,0)," ")</f>
        <v>20240207</v>
      </c>
      <c r="X438" s="158" t="s">
        <v>174</v>
      </c>
      <c r="Y438" s="159" t="str">
        <f>IFERROR(VLOOKUP(X438,TD!$J$51:$K$64,2,0)," ")</f>
        <v>Infraestructura física, mantenimiento y dotación (Sedes construidas, mantenidas reforzadas)</v>
      </c>
      <c r="Z438" s="160" t="str">
        <f>CONCATENATE(X438,"-",Y438)</f>
        <v>08-Infraestructura física, mantenimiento y dotación (Sedes construidas, mantenidas reforzadas)</v>
      </c>
      <c r="AA438" s="158" t="s">
        <v>227</v>
      </c>
      <c r="AB438" s="159" t="str">
        <f>IFERROR(VLOOKUP(AA438,TD!$N$51:$O$66,2,0)," ")</f>
        <v>Sedes mantenidas</v>
      </c>
      <c r="AC438" s="160" t="str">
        <f>CONCATENATE(AA438,"_",AB438)</f>
        <v>016_Sedes mantenidas</v>
      </c>
      <c r="AD438" s="160" t="str">
        <f>CONCATENATE(Z438," ",AC438)</f>
        <v>08-Infraestructura física, mantenimiento y dotación (Sedes construidas, mantenidas reforzadas) 016_Sedes mantenidas</v>
      </c>
      <c r="AE438" s="159" t="str">
        <f>CONCATENATE(U438,V438,W438,X438,AA438)</f>
        <v>O23011745992024020708016</v>
      </c>
      <c r="AF438" s="159" t="str">
        <f>IFERROR(VLOOKUP(AD438,TD!$J$66:$K$89,2,0)," ")</f>
        <v>PM/0131/0108/45990160207</v>
      </c>
      <c r="AG438" s="118" t="s">
        <v>385</v>
      </c>
      <c r="AH438" s="158" t="s">
        <v>193</v>
      </c>
      <c r="AI438" s="161" t="str">
        <f>CONCATENATE(PAA[[#This Row],[Id Interno]],"-",PAA[[#This Row],[tipo de Contrato (TH talento humano - B/S bienes y/o servicios)]],"-",S438,"-",T438,"-",PAA[[#This Row],[Objeto de la contratación]])</f>
        <v>20260404-TH-8126-9-Prestación de servicios de apoyo a la gestión en la ejecución de los planes y programas de servicio al ciudadano a cargo de la Subdirección de Gestión Corporativa.-SGC</v>
      </c>
    </row>
    <row r="439" spans="2:35" ht="56" x14ac:dyDescent="0.35">
      <c r="B439" s="23">
        <v>20260405</v>
      </c>
      <c r="C439" s="99" t="s">
        <v>685</v>
      </c>
      <c r="D439" s="23" t="s">
        <v>105</v>
      </c>
      <c r="E439" s="23" t="s">
        <v>363</v>
      </c>
      <c r="F439" s="155" t="s">
        <v>145</v>
      </c>
      <c r="G439" s="156" t="s">
        <v>373</v>
      </c>
      <c r="H439" s="157">
        <v>11</v>
      </c>
      <c r="I439" s="157">
        <v>0</v>
      </c>
      <c r="J439" s="127">
        <v>36128000</v>
      </c>
      <c r="K439" s="88" t="s">
        <v>398</v>
      </c>
      <c r="L439" s="155" t="s">
        <v>155</v>
      </c>
      <c r="M439" s="158" t="s">
        <v>422</v>
      </c>
      <c r="N439" s="23" t="s">
        <v>197</v>
      </c>
      <c r="O439" s="151" t="s">
        <v>957</v>
      </c>
      <c r="P439" s="155" t="s">
        <v>348</v>
      </c>
      <c r="Q439" s="53" t="s">
        <v>778</v>
      </c>
      <c r="R439" s="158" t="s">
        <v>208</v>
      </c>
      <c r="S439" s="158" t="str">
        <f>MID(PAA[[#This Row],[Meta Proyecto de Inversión]],1,4)</f>
        <v>8126</v>
      </c>
      <c r="T439" s="158" t="str">
        <f>MID(PAA[[#This Row],[Meta Proyecto de Inversión]],6,1)</f>
        <v>9</v>
      </c>
      <c r="U439" s="159" t="str">
        <f>IFERROR(VLOOKUP(N439,TD!$B$50:$F$54,2,0)," ")</f>
        <v>O230117</v>
      </c>
      <c r="V439" s="159" t="str">
        <f>IFERROR(VLOOKUP(N439,TD!$B$50:$F$54,3,0)," ")</f>
        <v>4599</v>
      </c>
      <c r="W439" s="159">
        <f>IFERROR(VLOOKUP(N439,TD!$B$50:$F$54,4,0)," ")</f>
        <v>20240207</v>
      </c>
      <c r="X439" s="158" t="s">
        <v>174</v>
      </c>
      <c r="Y439" s="159" t="str">
        <f>IFERROR(VLOOKUP(X439,TD!$J$51:$K$64,2,0)," ")</f>
        <v>Infraestructura física, mantenimiento y dotación (Sedes construidas, mantenidas reforzadas)</v>
      </c>
      <c r="Z439" s="160" t="str">
        <f>CONCATENATE(X439,"-",Y439)</f>
        <v>08-Infraestructura física, mantenimiento y dotación (Sedes construidas, mantenidas reforzadas)</v>
      </c>
      <c r="AA439" s="158" t="s">
        <v>227</v>
      </c>
      <c r="AB439" s="159" t="str">
        <f>IFERROR(VLOOKUP(AA439,TD!$N$51:$O$66,2,0)," ")</f>
        <v>Sedes mantenidas</v>
      </c>
      <c r="AC439" s="160" t="str">
        <f>CONCATENATE(AA439,"_",AB439)</f>
        <v>016_Sedes mantenidas</v>
      </c>
      <c r="AD439" s="160" t="str">
        <f>CONCATENATE(Z439," ",AC439)</f>
        <v>08-Infraestructura física, mantenimiento y dotación (Sedes construidas, mantenidas reforzadas) 016_Sedes mantenidas</v>
      </c>
      <c r="AE439" s="159" t="str">
        <f>CONCATENATE(U439,V439,W439,X439,AA439)</f>
        <v>O23011745992024020708016</v>
      </c>
      <c r="AF439" s="159" t="str">
        <f>IFERROR(VLOOKUP(AD439,TD!$J$66:$K$89,2,0)," ")</f>
        <v>PM/0131/0108/45990160207</v>
      </c>
      <c r="AG439" s="118" t="s">
        <v>385</v>
      </c>
      <c r="AH439" s="158" t="s">
        <v>193</v>
      </c>
      <c r="AI439" s="161" t="str">
        <f>CONCATENATE(PAA[[#This Row],[Id Interno]],"-",PAA[[#This Row],[tipo de Contrato (TH talento humano - B/S bienes y/o servicios)]],"-",S439,"-",T439,"-",PAA[[#This Row],[Objeto de la contratación]])</f>
        <v>20260405-TH-8126-9-Prestación de servicios de apoyo a la gestión en la ejecución de los planes y programas de servicio al ciudadano a cargo de la Subdirección de Gestión Corporativa.-SGC</v>
      </c>
    </row>
    <row r="440" spans="2:35" ht="56" x14ac:dyDescent="0.35">
      <c r="B440" s="23">
        <v>20260406</v>
      </c>
      <c r="C440" s="99" t="s">
        <v>685</v>
      </c>
      <c r="D440" s="23" t="s">
        <v>105</v>
      </c>
      <c r="E440" s="23" t="s">
        <v>363</v>
      </c>
      <c r="F440" s="155" t="s">
        <v>145</v>
      </c>
      <c r="G440" s="156" t="s">
        <v>373</v>
      </c>
      <c r="H440" s="157">
        <v>11</v>
      </c>
      <c r="I440" s="157">
        <v>0</v>
      </c>
      <c r="J440" s="127">
        <v>36128000</v>
      </c>
      <c r="K440" s="88" t="s">
        <v>398</v>
      </c>
      <c r="L440" s="155" t="s">
        <v>155</v>
      </c>
      <c r="M440" s="158" t="s">
        <v>422</v>
      </c>
      <c r="N440" s="23" t="s">
        <v>197</v>
      </c>
      <c r="O440" s="151" t="s">
        <v>957</v>
      </c>
      <c r="P440" s="155" t="s">
        <v>348</v>
      </c>
      <c r="Q440" s="53" t="s">
        <v>778</v>
      </c>
      <c r="R440" s="158" t="s">
        <v>208</v>
      </c>
      <c r="S440" s="158" t="str">
        <f>MID(PAA[[#This Row],[Meta Proyecto de Inversión]],1,4)</f>
        <v>8126</v>
      </c>
      <c r="T440" s="158" t="str">
        <f>MID(PAA[[#This Row],[Meta Proyecto de Inversión]],6,1)</f>
        <v>9</v>
      </c>
      <c r="U440" s="159" t="str">
        <f>IFERROR(VLOOKUP(N440,TD!$B$50:$F$54,2,0)," ")</f>
        <v>O230117</v>
      </c>
      <c r="V440" s="159" t="str">
        <f>IFERROR(VLOOKUP(N440,TD!$B$50:$F$54,3,0)," ")</f>
        <v>4599</v>
      </c>
      <c r="W440" s="159">
        <f>IFERROR(VLOOKUP(N440,TD!$B$50:$F$54,4,0)," ")</f>
        <v>20240207</v>
      </c>
      <c r="X440" s="158" t="s">
        <v>174</v>
      </c>
      <c r="Y440" s="159" t="str">
        <f>IFERROR(VLOOKUP(X440,TD!$J$51:$K$64,2,0)," ")</f>
        <v>Infraestructura física, mantenimiento y dotación (Sedes construidas, mantenidas reforzadas)</v>
      </c>
      <c r="Z440" s="160" t="str">
        <f>CONCATENATE(X440,"-",Y440)</f>
        <v>08-Infraestructura física, mantenimiento y dotación (Sedes construidas, mantenidas reforzadas)</v>
      </c>
      <c r="AA440" s="158" t="s">
        <v>227</v>
      </c>
      <c r="AB440" s="159" t="str">
        <f>IFERROR(VLOOKUP(AA440,TD!$N$51:$O$66,2,0)," ")</f>
        <v>Sedes mantenidas</v>
      </c>
      <c r="AC440" s="160" t="str">
        <f>CONCATENATE(AA440,"_",AB440)</f>
        <v>016_Sedes mantenidas</v>
      </c>
      <c r="AD440" s="160" t="str">
        <f>CONCATENATE(Z440," ",AC440)</f>
        <v>08-Infraestructura física, mantenimiento y dotación (Sedes construidas, mantenidas reforzadas) 016_Sedes mantenidas</v>
      </c>
      <c r="AE440" s="159" t="str">
        <f>CONCATENATE(U440,V440,W440,X440,AA440)</f>
        <v>O23011745992024020708016</v>
      </c>
      <c r="AF440" s="159" t="str">
        <f>IFERROR(VLOOKUP(AD440,TD!$J$66:$K$89,2,0)," ")</f>
        <v>PM/0131/0108/45990160207</v>
      </c>
      <c r="AG440" s="118" t="s">
        <v>385</v>
      </c>
      <c r="AH440" s="158" t="s">
        <v>193</v>
      </c>
      <c r="AI440" s="161" t="str">
        <f>CONCATENATE(PAA[[#This Row],[Id Interno]],"-",PAA[[#This Row],[tipo de Contrato (TH talento humano - B/S bienes y/o servicios)]],"-",S440,"-",T440,"-",PAA[[#This Row],[Objeto de la contratación]])</f>
        <v>20260406-TH-8126-9-Prestación de servicios de apoyo a la gestión en la ejecución de los planes y programas de servicio al ciudadano a cargo de la Subdirección de Gestión Corporativa.-SGC</v>
      </c>
    </row>
    <row r="441" spans="2:35" ht="56" x14ac:dyDescent="0.35">
      <c r="B441" s="23">
        <v>20260407</v>
      </c>
      <c r="C441" s="99" t="s">
        <v>685</v>
      </c>
      <c r="D441" s="23" t="s">
        <v>105</v>
      </c>
      <c r="E441" s="23" t="s">
        <v>363</v>
      </c>
      <c r="F441" s="155" t="s">
        <v>145</v>
      </c>
      <c r="G441" s="156" t="s">
        <v>373</v>
      </c>
      <c r="H441" s="157">
        <v>11</v>
      </c>
      <c r="I441" s="157">
        <v>0</v>
      </c>
      <c r="J441" s="127">
        <v>36128000</v>
      </c>
      <c r="K441" s="88" t="s">
        <v>398</v>
      </c>
      <c r="L441" s="155" t="s">
        <v>155</v>
      </c>
      <c r="M441" s="158" t="s">
        <v>422</v>
      </c>
      <c r="N441" s="23" t="s">
        <v>197</v>
      </c>
      <c r="O441" s="151" t="s">
        <v>957</v>
      </c>
      <c r="P441" s="155" t="s">
        <v>348</v>
      </c>
      <c r="Q441" s="53" t="s">
        <v>778</v>
      </c>
      <c r="R441" s="158" t="s">
        <v>208</v>
      </c>
      <c r="S441" s="158" t="str">
        <f>MID(PAA[[#This Row],[Meta Proyecto de Inversión]],1,4)</f>
        <v>8126</v>
      </c>
      <c r="T441" s="158" t="str">
        <f>MID(PAA[[#This Row],[Meta Proyecto de Inversión]],6,1)</f>
        <v>9</v>
      </c>
      <c r="U441" s="159" t="str">
        <f>IFERROR(VLOOKUP(N441,TD!$B$50:$F$54,2,0)," ")</f>
        <v>O230117</v>
      </c>
      <c r="V441" s="159" t="str">
        <f>IFERROR(VLOOKUP(N441,TD!$B$50:$F$54,3,0)," ")</f>
        <v>4599</v>
      </c>
      <c r="W441" s="159">
        <f>IFERROR(VLOOKUP(N441,TD!$B$50:$F$54,4,0)," ")</f>
        <v>20240207</v>
      </c>
      <c r="X441" s="158" t="s">
        <v>174</v>
      </c>
      <c r="Y441" s="159" t="str">
        <f>IFERROR(VLOOKUP(X441,TD!$J$51:$K$64,2,0)," ")</f>
        <v>Infraestructura física, mantenimiento y dotación (Sedes construidas, mantenidas reforzadas)</v>
      </c>
      <c r="Z441" s="160" t="str">
        <f>CONCATENATE(X441,"-",Y441)</f>
        <v>08-Infraestructura física, mantenimiento y dotación (Sedes construidas, mantenidas reforzadas)</v>
      </c>
      <c r="AA441" s="158" t="s">
        <v>227</v>
      </c>
      <c r="AB441" s="159" t="str">
        <f>IFERROR(VLOOKUP(AA441,TD!$N$51:$O$66,2,0)," ")</f>
        <v>Sedes mantenidas</v>
      </c>
      <c r="AC441" s="160" t="str">
        <f>CONCATENATE(AA441,"_",AB441)</f>
        <v>016_Sedes mantenidas</v>
      </c>
      <c r="AD441" s="160" t="str">
        <f>CONCATENATE(Z441," ",AC441)</f>
        <v>08-Infraestructura física, mantenimiento y dotación (Sedes construidas, mantenidas reforzadas) 016_Sedes mantenidas</v>
      </c>
      <c r="AE441" s="159" t="str">
        <f>CONCATENATE(U441,V441,W441,X441,AA441)</f>
        <v>O23011745992024020708016</v>
      </c>
      <c r="AF441" s="159" t="str">
        <f>IFERROR(VLOOKUP(AD441,TD!$J$66:$K$89,2,0)," ")</f>
        <v>PM/0131/0108/45990160207</v>
      </c>
      <c r="AG441" s="118" t="s">
        <v>385</v>
      </c>
      <c r="AH441" s="158" t="s">
        <v>193</v>
      </c>
      <c r="AI441" s="161" t="str">
        <f>CONCATENATE(PAA[[#This Row],[Id Interno]],"-",PAA[[#This Row],[tipo de Contrato (TH talento humano - B/S bienes y/o servicios)]],"-",S441,"-",T441,"-",PAA[[#This Row],[Objeto de la contratación]])</f>
        <v>20260407-TH-8126-9-Prestación de servicios de apoyo a la gestión en la ejecución de los planes y programas de servicio al ciudadano a cargo de la Subdirección de Gestión Corporativa.-SGC</v>
      </c>
    </row>
    <row r="442" spans="2:35" ht="56" x14ac:dyDescent="0.35">
      <c r="B442" s="23">
        <v>20260408</v>
      </c>
      <c r="C442" s="99" t="s">
        <v>687</v>
      </c>
      <c r="D442" s="23" t="s">
        <v>105</v>
      </c>
      <c r="E442" s="23" t="s">
        <v>363</v>
      </c>
      <c r="F442" s="155" t="s">
        <v>144</v>
      </c>
      <c r="G442" s="156" t="s">
        <v>373</v>
      </c>
      <c r="H442" s="157">
        <v>11</v>
      </c>
      <c r="I442" s="157">
        <v>0</v>
      </c>
      <c r="J442" s="127">
        <v>88000000</v>
      </c>
      <c r="K442" s="88" t="s">
        <v>398</v>
      </c>
      <c r="L442" s="155" t="s">
        <v>155</v>
      </c>
      <c r="M442" s="158" t="s">
        <v>422</v>
      </c>
      <c r="N442" s="23" t="s">
        <v>197</v>
      </c>
      <c r="O442" s="151" t="s">
        <v>957</v>
      </c>
      <c r="P442" s="155" t="s">
        <v>348</v>
      </c>
      <c r="Q442" s="53" t="s">
        <v>778</v>
      </c>
      <c r="R442" s="158" t="s">
        <v>208</v>
      </c>
      <c r="S442" s="158" t="str">
        <f>MID(PAA[[#This Row],[Meta Proyecto de Inversión]],1,4)</f>
        <v>8126</v>
      </c>
      <c r="T442" s="158" t="str">
        <f>MID(PAA[[#This Row],[Meta Proyecto de Inversión]],6,1)</f>
        <v>9</v>
      </c>
      <c r="U442" s="159" t="str">
        <f>IFERROR(VLOOKUP(N442,TD!$B$50:$F$54,2,0)," ")</f>
        <v>O230117</v>
      </c>
      <c r="V442" s="159" t="str">
        <f>IFERROR(VLOOKUP(N442,TD!$B$50:$F$54,3,0)," ")</f>
        <v>4599</v>
      </c>
      <c r="W442" s="159">
        <f>IFERROR(VLOOKUP(N442,TD!$B$50:$F$54,4,0)," ")</f>
        <v>20240207</v>
      </c>
      <c r="X442" s="158" t="s">
        <v>174</v>
      </c>
      <c r="Y442" s="159" t="str">
        <f>IFERROR(VLOOKUP(X442,TD!$J$51:$K$64,2,0)," ")</f>
        <v>Infraestructura física, mantenimiento y dotación (Sedes construidas, mantenidas reforzadas)</v>
      </c>
      <c r="Z442" s="160" t="str">
        <f>CONCATENATE(X442,"-",Y442)</f>
        <v>08-Infraestructura física, mantenimiento y dotación (Sedes construidas, mantenidas reforzadas)</v>
      </c>
      <c r="AA442" s="158" t="s">
        <v>227</v>
      </c>
      <c r="AB442" s="159" t="str">
        <f>IFERROR(VLOOKUP(AA442,TD!$N$51:$O$66,2,0)," ")</f>
        <v>Sedes mantenidas</v>
      </c>
      <c r="AC442" s="160" t="str">
        <f>CONCATENATE(AA442,"_",AB442)</f>
        <v>016_Sedes mantenidas</v>
      </c>
      <c r="AD442" s="160" t="str">
        <f>CONCATENATE(Z442," ",AC442)</f>
        <v>08-Infraestructura física, mantenimiento y dotación (Sedes construidas, mantenidas reforzadas) 016_Sedes mantenidas</v>
      </c>
      <c r="AE442" s="159" t="str">
        <f>CONCATENATE(U442,V442,W442,X442,AA442)</f>
        <v>O23011745992024020708016</v>
      </c>
      <c r="AF442" s="159" t="str">
        <f>IFERROR(VLOOKUP(AD442,TD!$J$66:$K$89,2,0)," ")</f>
        <v>PM/0131/0108/45990160207</v>
      </c>
      <c r="AG442" s="118" t="s">
        <v>385</v>
      </c>
      <c r="AH442" s="158" t="s">
        <v>193</v>
      </c>
      <c r="AI442" s="161" t="str">
        <f>CONCATENATE(PAA[[#This Row],[Id Interno]],"-",PAA[[#This Row],[tipo de Contrato (TH talento humano - B/S bienes y/o servicios)]],"-",S442,"-",T442,"-",PAA[[#This Row],[Objeto de la contratación]])</f>
        <v>20260408-TH-8126-9-Prestación de servicios profesionales en la Subdirección de Gestión Corporativa adelantando las actividades necesarias para la ejecución del programa y los procesos de seguros de la Entidad-SGC</v>
      </c>
    </row>
    <row r="443" spans="2:35" ht="56" x14ac:dyDescent="0.35">
      <c r="B443" s="23">
        <v>20260409</v>
      </c>
      <c r="C443" s="99" t="s">
        <v>688</v>
      </c>
      <c r="D443" s="23" t="s">
        <v>105</v>
      </c>
      <c r="E443" s="23" t="s">
        <v>363</v>
      </c>
      <c r="F443" s="155" t="s">
        <v>145</v>
      </c>
      <c r="G443" s="156" t="s">
        <v>373</v>
      </c>
      <c r="H443" s="157">
        <v>11</v>
      </c>
      <c r="I443" s="157">
        <v>0</v>
      </c>
      <c r="J443" s="127">
        <v>47187000</v>
      </c>
      <c r="K443" s="88" t="s">
        <v>398</v>
      </c>
      <c r="L443" s="155" t="s">
        <v>155</v>
      </c>
      <c r="M443" s="158" t="s">
        <v>422</v>
      </c>
      <c r="N443" s="23" t="s">
        <v>197</v>
      </c>
      <c r="O443" s="151" t="s">
        <v>957</v>
      </c>
      <c r="P443" s="155" t="s">
        <v>348</v>
      </c>
      <c r="Q443" s="53" t="s">
        <v>778</v>
      </c>
      <c r="R443" s="158" t="s">
        <v>208</v>
      </c>
      <c r="S443" s="158" t="str">
        <f>MID(PAA[[#This Row],[Meta Proyecto de Inversión]],1,4)</f>
        <v>8126</v>
      </c>
      <c r="T443" s="158" t="str">
        <f>MID(PAA[[#This Row],[Meta Proyecto de Inversión]],6,1)</f>
        <v>9</v>
      </c>
      <c r="U443" s="159" t="str">
        <f>IFERROR(VLOOKUP(N443,TD!$B$50:$F$54,2,0)," ")</f>
        <v>O230117</v>
      </c>
      <c r="V443" s="159" t="str">
        <f>IFERROR(VLOOKUP(N443,TD!$B$50:$F$54,3,0)," ")</f>
        <v>4599</v>
      </c>
      <c r="W443" s="159">
        <f>IFERROR(VLOOKUP(N443,TD!$B$50:$F$54,4,0)," ")</f>
        <v>20240207</v>
      </c>
      <c r="X443" s="158" t="s">
        <v>174</v>
      </c>
      <c r="Y443" s="159" t="str">
        <f>IFERROR(VLOOKUP(X443,TD!$J$51:$K$64,2,0)," ")</f>
        <v>Infraestructura física, mantenimiento y dotación (Sedes construidas, mantenidas reforzadas)</v>
      </c>
      <c r="Z443" s="160" t="str">
        <f>CONCATENATE(X443,"-",Y443)</f>
        <v>08-Infraestructura física, mantenimiento y dotación (Sedes construidas, mantenidas reforzadas)</v>
      </c>
      <c r="AA443" s="158" t="s">
        <v>227</v>
      </c>
      <c r="AB443" s="159" t="str">
        <f>IFERROR(VLOOKUP(AA443,TD!$N$51:$O$66,2,0)," ")</f>
        <v>Sedes mantenidas</v>
      </c>
      <c r="AC443" s="160" t="str">
        <f>CONCATENATE(AA443,"_",AB443)</f>
        <v>016_Sedes mantenidas</v>
      </c>
      <c r="AD443" s="160" t="str">
        <f>CONCATENATE(Z443," ",AC443)</f>
        <v>08-Infraestructura física, mantenimiento y dotación (Sedes construidas, mantenidas reforzadas) 016_Sedes mantenidas</v>
      </c>
      <c r="AE443" s="159" t="str">
        <f>CONCATENATE(U443,V443,W443,X443,AA443)</f>
        <v>O23011745992024020708016</v>
      </c>
      <c r="AF443" s="159" t="str">
        <f>IFERROR(VLOOKUP(AD443,TD!$J$66:$K$89,2,0)," ")</f>
        <v>PM/0131/0108/45990160207</v>
      </c>
      <c r="AG443" s="118" t="s">
        <v>385</v>
      </c>
      <c r="AH443" s="158" t="s">
        <v>193</v>
      </c>
      <c r="AI443" s="161" t="str">
        <f>CONCATENATE(PAA[[#This Row],[Id Interno]],"-",PAA[[#This Row],[tipo de Contrato (TH talento humano - B/S bienes y/o servicios)]],"-",S443,"-",T443,"-",PAA[[#This Row],[Objeto de la contratación]])</f>
        <v>20260409-TH-8126-9-Prestación de servicios de apoyo en la gestión de seguros de la Subdirección de Gestión Corporativa. –SGC</v>
      </c>
    </row>
    <row r="444" spans="2:35" ht="70" x14ac:dyDescent="0.35">
      <c r="B444" s="23">
        <v>20260410</v>
      </c>
      <c r="C444" s="99" t="s">
        <v>689</v>
      </c>
      <c r="D444" s="23" t="s">
        <v>105</v>
      </c>
      <c r="E444" s="23" t="s">
        <v>363</v>
      </c>
      <c r="F444" s="155" t="s">
        <v>144</v>
      </c>
      <c r="G444" s="156" t="s">
        <v>373</v>
      </c>
      <c r="H444" s="157">
        <v>11</v>
      </c>
      <c r="I444" s="157">
        <v>0</v>
      </c>
      <c r="J444" s="127">
        <v>56772000</v>
      </c>
      <c r="K444" s="88" t="s">
        <v>398</v>
      </c>
      <c r="L444" s="155" t="s">
        <v>155</v>
      </c>
      <c r="M444" s="158" t="s">
        <v>422</v>
      </c>
      <c r="N444" s="23" t="s">
        <v>197</v>
      </c>
      <c r="O444" s="151" t="s">
        <v>957</v>
      </c>
      <c r="P444" s="155" t="s">
        <v>348</v>
      </c>
      <c r="Q444" s="53" t="s">
        <v>778</v>
      </c>
      <c r="R444" s="158" t="s">
        <v>208</v>
      </c>
      <c r="S444" s="158" t="str">
        <f>MID(PAA[[#This Row],[Meta Proyecto de Inversión]],1,4)</f>
        <v>8126</v>
      </c>
      <c r="T444" s="158" t="str">
        <f>MID(PAA[[#This Row],[Meta Proyecto de Inversión]],6,1)</f>
        <v>9</v>
      </c>
      <c r="U444" s="159" t="str">
        <f>IFERROR(VLOOKUP(N444,TD!$B$50:$F$54,2,0)," ")</f>
        <v>O230117</v>
      </c>
      <c r="V444" s="159" t="str">
        <f>IFERROR(VLOOKUP(N444,TD!$B$50:$F$54,3,0)," ")</f>
        <v>4599</v>
      </c>
      <c r="W444" s="159">
        <f>IFERROR(VLOOKUP(N444,TD!$B$50:$F$54,4,0)," ")</f>
        <v>20240207</v>
      </c>
      <c r="X444" s="158" t="s">
        <v>174</v>
      </c>
      <c r="Y444" s="159" t="str">
        <f>IFERROR(VLOOKUP(X444,TD!$J$51:$K$64,2,0)," ")</f>
        <v>Infraestructura física, mantenimiento y dotación (Sedes construidas, mantenidas reforzadas)</v>
      </c>
      <c r="Z444" s="160" t="str">
        <f>CONCATENATE(X444,"-",Y444)</f>
        <v>08-Infraestructura física, mantenimiento y dotación (Sedes construidas, mantenidas reforzadas)</v>
      </c>
      <c r="AA444" s="158" t="s">
        <v>227</v>
      </c>
      <c r="AB444" s="159" t="str">
        <f>IFERROR(VLOOKUP(AA444,TD!$N$51:$O$66,2,0)," ")</f>
        <v>Sedes mantenidas</v>
      </c>
      <c r="AC444" s="160" t="str">
        <f>CONCATENATE(AA444,"_",AB444)</f>
        <v>016_Sedes mantenidas</v>
      </c>
      <c r="AD444" s="160" t="str">
        <f>CONCATENATE(Z444," ",AC444)</f>
        <v>08-Infraestructura física, mantenimiento y dotación (Sedes construidas, mantenidas reforzadas) 016_Sedes mantenidas</v>
      </c>
      <c r="AE444" s="159" t="str">
        <f>CONCATENATE(U444,V444,W444,X444,AA444)</f>
        <v>O23011745992024020708016</v>
      </c>
      <c r="AF444" s="159" t="str">
        <f>IFERROR(VLOOKUP(AD444,TD!$J$66:$K$89,2,0)," ")</f>
        <v>PM/0131/0108/45990160207</v>
      </c>
      <c r="AG444" s="118" t="s">
        <v>385</v>
      </c>
      <c r="AH444" s="158" t="s">
        <v>193</v>
      </c>
      <c r="AI444" s="161" t="str">
        <f>CONCATENATE(PAA[[#This Row],[Id Interno]],"-",PAA[[#This Row],[tipo de Contrato (TH talento humano - B/S bienes y/o servicios)]],"-",S444,"-",T444,"-",PAA[[#This Row],[Objeto de la contratación]])</f>
        <v>20260410-TH-8126-9-Prestación de servicios profesionales para apoyar a la Subdirección de Gestión Corporativa aplicando los procesos y procedimientos de seguros e inventarios -SGC</v>
      </c>
    </row>
    <row r="445" spans="2:35" ht="56" x14ac:dyDescent="0.35">
      <c r="B445" s="23">
        <v>20260411</v>
      </c>
      <c r="C445" s="99" t="s">
        <v>690</v>
      </c>
      <c r="D445" s="23" t="s">
        <v>105</v>
      </c>
      <c r="E445" s="23" t="s">
        <v>363</v>
      </c>
      <c r="F445" s="155" t="s">
        <v>145</v>
      </c>
      <c r="G445" s="156" t="s">
        <v>373</v>
      </c>
      <c r="H445" s="157">
        <v>11</v>
      </c>
      <c r="I445" s="157">
        <v>0</v>
      </c>
      <c r="J445" s="127">
        <v>36128000</v>
      </c>
      <c r="K445" s="88" t="s">
        <v>398</v>
      </c>
      <c r="L445" s="155" t="s">
        <v>155</v>
      </c>
      <c r="M445" s="158" t="s">
        <v>422</v>
      </c>
      <c r="N445" s="23" t="s">
        <v>197</v>
      </c>
      <c r="O445" s="151" t="s">
        <v>957</v>
      </c>
      <c r="P445" s="155" t="s">
        <v>348</v>
      </c>
      <c r="Q445" s="53" t="s">
        <v>778</v>
      </c>
      <c r="R445" s="158" t="s">
        <v>208</v>
      </c>
      <c r="S445" s="158" t="str">
        <f>MID(PAA[[#This Row],[Meta Proyecto de Inversión]],1,4)</f>
        <v>8126</v>
      </c>
      <c r="T445" s="158" t="str">
        <f>MID(PAA[[#This Row],[Meta Proyecto de Inversión]],6,1)</f>
        <v>9</v>
      </c>
      <c r="U445" s="159" t="str">
        <f>IFERROR(VLOOKUP(N445,TD!$B$50:$F$54,2,0)," ")</f>
        <v>O230117</v>
      </c>
      <c r="V445" s="159" t="str">
        <f>IFERROR(VLOOKUP(N445,TD!$B$50:$F$54,3,0)," ")</f>
        <v>4599</v>
      </c>
      <c r="W445" s="159">
        <f>IFERROR(VLOOKUP(N445,TD!$B$50:$F$54,4,0)," ")</f>
        <v>20240207</v>
      </c>
      <c r="X445" s="158" t="s">
        <v>174</v>
      </c>
      <c r="Y445" s="159" t="str">
        <f>IFERROR(VLOOKUP(X445,TD!$J$51:$K$64,2,0)," ")</f>
        <v>Infraestructura física, mantenimiento y dotación (Sedes construidas, mantenidas reforzadas)</v>
      </c>
      <c r="Z445" s="160" t="str">
        <f>CONCATENATE(X445,"-",Y445)</f>
        <v>08-Infraestructura física, mantenimiento y dotación (Sedes construidas, mantenidas reforzadas)</v>
      </c>
      <c r="AA445" s="158" t="s">
        <v>227</v>
      </c>
      <c r="AB445" s="159" t="str">
        <f>IFERROR(VLOOKUP(AA445,TD!$N$51:$O$66,2,0)," ")</f>
        <v>Sedes mantenidas</v>
      </c>
      <c r="AC445" s="160" t="str">
        <f>CONCATENATE(AA445,"_",AB445)</f>
        <v>016_Sedes mantenidas</v>
      </c>
      <c r="AD445" s="160" t="str">
        <f>CONCATENATE(Z445," ",AC445)</f>
        <v>08-Infraestructura física, mantenimiento y dotación (Sedes construidas, mantenidas reforzadas) 016_Sedes mantenidas</v>
      </c>
      <c r="AE445" s="159" t="str">
        <f>CONCATENATE(U445,V445,W445,X445,AA445)</f>
        <v>O23011745992024020708016</v>
      </c>
      <c r="AF445" s="159" t="str">
        <f>IFERROR(VLOOKUP(AD445,TD!$J$66:$K$89,2,0)," ")</f>
        <v>PM/0131/0108/45990160207</v>
      </c>
      <c r="AG445" s="118" t="s">
        <v>385</v>
      </c>
      <c r="AH445" s="158" t="s">
        <v>193</v>
      </c>
      <c r="AI445" s="161" t="str">
        <f>CONCATENATE(PAA[[#This Row],[Id Interno]],"-",PAA[[#This Row],[tipo de Contrato (TH talento humano - B/S bienes y/o servicios)]],"-",S445,"-",T445,"-",PAA[[#This Row],[Objeto de la contratación]])</f>
        <v>20260411-TH-8126-9-Prestación de servicios de apoyo a la gestión de seguros de la Subdirección de Gestión Corporativa. –SGC</v>
      </c>
    </row>
    <row r="446" spans="2:35" ht="56" x14ac:dyDescent="0.35">
      <c r="B446" s="99">
        <v>20260412</v>
      </c>
      <c r="C446" s="99" t="s">
        <v>691</v>
      </c>
      <c r="D446" s="99" t="s">
        <v>105</v>
      </c>
      <c r="E446" s="99" t="s">
        <v>363</v>
      </c>
      <c r="F446" s="156" t="s">
        <v>144</v>
      </c>
      <c r="G446" s="156" t="s">
        <v>373</v>
      </c>
      <c r="H446" s="163">
        <v>4</v>
      </c>
      <c r="I446" s="163">
        <v>0</v>
      </c>
      <c r="J446" s="118">
        <v>29491924</v>
      </c>
      <c r="K446" s="126" t="s">
        <v>398</v>
      </c>
      <c r="L446" s="156" t="s">
        <v>155</v>
      </c>
      <c r="M446" s="162" t="s">
        <v>422</v>
      </c>
      <c r="N446" s="99" t="s">
        <v>197</v>
      </c>
      <c r="O446" s="151" t="s">
        <v>957</v>
      </c>
      <c r="P446" s="156" t="s">
        <v>348</v>
      </c>
      <c r="Q446" s="128" t="s">
        <v>778</v>
      </c>
      <c r="R446" s="162" t="s">
        <v>208</v>
      </c>
      <c r="S446" s="158" t="str">
        <f>MID(PAA[[#This Row],[Meta Proyecto de Inversión]],1,4)</f>
        <v>8126</v>
      </c>
      <c r="T446" s="158" t="str">
        <f>MID(PAA[[#This Row],[Meta Proyecto de Inversión]],6,1)</f>
        <v>9</v>
      </c>
      <c r="U446" s="164" t="str">
        <f>IFERROR(VLOOKUP(N446,TD!$B$50:$F$54,2,0)," ")</f>
        <v>O230117</v>
      </c>
      <c r="V446" s="164" t="str">
        <f>IFERROR(VLOOKUP(N446,TD!$B$50:$F$54,3,0)," ")</f>
        <v>4599</v>
      </c>
      <c r="W446" s="164">
        <f>IFERROR(VLOOKUP(N446,TD!$B$50:$F$54,4,0)," ")</f>
        <v>20240207</v>
      </c>
      <c r="X446" s="162" t="s">
        <v>174</v>
      </c>
      <c r="Y446" s="164" t="str">
        <f>IFERROR(VLOOKUP(X446,TD!$J$51:$K$64,2,0)," ")</f>
        <v>Infraestructura física, mantenimiento y dotación (Sedes construidas, mantenidas reforzadas)</v>
      </c>
      <c r="Z446" s="160" t="str">
        <f>CONCATENATE(X446,"-",Y446)</f>
        <v>08-Infraestructura física, mantenimiento y dotación (Sedes construidas, mantenidas reforzadas)</v>
      </c>
      <c r="AA446" s="162" t="s">
        <v>227</v>
      </c>
      <c r="AB446" s="164" t="str">
        <f>IFERROR(VLOOKUP(AA446,TD!$N$51:$O$66,2,0)," ")</f>
        <v>Sedes mantenidas</v>
      </c>
      <c r="AC446" s="160" t="str">
        <f>CONCATENATE(AA446,"_",AB446)</f>
        <v>016_Sedes mantenidas</v>
      </c>
      <c r="AD446" s="160" t="str">
        <f>CONCATENATE(Z446," ",AC446)</f>
        <v>08-Infraestructura física, mantenimiento y dotación (Sedes construidas, mantenidas reforzadas) 016_Sedes mantenidas</v>
      </c>
      <c r="AE446" s="164" t="str">
        <f>CONCATENATE(U446,V446,W446,X446,AA446)</f>
        <v>O23011745992024020708016</v>
      </c>
      <c r="AF446" s="164" t="str">
        <f>IFERROR(VLOOKUP(AD446,TD!$J$66:$K$89,2,0)," ")</f>
        <v>PM/0131/0108/45990160207</v>
      </c>
      <c r="AG446" s="118" t="s">
        <v>385</v>
      </c>
      <c r="AH446" s="162" t="s">
        <v>193</v>
      </c>
      <c r="AI446" s="165" t="str">
        <f>CONCATENATE(PAA[[#This Row],[Id Interno]],"-",PAA[[#This Row],[tipo de Contrato (TH talento humano - B/S bienes y/o servicios)]],"-",S446,"-",T446,"-",PAA[[#This Row],[Objeto de la contratación]])</f>
        <v>20260412-TH-8126-9-Prestación de servicios profesionales en la Subdirección de Gestión Corporativa en las actividades relacionadas con MIPG-SGC</v>
      </c>
    </row>
    <row r="447" spans="2:35" ht="56" x14ac:dyDescent="0.35">
      <c r="B447" s="23">
        <v>20260414</v>
      </c>
      <c r="C447" s="99" t="s">
        <v>693</v>
      </c>
      <c r="D447" s="23" t="s">
        <v>105</v>
      </c>
      <c r="E447" s="23" t="s">
        <v>363</v>
      </c>
      <c r="F447" s="155" t="s">
        <v>145</v>
      </c>
      <c r="G447" s="156" t="s">
        <v>373</v>
      </c>
      <c r="H447" s="157">
        <v>11</v>
      </c>
      <c r="I447" s="157">
        <v>0</v>
      </c>
      <c r="J447" s="127">
        <v>30966000</v>
      </c>
      <c r="K447" s="88" t="s">
        <v>398</v>
      </c>
      <c r="L447" s="155" t="s">
        <v>155</v>
      </c>
      <c r="M447" s="158" t="s">
        <v>422</v>
      </c>
      <c r="N447" s="23" t="s">
        <v>197</v>
      </c>
      <c r="O447" s="151" t="s">
        <v>957</v>
      </c>
      <c r="P447" s="155" t="s">
        <v>348</v>
      </c>
      <c r="Q447" s="53" t="s">
        <v>778</v>
      </c>
      <c r="R447" s="158" t="s">
        <v>208</v>
      </c>
      <c r="S447" s="158" t="str">
        <f>MID(PAA[[#This Row],[Meta Proyecto de Inversión]],1,4)</f>
        <v>8126</v>
      </c>
      <c r="T447" s="158" t="str">
        <f>MID(PAA[[#This Row],[Meta Proyecto de Inversión]],6,1)</f>
        <v>9</v>
      </c>
      <c r="U447" s="159" t="str">
        <f>IFERROR(VLOOKUP(N447,TD!$B$50:$F$54,2,0)," ")</f>
        <v>O230117</v>
      </c>
      <c r="V447" s="159" t="str">
        <f>IFERROR(VLOOKUP(N447,TD!$B$50:$F$54,3,0)," ")</f>
        <v>4599</v>
      </c>
      <c r="W447" s="159">
        <f>IFERROR(VLOOKUP(N447,TD!$B$50:$F$54,4,0)," ")</f>
        <v>20240207</v>
      </c>
      <c r="X447" s="158" t="s">
        <v>174</v>
      </c>
      <c r="Y447" s="159" t="str">
        <f>IFERROR(VLOOKUP(X447,TD!$J$51:$K$64,2,0)," ")</f>
        <v>Infraestructura física, mantenimiento y dotación (Sedes construidas, mantenidas reforzadas)</v>
      </c>
      <c r="Z447" s="160" t="str">
        <f>CONCATENATE(X447,"-",Y447)</f>
        <v>08-Infraestructura física, mantenimiento y dotación (Sedes construidas, mantenidas reforzadas)</v>
      </c>
      <c r="AA447" s="158" t="s">
        <v>227</v>
      </c>
      <c r="AB447" s="159" t="str">
        <f>IFERROR(VLOOKUP(AA447,TD!$N$51:$O$66,2,0)," ")</f>
        <v>Sedes mantenidas</v>
      </c>
      <c r="AC447" s="160" t="str">
        <f>CONCATENATE(AA447,"_",AB447)</f>
        <v>016_Sedes mantenidas</v>
      </c>
      <c r="AD447" s="160" t="str">
        <f>CONCATENATE(Z447," ",AC447)</f>
        <v>08-Infraestructura física, mantenimiento y dotación (Sedes construidas, mantenidas reforzadas) 016_Sedes mantenidas</v>
      </c>
      <c r="AE447" s="159" t="str">
        <f>CONCATENATE(U447,V447,W447,X447,AA447)</f>
        <v>O23011745992024020708016</v>
      </c>
      <c r="AF447" s="159" t="str">
        <f>IFERROR(VLOOKUP(AD447,TD!$J$66:$K$89,2,0)," ")</f>
        <v>PM/0131/0108/45990160207</v>
      </c>
      <c r="AG447" s="118" t="s">
        <v>385</v>
      </c>
      <c r="AH447" s="158" t="s">
        <v>193</v>
      </c>
      <c r="AI447" s="161" t="str">
        <f>CONCATENATE(PAA[[#This Row],[Id Interno]],"-",PAA[[#This Row],[tipo de Contrato (TH talento humano - B/S bienes y/o servicios)]],"-",S447,"-",T447,"-",PAA[[#This Row],[Objeto de la contratación]])</f>
        <v>20260414-TH-8126-9-Prestación de servicios de apoyo a la gestión del proceso de inventarios de la Subdirección de Gestión Corporativa.-SGC</v>
      </c>
    </row>
    <row r="448" spans="2:35" ht="56" x14ac:dyDescent="0.35">
      <c r="B448" s="23">
        <v>20260415</v>
      </c>
      <c r="C448" s="99" t="s">
        <v>693</v>
      </c>
      <c r="D448" s="23" t="s">
        <v>105</v>
      </c>
      <c r="E448" s="23" t="s">
        <v>363</v>
      </c>
      <c r="F448" s="155" t="s">
        <v>145</v>
      </c>
      <c r="G448" s="156" t="s">
        <v>373</v>
      </c>
      <c r="H448" s="157">
        <v>11</v>
      </c>
      <c r="I448" s="157">
        <v>0</v>
      </c>
      <c r="J448" s="127">
        <v>30966000</v>
      </c>
      <c r="K448" s="88" t="s">
        <v>398</v>
      </c>
      <c r="L448" s="155" t="s">
        <v>155</v>
      </c>
      <c r="M448" s="158" t="s">
        <v>422</v>
      </c>
      <c r="N448" s="23" t="s">
        <v>197</v>
      </c>
      <c r="O448" s="151" t="s">
        <v>957</v>
      </c>
      <c r="P448" s="155" t="s">
        <v>348</v>
      </c>
      <c r="Q448" s="53" t="s">
        <v>778</v>
      </c>
      <c r="R448" s="158" t="s">
        <v>208</v>
      </c>
      <c r="S448" s="158" t="str">
        <f>MID(PAA[[#This Row],[Meta Proyecto de Inversión]],1,4)</f>
        <v>8126</v>
      </c>
      <c r="T448" s="158" t="str">
        <f>MID(PAA[[#This Row],[Meta Proyecto de Inversión]],6,1)</f>
        <v>9</v>
      </c>
      <c r="U448" s="159" t="str">
        <f>IFERROR(VLOOKUP(N448,TD!$B$50:$F$54,2,0)," ")</f>
        <v>O230117</v>
      </c>
      <c r="V448" s="159" t="str">
        <f>IFERROR(VLOOKUP(N448,TD!$B$50:$F$54,3,0)," ")</f>
        <v>4599</v>
      </c>
      <c r="W448" s="159">
        <f>IFERROR(VLOOKUP(N448,TD!$B$50:$F$54,4,0)," ")</f>
        <v>20240207</v>
      </c>
      <c r="X448" s="158" t="s">
        <v>174</v>
      </c>
      <c r="Y448" s="159" t="str">
        <f>IFERROR(VLOOKUP(X448,TD!$J$51:$K$64,2,0)," ")</f>
        <v>Infraestructura física, mantenimiento y dotación (Sedes construidas, mantenidas reforzadas)</v>
      </c>
      <c r="Z448" s="160" t="str">
        <f>CONCATENATE(X448,"-",Y448)</f>
        <v>08-Infraestructura física, mantenimiento y dotación (Sedes construidas, mantenidas reforzadas)</v>
      </c>
      <c r="AA448" s="158" t="s">
        <v>227</v>
      </c>
      <c r="AB448" s="159" t="str">
        <f>IFERROR(VLOOKUP(AA448,TD!$N$51:$O$66,2,0)," ")</f>
        <v>Sedes mantenidas</v>
      </c>
      <c r="AC448" s="160" t="str">
        <f>CONCATENATE(AA448,"_",AB448)</f>
        <v>016_Sedes mantenidas</v>
      </c>
      <c r="AD448" s="160" t="str">
        <f>CONCATENATE(Z448," ",AC448)</f>
        <v>08-Infraestructura física, mantenimiento y dotación (Sedes construidas, mantenidas reforzadas) 016_Sedes mantenidas</v>
      </c>
      <c r="AE448" s="159" t="str">
        <f>CONCATENATE(U448,V448,W448,X448,AA448)</f>
        <v>O23011745992024020708016</v>
      </c>
      <c r="AF448" s="159" t="str">
        <f>IFERROR(VLOOKUP(AD448,TD!$J$66:$K$89,2,0)," ")</f>
        <v>PM/0131/0108/45990160207</v>
      </c>
      <c r="AG448" s="118" t="s">
        <v>385</v>
      </c>
      <c r="AH448" s="158" t="s">
        <v>193</v>
      </c>
      <c r="AI448" s="161" t="str">
        <f>CONCATENATE(PAA[[#This Row],[Id Interno]],"-",PAA[[#This Row],[tipo de Contrato (TH talento humano - B/S bienes y/o servicios)]],"-",S448,"-",T448,"-",PAA[[#This Row],[Objeto de la contratación]])</f>
        <v>20260415-TH-8126-9-Prestación de servicios de apoyo a la gestión del proceso de inventarios de la Subdirección de Gestión Corporativa.-SGC</v>
      </c>
    </row>
    <row r="449" spans="2:35" ht="56" x14ac:dyDescent="0.35">
      <c r="B449" s="23">
        <v>20260416</v>
      </c>
      <c r="C449" s="99" t="s">
        <v>693</v>
      </c>
      <c r="D449" s="23" t="s">
        <v>105</v>
      </c>
      <c r="E449" s="23" t="s">
        <v>363</v>
      </c>
      <c r="F449" s="155" t="s">
        <v>145</v>
      </c>
      <c r="G449" s="156" t="s">
        <v>373</v>
      </c>
      <c r="H449" s="157">
        <v>11</v>
      </c>
      <c r="I449" s="157">
        <v>0</v>
      </c>
      <c r="J449" s="127">
        <v>30966000</v>
      </c>
      <c r="K449" s="88" t="s">
        <v>398</v>
      </c>
      <c r="L449" s="155" t="s">
        <v>155</v>
      </c>
      <c r="M449" s="158" t="s">
        <v>422</v>
      </c>
      <c r="N449" s="23" t="s">
        <v>197</v>
      </c>
      <c r="O449" s="151" t="s">
        <v>957</v>
      </c>
      <c r="P449" s="155" t="s">
        <v>348</v>
      </c>
      <c r="Q449" s="53" t="s">
        <v>778</v>
      </c>
      <c r="R449" s="158" t="s">
        <v>208</v>
      </c>
      <c r="S449" s="158" t="str">
        <f>MID(PAA[[#This Row],[Meta Proyecto de Inversión]],1,4)</f>
        <v>8126</v>
      </c>
      <c r="T449" s="158" t="str">
        <f>MID(PAA[[#This Row],[Meta Proyecto de Inversión]],6,1)</f>
        <v>9</v>
      </c>
      <c r="U449" s="159" t="str">
        <f>IFERROR(VLOOKUP(N449,TD!$B$50:$F$54,2,0)," ")</f>
        <v>O230117</v>
      </c>
      <c r="V449" s="159" t="str">
        <f>IFERROR(VLOOKUP(N449,TD!$B$50:$F$54,3,0)," ")</f>
        <v>4599</v>
      </c>
      <c r="W449" s="159">
        <f>IFERROR(VLOOKUP(N449,TD!$B$50:$F$54,4,0)," ")</f>
        <v>20240207</v>
      </c>
      <c r="X449" s="158" t="s">
        <v>174</v>
      </c>
      <c r="Y449" s="159" t="str">
        <f>IFERROR(VLOOKUP(X449,TD!$J$51:$K$64,2,0)," ")</f>
        <v>Infraestructura física, mantenimiento y dotación (Sedes construidas, mantenidas reforzadas)</v>
      </c>
      <c r="Z449" s="160" t="str">
        <f>CONCATENATE(X449,"-",Y449)</f>
        <v>08-Infraestructura física, mantenimiento y dotación (Sedes construidas, mantenidas reforzadas)</v>
      </c>
      <c r="AA449" s="158" t="s">
        <v>227</v>
      </c>
      <c r="AB449" s="159" t="str">
        <f>IFERROR(VLOOKUP(AA449,TD!$N$51:$O$66,2,0)," ")</f>
        <v>Sedes mantenidas</v>
      </c>
      <c r="AC449" s="160" t="str">
        <f>CONCATENATE(AA449,"_",AB449)</f>
        <v>016_Sedes mantenidas</v>
      </c>
      <c r="AD449" s="160" t="str">
        <f>CONCATENATE(Z449," ",AC449)</f>
        <v>08-Infraestructura física, mantenimiento y dotación (Sedes construidas, mantenidas reforzadas) 016_Sedes mantenidas</v>
      </c>
      <c r="AE449" s="159" t="str">
        <f>CONCATENATE(U449,V449,W449,X449,AA449)</f>
        <v>O23011745992024020708016</v>
      </c>
      <c r="AF449" s="159" t="str">
        <f>IFERROR(VLOOKUP(AD449,TD!$J$66:$K$89,2,0)," ")</f>
        <v>PM/0131/0108/45990160207</v>
      </c>
      <c r="AG449" s="118" t="s">
        <v>385</v>
      </c>
      <c r="AH449" s="158" t="s">
        <v>193</v>
      </c>
      <c r="AI449" s="161" t="str">
        <f>CONCATENATE(PAA[[#This Row],[Id Interno]],"-",PAA[[#This Row],[tipo de Contrato (TH talento humano - B/S bienes y/o servicios)]],"-",S449,"-",T449,"-",PAA[[#This Row],[Objeto de la contratación]])</f>
        <v>20260416-TH-8126-9-Prestación de servicios de apoyo a la gestión del proceso de inventarios de la Subdirección de Gestión Corporativa.-SGC</v>
      </c>
    </row>
    <row r="450" spans="2:35" ht="70" x14ac:dyDescent="0.35">
      <c r="B450" s="23">
        <v>20260417</v>
      </c>
      <c r="C450" s="99" t="s">
        <v>694</v>
      </c>
      <c r="D450" s="23" t="s">
        <v>105</v>
      </c>
      <c r="E450" s="23" t="s">
        <v>363</v>
      </c>
      <c r="F450" s="155" t="s">
        <v>144</v>
      </c>
      <c r="G450" s="156" t="s">
        <v>373</v>
      </c>
      <c r="H450" s="157">
        <v>11</v>
      </c>
      <c r="I450" s="157">
        <v>0</v>
      </c>
      <c r="J450" s="127">
        <v>102034000</v>
      </c>
      <c r="K450" s="88" t="s">
        <v>398</v>
      </c>
      <c r="L450" s="155" t="s">
        <v>155</v>
      </c>
      <c r="M450" s="158" t="s">
        <v>422</v>
      </c>
      <c r="N450" s="23" t="s">
        <v>197</v>
      </c>
      <c r="O450" s="151" t="s">
        <v>957</v>
      </c>
      <c r="P450" s="155" t="s">
        <v>348</v>
      </c>
      <c r="Q450" s="53" t="s">
        <v>778</v>
      </c>
      <c r="R450" s="158" t="s">
        <v>208</v>
      </c>
      <c r="S450" s="158" t="str">
        <f>MID(PAA[[#This Row],[Meta Proyecto de Inversión]],1,4)</f>
        <v>8126</v>
      </c>
      <c r="T450" s="158" t="str">
        <f>MID(PAA[[#This Row],[Meta Proyecto de Inversión]],6,1)</f>
        <v>9</v>
      </c>
      <c r="U450" s="159" t="str">
        <f>IFERROR(VLOOKUP(N450,TD!$B$50:$F$54,2,0)," ")</f>
        <v>O230117</v>
      </c>
      <c r="V450" s="159" t="str">
        <f>IFERROR(VLOOKUP(N450,TD!$B$50:$F$54,3,0)," ")</f>
        <v>4599</v>
      </c>
      <c r="W450" s="159">
        <f>IFERROR(VLOOKUP(N450,TD!$B$50:$F$54,4,0)," ")</f>
        <v>20240207</v>
      </c>
      <c r="X450" s="158" t="s">
        <v>174</v>
      </c>
      <c r="Y450" s="159" t="str">
        <f>IFERROR(VLOOKUP(X450,TD!$J$51:$K$64,2,0)," ")</f>
        <v>Infraestructura física, mantenimiento y dotación (Sedes construidas, mantenidas reforzadas)</v>
      </c>
      <c r="Z450" s="160" t="str">
        <f>CONCATENATE(X450,"-",Y450)</f>
        <v>08-Infraestructura física, mantenimiento y dotación (Sedes construidas, mantenidas reforzadas)</v>
      </c>
      <c r="AA450" s="158" t="s">
        <v>227</v>
      </c>
      <c r="AB450" s="159" t="str">
        <f>IFERROR(VLOOKUP(AA450,TD!$N$51:$O$66,2,0)," ")</f>
        <v>Sedes mantenidas</v>
      </c>
      <c r="AC450" s="160" t="str">
        <f>CONCATENATE(AA450,"_",AB450)</f>
        <v>016_Sedes mantenidas</v>
      </c>
      <c r="AD450" s="160" t="str">
        <f>CONCATENATE(Z450," ",AC450)</f>
        <v>08-Infraestructura física, mantenimiento y dotación (Sedes construidas, mantenidas reforzadas) 016_Sedes mantenidas</v>
      </c>
      <c r="AE450" s="159" t="str">
        <f>CONCATENATE(U450,V450,W450,X450,AA450)</f>
        <v>O23011745992024020708016</v>
      </c>
      <c r="AF450" s="159" t="str">
        <f>IFERROR(VLOOKUP(AD450,TD!$J$66:$K$89,2,0)," ")</f>
        <v>PM/0131/0108/45990160207</v>
      </c>
      <c r="AG450" s="118" t="s">
        <v>385</v>
      </c>
      <c r="AH450" s="158" t="s">
        <v>193</v>
      </c>
      <c r="AI450" s="161" t="str">
        <f>CONCATENATE(PAA[[#This Row],[Id Interno]],"-",PAA[[#This Row],[tipo de Contrato (TH talento humano - B/S bienes y/o servicios)]],"-",S450,"-",T450,"-",PAA[[#This Row],[Objeto de la contratación]])</f>
        <v>20260417-TH-8126-9-Prestar servicios profesionales en la Subdirección de Gestión Corporativa en lo relacionado con los procesos de inventarios, almacén y bajas-SGC</v>
      </c>
    </row>
    <row r="451" spans="2:35" ht="70" x14ac:dyDescent="0.35">
      <c r="B451" s="23">
        <v>20260418</v>
      </c>
      <c r="C451" s="99" t="s">
        <v>695</v>
      </c>
      <c r="D451" s="23" t="s">
        <v>105</v>
      </c>
      <c r="E451" s="23" t="s">
        <v>363</v>
      </c>
      <c r="F451" s="155" t="s">
        <v>144</v>
      </c>
      <c r="G451" s="156" t="s">
        <v>373</v>
      </c>
      <c r="H451" s="157">
        <v>11</v>
      </c>
      <c r="I451" s="157">
        <v>0</v>
      </c>
      <c r="J451" s="127">
        <v>82390000</v>
      </c>
      <c r="K451" s="88" t="s">
        <v>398</v>
      </c>
      <c r="L451" s="155" t="s">
        <v>155</v>
      </c>
      <c r="M451" s="158" t="s">
        <v>422</v>
      </c>
      <c r="N451" s="23" t="s">
        <v>197</v>
      </c>
      <c r="O451" s="151" t="s">
        <v>957</v>
      </c>
      <c r="P451" s="155" t="s">
        <v>348</v>
      </c>
      <c r="Q451" s="53" t="s">
        <v>778</v>
      </c>
      <c r="R451" s="158" t="s">
        <v>208</v>
      </c>
      <c r="S451" s="158" t="str">
        <f>MID(PAA[[#This Row],[Meta Proyecto de Inversión]],1,4)</f>
        <v>8126</v>
      </c>
      <c r="T451" s="158" t="str">
        <f>MID(PAA[[#This Row],[Meta Proyecto de Inversión]],6,1)</f>
        <v>9</v>
      </c>
      <c r="U451" s="159" t="str">
        <f>IFERROR(VLOOKUP(N451,TD!$B$50:$F$54,2,0)," ")</f>
        <v>O230117</v>
      </c>
      <c r="V451" s="159" t="str">
        <f>IFERROR(VLOOKUP(N451,TD!$B$50:$F$54,3,0)," ")</f>
        <v>4599</v>
      </c>
      <c r="W451" s="159">
        <f>IFERROR(VLOOKUP(N451,TD!$B$50:$F$54,4,0)," ")</f>
        <v>20240207</v>
      </c>
      <c r="X451" s="158" t="s">
        <v>174</v>
      </c>
      <c r="Y451" s="159" t="str">
        <f>IFERROR(VLOOKUP(X451,TD!$J$51:$K$64,2,0)," ")</f>
        <v>Infraestructura física, mantenimiento y dotación (Sedes construidas, mantenidas reforzadas)</v>
      </c>
      <c r="Z451" s="160" t="str">
        <f>CONCATENATE(X451,"-",Y451)</f>
        <v>08-Infraestructura física, mantenimiento y dotación (Sedes construidas, mantenidas reforzadas)</v>
      </c>
      <c r="AA451" s="158" t="s">
        <v>227</v>
      </c>
      <c r="AB451" s="159" t="str">
        <f>IFERROR(VLOOKUP(AA451,TD!$N$51:$O$66,2,0)," ")</f>
        <v>Sedes mantenidas</v>
      </c>
      <c r="AC451" s="160" t="str">
        <f>CONCATENATE(AA451,"_",AB451)</f>
        <v>016_Sedes mantenidas</v>
      </c>
      <c r="AD451" s="160" t="str">
        <f>CONCATENATE(Z451," ",AC451)</f>
        <v>08-Infraestructura física, mantenimiento y dotación (Sedes construidas, mantenidas reforzadas) 016_Sedes mantenidas</v>
      </c>
      <c r="AE451" s="159" t="str">
        <f>CONCATENATE(U451,V451,W451,X451,AA451)</f>
        <v>O23011745992024020708016</v>
      </c>
      <c r="AF451" s="159" t="str">
        <f>IFERROR(VLOOKUP(AD451,TD!$J$66:$K$89,2,0)," ")</f>
        <v>PM/0131/0108/45990160207</v>
      </c>
      <c r="AG451" s="118" t="s">
        <v>385</v>
      </c>
      <c r="AH451" s="158" t="s">
        <v>193</v>
      </c>
      <c r="AI451" s="161" t="str">
        <f>CONCATENATE(PAA[[#This Row],[Id Interno]],"-",PAA[[#This Row],[tipo de Contrato (TH talento humano - B/S bienes y/o servicios)]],"-",S451,"-",T451,"-",PAA[[#This Row],[Objeto de la contratación]])</f>
        <v>20260418-TH-8126-9-Prestar servicios profesionales para desarrollar e implementar sistemas de información, brindar soporte, mantenimiento y generar interoperabilidad con la Subdirección de Gestión Corporativa -SGC</v>
      </c>
    </row>
    <row r="452" spans="2:35" ht="70" x14ac:dyDescent="0.35">
      <c r="B452" s="23">
        <v>20260419</v>
      </c>
      <c r="C452" s="99" t="s">
        <v>696</v>
      </c>
      <c r="D452" s="23" t="s">
        <v>105</v>
      </c>
      <c r="E452" s="23" t="s">
        <v>363</v>
      </c>
      <c r="F452" s="155" t="s">
        <v>144</v>
      </c>
      <c r="G452" s="156" t="s">
        <v>373</v>
      </c>
      <c r="H452" s="157">
        <v>11</v>
      </c>
      <c r="I452" s="157">
        <v>0</v>
      </c>
      <c r="J452" s="127">
        <v>75204000</v>
      </c>
      <c r="K452" s="88" t="s">
        <v>398</v>
      </c>
      <c r="L452" s="155" t="s">
        <v>155</v>
      </c>
      <c r="M452" s="158" t="s">
        <v>422</v>
      </c>
      <c r="N452" s="23" t="s">
        <v>197</v>
      </c>
      <c r="O452" s="151" t="s">
        <v>957</v>
      </c>
      <c r="P452" s="155" t="s">
        <v>348</v>
      </c>
      <c r="Q452" s="53" t="s">
        <v>778</v>
      </c>
      <c r="R452" s="158" t="s">
        <v>208</v>
      </c>
      <c r="S452" s="158" t="str">
        <f>MID(PAA[[#This Row],[Meta Proyecto de Inversión]],1,4)</f>
        <v>8126</v>
      </c>
      <c r="T452" s="158" t="str">
        <f>MID(PAA[[#This Row],[Meta Proyecto de Inversión]],6,1)</f>
        <v>9</v>
      </c>
      <c r="U452" s="159" t="str">
        <f>IFERROR(VLOOKUP(N452,TD!$B$50:$F$54,2,0)," ")</f>
        <v>O230117</v>
      </c>
      <c r="V452" s="159" t="str">
        <f>IFERROR(VLOOKUP(N452,TD!$B$50:$F$54,3,0)," ")</f>
        <v>4599</v>
      </c>
      <c r="W452" s="159">
        <f>IFERROR(VLOOKUP(N452,TD!$B$50:$F$54,4,0)," ")</f>
        <v>20240207</v>
      </c>
      <c r="X452" s="158" t="s">
        <v>174</v>
      </c>
      <c r="Y452" s="159" t="str">
        <f>IFERROR(VLOOKUP(X452,TD!$J$51:$K$64,2,0)," ")</f>
        <v>Infraestructura física, mantenimiento y dotación (Sedes construidas, mantenidas reforzadas)</v>
      </c>
      <c r="Z452" s="160" t="str">
        <f>CONCATENATE(X452,"-",Y452)</f>
        <v>08-Infraestructura física, mantenimiento y dotación (Sedes construidas, mantenidas reforzadas)</v>
      </c>
      <c r="AA452" s="158" t="s">
        <v>227</v>
      </c>
      <c r="AB452" s="159" t="str">
        <f>IFERROR(VLOOKUP(AA452,TD!$N$51:$O$66,2,0)," ")</f>
        <v>Sedes mantenidas</v>
      </c>
      <c r="AC452" s="160" t="str">
        <f>CONCATENATE(AA452,"_",AB452)</f>
        <v>016_Sedes mantenidas</v>
      </c>
      <c r="AD452" s="160" t="str">
        <f>CONCATENATE(Z452," ",AC452)</f>
        <v>08-Infraestructura física, mantenimiento y dotación (Sedes construidas, mantenidas reforzadas) 016_Sedes mantenidas</v>
      </c>
      <c r="AE452" s="159" t="str">
        <f>CONCATENATE(U452,V452,W452,X452,AA452)</f>
        <v>O23011745992024020708016</v>
      </c>
      <c r="AF452" s="159" t="str">
        <f>IFERROR(VLOOKUP(AD452,TD!$J$66:$K$89,2,0)," ")</f>
        <v>PM/0131/0108/45990160207</v>
      </c>
      <c r="AG452" s="118" t="s">
        <v>385</v>
      </c>
      <c r="AH452" s="158" t="s">
        <v>193</v>
      </c>
      <c r="AI452" s="161" t="str">
        <f>CONCATENATE(PAA[[#This Row],[Id Interno]],"-",PAA[[#This Row],[tipo de Contrato (TH talento humano - B/S bienes y/o servicios)]],"-",S452,"-",T452,"-",PAA[[#This Row],[Objeto de la contratación]])</f>
        <v>20260419-TH-8126-9-Prestación de servicios profesionales para la ejecución de los procesos contables que se desarrollan en el Área Financiera de la UAE Cuerpo Oficial de Bomberos asignados. -SGC</v>
      </c>
    </row>
    <row r="453" spans="2:35" ht="70" x14ac:dyDescent="0.35">
      <c r="B453" s="23">
        <v>20260420</v>
      </c>
      <c r="C453" s="99" t="s">
        <v>697</v>
      </c>
      <c r="D453" s="23" t="s">
        <v>105</v>
      </c>
      <c r="E453" s="23" t="s">
        <v>363</v>
      </c>
      <c r="F453" s="155" t="s">
        <v>145</v>
      </c>
      <c r="G453" s="156" t="s">
        <v>373</v>
      </c>
      <c r="H453" s="157">
        <v>11</v>
      </c>
      <c r="I453" s="157">
        <v>0</v>
      </c>
      <c r="J453" s="127">
        <v>30966000</v>
      </c>
      <c r="K453" s="88" t="s">
        <v>398</v>
      </c>
      <c r="L453" s="155" t="s">
        <v>155</v>
      </c>
      <c r="M453" s="158" t="s">
        <v>422</v>
      </c>
      <c r="N453" s="23" t="s">
        <v>197</v>
      </c>
      <c r="O453" s="151" t="s">
        <v>957</v>
      </c>
      <c r="P453" s="155" t="s">
        <v>348</v>
      </c>
      <c r="Q453" s="53" t="s">
        <v>778</v>
      </c>
      <c r="R453" s="158" t="s">
        <v>208</v>
      </c>
      <c r="S453" s="158" t="str">
        <f>MID(PAA[[#This Row],[Meta Proyecto de Inversión]],1,4)</f>
        <v>8126</v>
      </c>
      <c r="T453" s="158" t="str">
        <f>MID(PAA[[#This Row],[Meta Proyecto de Inversión]],6,1)</f>
        <v>9</v>
      </c>
      <c r="U453" s="159" t="str">
        <f>IFERROR(VLOOKUP(N453,TD!$B$50:$F$54,2,0)," ")</f>
        <v>O230117</v>
      </c>
      <c r="V453" s="159" t="str">
        <f>IFERROR(VLOOKUP(N453,TD!$B$50:$F$54,3,0)," ")</f>
        <v>4599</v>
      </c>
      <c r="W453" s="159">
        <f>IFERROR(VLOOKUP(N453,TD!$B$50:$F$54,4,0)," ")</f>
        <v>20240207</v>
      </c>
      <c r="X453" s="158" t="s">
        <v>174</v>
      </c>
      <c r="Y453" s="159" t="str">
        <f>IFERROR(VLOOKUP(X453,TD!$J$51:$K$64,2,0)," ")</f>
        <v>Infraestructura física, mantenimiento y dotación (Sedes construidas, mantenidas reforzadas)</v>
      </c>
      <c r="Z453" s="160" t="str">
        <f>CONCATENATE(X453,"-",Y453)</f>
        <v>08-Infraestructura física, mantenimiento y dotación (Sedes construidas, mantenidas reforzadas)</v>
      </c>
      <c r="AA453" s="158" t="s">
        <v>227</v>
      </c>
      <c r="AB453" s="159" t="str">
        <f>IFERROR(VLOOKUP(AA453,TD!$N$51:$O$66,2,0)," ")</f>
        <v>Sedes mantenidas</v>
      </c>
      <c r="AC453" s="160" t="str">
        <f>CONCATENATE(AA453,"_",AB453)</f>
        <v>016_Sedes mantenidas</v>
      </c>
      <c r="AD453" s="160" t="str">
        <f>CONCATENATE(Z453," ",AC453)</f>
        <v>08-Infraestructura física, mantenimiento y dotación (Sedes construidas, mantenidas reforzadas) 016_Sedes mantenidas</v>
      </c>
      <c r="AE453" s="159" t="str">
        <f>CONCATENATE(U453,V453,W453,X453,AA453)</f>
        <v>O23011745992024020708016</v>
      </c>
      <c r="AF453" s="159" t="str">
        <f>IFERROR(VLOOKUP(AD453,TD!$J$66:$K$89,2,0)," ")</f>
        <v>PM/0131/0108/45990160207</v>
      </c>
      <c r="AG453" s="118" t="s">
        <v>385</v>
      </c>
      <c r="AH453" s="158" t="s">
        <v>193</v>
      </c>
      <c r="AI453" s="161" t="str">
        <f>CONCATENATE(PAA[[#This Row],[Id Interno]],"-",PAA[[#This Row],[tipo de Contrato (TH talento humano - B/S bienes y/o servicios)]],"-",S453,"-",T453,"-",PAA[[#This Row],[Objeto de la contratación]])</f>
        <v>20260420-TH-8126-9-Prestación de servicios de apoyo a la gestión documental de la Subdirección de Gestión Corporativa de la Unidad.-SGC.</v>
      </c>
    </row>
    <row r="454" spans="2:35" ht="56" x14ac:dyDescent="0.35">
      <c r="B454" s="23">
        <v>20260422</v>
      </c>
      <c r="C454" s="99" t="s">
        <v>698</v>
      </c>
      <c r="D454" s="23" t="s">
        <v>105</v>
      </c>
      <c r="E454" s="23" t="s">
        <v>363</v>
      </c>
      <c r="F454" s="155" t="s">
        <v>145</v>
      </c>
      <c r="G454" s="156" t="s">
        <v>373</v>
      </c>
      <c r="H454" s="157">
        <v>11</v>
      </c>
      <c r="I454" s="157">
        <v>0</v>
      </c>
      <c r="J454" s="127">
        <v>40551000</v>
      </c>
      <c r="K454" s="88" t="s">
        <v>398</v>
      </c>
      <c r="L454" s="155" t="s">
        <v>155</v>
      </c>
      <c r="M454" s="158" t="s">
        <v>422</v>
      </c>
      <c r="N454" s="23" t="s">
        <v>197</v>
      </c>
      <c r="O454" s="151" t="s">
        <v>957</v>
      </c>
      <c r="P454" s="155" t="s">
        <v>348</v>
      </c>
      <c r="Q454" s="53" t="s">
        <v>778</v>
      </c>
      <c r="R454" s="158" t="s">
        <v>208</v>
      </c>
      <c r="S454" s="158" t="str">
        <f>MID(PAA[[#This Row],[Meta Proyecto de Inversión]],1,4)</f>
        <v>8126</v>
      </c>
      <c r="T454" s="158" t="str">
        <f>MID(PAA[[#This Row],[Meta Proyecto de Inversión]],6,1)</f>
        <v>9</v>
      </c>
      <c r="U454" s="159" t="str">
        <f>IFERROR(VLOOKUP(N454,TD!$B$50:$F$54,2,0)," ")</f>
        <v>O230117</v>
      </c>
      <c r="V454" s="159" t="str">
        <f>IFERROR(VLOOKUP(N454,TD!$B$50:$F$54,3,0)," ")</f>
        <v>4599</v>
      </c>
      <c r="W454" s="159">
        <f>IFERROR(VLOOKUP(N454,TD!$B$50:$F$54,4,0)," ")</f>
        <v>20240207</v>
      </c>
      <c r="X454" s="158" t="s">
        <v>174</v>
      </c>
      <c r="Y454" s="159" t="str">
        <f>IFERROR(VLOOKUP(X454,TD!$J$51:$K$64,2,0)," ")</f>
        <v>Infraestructura física, mantenimiento y dotación (Sedes construidas, mantenidas reforzadas)</v>
      </c>
      <c r="Z454" s="160" t="str">
        <f>CONCATENATE(X454,"-",Y454)</f>
        <v>08-Infraestructura física, mantenimiento y dotación (Sedes construidas, mantenidas reforzadas)</v>
      </c>
      <c r="AA454" s="158" t="s">
        <v>227</v>
      </c>
      <c r="AB454" s="159" t="str">
        <f>IFERROR(VLOOKUP(AA454,TD!$N$51:$O$66,2,0)," ")</f>
        <v>Sedes mantenidas</v>
      </c>
      <c r="AC454" s="160" t="str">
        <f>CONCATENATE(AA454,"_",AB454)</f>
        <v>016_Sedes mantenidas</v>
      </c>
      <c r="AD454" s="160" t="str">
        <f>CONCATENATE(Z454," ",AC454)</f>
        <v>08-Infraestructura física, mantenimiento y dotación (Sedes construidas, mantenidas reforzadas) 016_Sedes mantenidas</v>
      </c>
      <c r="AE454" s="159" t="str">
        <f>CONCATENATE(U454,V454,W454,X454,AA454)</f>
        <v>O23011745992024020708016</v>
      </c>
      <c r="AF454" s="159" t="str">
        <f>IFERROR(VLOOKUP(AD454,TD!$J$66:$K$89,2,0)," ")</f>
        <v>PM/0131/0108/45990160207</v>
      </c>
      <c r="AG454" s="118" t="s">
        <v>385</v>
      </c>
      <c r="AH454" s="158" t="s">
        <v>193</v>
      </c>
      <c r="AI454" s="161" t="str">
        <f>CONCATENATE(PAA[[#This Row],[Id Interno]],"-",PAA[[#This Row],[tipo de Contrato (TH talento humano - B/S bienes y/o servicios)]],"-",S454,"-",T454,"-",PAA[[#This Row],[Objeto de la contratación]])</f>
        <v>20260422-TH-8126-9-Prestación de servicios de apoyo a la gestión documental de la Subdirección de Gestión Corporativa de la Unidad.-SGC</v>
      </c>
    </row>
    <row r="455" spans="2:35" ht="56" x14ac:dyDescent="0.35">
      <c r="B455" s="23">
        <v>20260423</v>
      </c>
      <c r="C455" s="99" t="s">
        <v>698</v>
      </c>
      <c r="D455" s="23" t="s">
        <v>105</v>
      </c>
      <c r="E455" s="23" t="s">
        <v>363</v>
      </c>
      <c r="F455" s="155" t="s">
        <v>145</v>
      </c>
      <c r="G455" s="156" t="s">
        <v>373</v>
      </c>
      <c r="H455" s="157">
        <v>11</v>
      </c>
      <c r="I455" s="157">
        <v>0</v>
      </c>
      <c r="J455" s="127">
        <v>30966000</v>
      </c>
      <c r="K455" s="88" t="s">
        <v>398</v>
      </c>
      <c r="L455" s="155" t="s">
        <v>155</v>
      </c>
      <c r="M455" s="158" t="s">
        <v>422</v>
      </c>
      <c r="N455" s="23" t="s">
        <v>197</v>
      </c>
      <c r="O455" s="151" t="s">
        <v>957</v>
      </c>
      <c r="P455" s="155" t="s">
        <v>348</v>
      </c>
      <c r="Q455" s="53" t="s">
        <v>778</v>
      </c>
      <c r="R455" s="158" t="s">
        <v>208</v>
      </c>
      <c r="S455" s="158" t="str">
        <f>MID(PAA[[#This Row],[Meta Proyecto de Inversión]],1,4)</f>
        <v>8126</v>
      </c>
      <c r="T455" s="158" t="str">
        <f>MID(PAA[[#This Row],[Meta Proyecto de Inversión]],6,1)</f>
        <v>9</v>
      </c>
      <c r="U455" s="159" t="str">
        <f>IFERROR(VLOOKUP(N455,TD!$B$50:$F$54,2,0)," ")</f>
        <v>O230117</v>
      </c>
      <c r="V455" s="159" t="str">
        <f>IFERROR(VLOOKUP(N455,TD!$B$50:$F$54,3,0)," ")</f>
        <v>4599</v>
      </c>
      <c r="W455" s="159">
        <f>IFERROR(VLOOKUP(N455,TD!$B$50:$F$54,4,0)," ")</f>
        <v>20240207</v>
      </c>
      <c r="X455" s="158" t="s">
        <v>174</v>
      </c>
      <c r="Y455" s="159" t="str">
        <f>IFERROR(VLOOKUP(X455,TD!$J$51:$K$64,2,0)," ")</f>
        <v>Infraestructura física, mantenimiento y dotación (Sedes construidas, mantenidas reforzadas)</v>
      </c>
      <c r="Z455" s="160" t="str">
        <f>CONCATENATE(X455,"-",Y455)</f>
        <v>08-Infraestructura física, mantenimiento y dotación (Sedes construidas, mantenidas reforzadas)</v>
      </c>
      <c r="AA455" s="158" t="s">
        <v>227</v>
      </c>
      <c r="AB455" s="159" t="str">
        <f>IFERROR(VLOOKUP(AA455,TD!$N$51:$O$66,2,0)," ")</f>
        <v>Sedes mantenidas</v>
      </c>
      <c r="AC455" s="160" t="str">
        <f>CONCATENATE(AA455,"_",AB455)</f>
        <v>016_Sedes mantenidas</v>
      </c>
      <c r="AD455" s="160" t="str">
        <f>CONCATENATE(Z455," ",AC455)</f>
        <v>08-Infraestructura física, mantenimiento y dotación (Sedes construidas, mantenidas reforzadas) 016_Sedes mantenidas</v>
      </c>
      <c r="AE455" s="159" t="str">
        <f>CONCATENATE(U455,V455,W455,X455,AA455)</f>
        <v>O23011745992024020708016</v>
      </c>
      <c r="AF455" s="159" t="str">
        <f>IFERROR(VLOOKUP(AD455,TD!$J$66:$K$89,2,0)," ")</f>
        <v>PM/0131/0108/45990160207</v>
      </c>
      <c r="AG455" s="118" t="s">
        <v>385</v>
      </c>
      <c r="AH455" s="158" t="s">
        <v>193</v>
      </c>
      <c r="AI455" s="161" t="str">
        <f>CONCATENATE(PAA[[#This Row],[Id Interno]],"-",PAA[[#This Row],[tipo de Contrato (TH talento humano - B/S bienes y/o servicios)]],"-",S455,"-",T455,"-",PAA[[#This Row],[Objeto de la contratación]])</f>
        <v>20260423-TH-8126-9-Prestación de servicios de apoyo a la gestión documental de la Subdirección de Gestión Corporativa de la Unidad.-SGC</v>
      </c>
    </row>
    <row r="456" spans="2:35" ht="56" x14ac:dyDescent="0.35">
      <c r="B456" s="23">
        <v>20260424</v>
      </c>
      <c r="C456" s="99" t="s">
        <v>698</v>
      </c>
      <c r="D456" s="23" t="s">
        <v>105</v>
      </c>
      <c r="E456" s="23" t="s">
        <v>363</v>
      </c>
      <c r="F456" s="155" t="s">
        <v>145</v>
      </c>
      <c r="G456" s="156" t="s">
        <v>373</v>
      </c>
      <c r="H456" s="157">
        <v>11</v>
      </c>
      <c r="I456" s="157">
        <v>0</v>
      </c>
      <c r="J456" s="127">
        <v>34100000</v>
      </c>
      <c r="K456" s="88" t="s">
        <v>398</v>
      </c>
      <c r="L456" s="155" t="s">
        <v>155</v>
      </c>
      <c r="M456" s="158" t="s">
        <v>422</v>
      </c>
      <c r="N456" s="23" t="s">
        <v>197</v>
      </c>
      <c r="O456" s="151" t="s">
        <v>957</v>
      </c>
      <c r="P456" s="155" t="s">
        <v>348</v>
      </c>
      <c r="Q456" s="53" t="s">
        <v>778</v>
      </c>
      <c r="R456" s="158" t="s">
        <v>208</v>
      </c>
      <c r="S456" s="158" t="str">
        <f>MID(PAA[[#This Row],[Meta Proyecto de Inversión]],1,4)</f>
        <v>8126</v>
      </c>
      <c r="T456" s="158" t="str">
        <f>MID(PAA[[#This Row],[Meta Proyecto de Inversión]],6,1)</f>
        <v>9</v>
      </c>
      <c r="U456" s="159" t="str">
        <f>IFERROR(VLOOKUP(N456,TD!$B$50:$F$54,2,0)," ")</f>
        <v>O230117</v>
      </c>
      <c r="V456" s="159" t="str">
        <f>IFERROR(VLOOKUP(N456,TD!$B$50:$F$54,3,0)," ")</f>
        <v>4599</v>
      </c>
      <c r="W456" s="159">
        <f>IFERROR(VLOOKUP(N456,TD!$B$50:$F$54,4,0)," ")</f>
        <v>20240207</v>
      </c>
      <c r="X456" s="158" t="s">
        <v>174</v>
      </c>
      <c r="Y456" s="159" t="str">
        <f>IFERROR(VLOOKUP(X456,TD!$J$51:$K$64,2,0)," ")</f>
        <v>Infraestructura física, mantenimiento y dotación (Sedes construidas, mantenidas reforzadas)</v>
      </c>
      <c r="Z456" s="160" t="str">
        <f>CONCATENATE(X456,"-",Y456)</f>
        <v>08-Infraestructura física, mantenimiento y dotación (Sedes construidas, mantenidas reforzadas)</v>
      </c>
      <c r="AA456" s="158" t="s">
        <v>227</v>
      </c>
      <c r="AB456" s="159" t="str">
        <f>IFERROR(VLOOKUP(AA456,TD!$N$51:$O$66,2,0)," ")</f>
        <v>Sedes mantenidas</v>
      </c>
      <c r="AC456" s="160" t="str">
        <f>CONCATENATE(AA456,"_",AB456)</f>
        <v>016_Sedes mantenidas</v>
      </c>
      <c r="AD456" s="160" t="str">
        <f>CONCATENATE(Z456," ",AC456)</f>
        <v>08-Infraestructura física, mantenimiento y dotación (Sedes construidas, mantenidas reforzadas) 016_Sedes mantenidas</v>
      </c>
      <c r="AE456" s="159" t="str">
        <f>CONCATENATE(U456,V456,W456,X456,AA456)</f>
        <v>O23011745992024020708016</v>
      </c>
      <c r="AF456" s="159" t="str">
        <f>IFERROR(VLOOKUP(AD456,TD!$J$66:$K$89,2,0)," ")</f>
        <v>PM/0131/0108/45990160207</v>
      </c>
      <c r="AG456" s="118" t="s">
        <v>385</v>
      </c>
      <c r="AH456" s="158" t="s">
        <v>193</v>
      </c>
      <c r="AI456" s="161" t="str">
        <f>CONCATENATE(PAA[[#This Row],[Id Interno]],"-",PAA[[#This Row],[tipo de Contrato (TH talento humano - B/S bienes y/o servicios)]],"-",S456,"-",T456,"-",PAA[[#This Row],[Objeto de la contratación]])</f>
        <v>20260424-TH-8126-9-Prestación de servicios de apoyo a la gestión documental de la Subdirección de Gestión Corporativa de la Unidad.-SGC</v>
      </c>
    </row>
    <row r="457" spans="2:35" ht="56" x14ac:dyDescent="0.35">
      <c r="B457" s="23">
        <v>20260425</v>
      </c>
      <c r="C457" s="99" t="s">
        <v>699</v>
      </c>
      <c r="D457" s="23" t="s">
        <v>105</v>
      </c>
      <c r="E457" s="23" t="s">
        <v>363</v>
      </c>
      <c r="F457" s="155" t="s">
        <v>144</v>
      </c>
      <c r="G457" s="156" t="s">
        <v>373</v>
      </c>
      <c r="H457" s="157">
        <v>11</v>
      </c>
      <c r="I457" s="157">
        <v>0</v>
      </c>
      <c r="J457" s="127">
        <v>56772000</v>
      </c>
      <c r="K457" s="88" t="s">
        <v>398</v>
      </c>
      <c r="L457" s="155" t="s">
        <v>155</v>
      </c>
      <c r="M457" s="158" t="s">
        <v>422</v>
      </c>
      <c r="N457" s="23" t="s">
        <v>197</v>
      </c>
      <c r="O457" s="151" t="s">
        <v>957</v>
      </c>
      <c r="P457" s="155" t="s">
        <v>348</v>
      </c>
      <c r="Q457" s="53" t="s">
        <v>778</v>
      </c>
      <c r="R457" s="158" t="s">
        <v>208</v>
      </c>
      <c r="S457" s="158" t="str">
        <f>MID(PAA[[#This Row],[Meta Proyecto de Inversión]],1,4)</f>
        <v>8126</v>
      </c>
      <c r="T457" s="158" t="str">
        <f>MID(PAA[[#This Row],[Meta Proyecto de Inversión]],6,1)</f>
        <v>9</v>
      </c>
      <c r="U457" s="159" t="str">
        <f>IFERROR(VLOOKUP(N457,TD!$B$50:$F$54,2,0)," ")</f>
        <v>O230117</v>
      </c>
      <c r="V457" s="159" t="str">
        <f>IFERROR(VLOOKUP(N457,TD!$B$50:$F$54,3,0)," ")</f>
        <v>4599</v>
      </c>
      <c r="W457" s="159">
        <f>IFERROR(VLOOKUP(N457,TD!$B$50:$F$54,4,0)," ")</f>
        <v>20240207</v>
      </c>
      <c r="X457" s="158" t="s">
        <v>174</v>
      </c>
      <c r="Y457" s="159" t="str">
        <f>IFERROR(VLOOKUP(X457,TD!$J$51:$K$64,2,0)," ")</f>
        <v>Infraestructura física, mantenimiento y dotación (Sedes construidas, mantenidas reforzadas)</v>
      </c>
      <c r="Z457" s="160" t="str">
        <f>CONCATENATE(X457,"-",Y457)</f>
        <v>08-Infraestructura física, mantenimiento y dotación (Sedes construidas, mantenidas reforzadas)</v>
      </c>
      <c r="AA457" s="158" t="s">
        <v>227</v>
      </c>
      <c r="AB457" s="159" t="str">
        <f>IFERROR(VLOOKUP(AA457,TD!$N$51:$O$66,2,0)," ")</f>
        <v>Sedes mantenidas</v>
      </c>
      <c r="AC457" s="160" t="str">
        <f>CONCATENATE(AA457,"_",AB457)</f>
        <v>016_Sedes mantenidas</v>
      </c>
      <c r="AD457" s="160" t="str">
        <f>CONCATENATE(Z457," ",AC457)</f>
        <v>08-Infraestructura física, mantenimiento y dotación (Sedes construidas, mantenidas reforzadas) 016_Sedes mantenidas</v>
      </c>
      <c r="AE457" s="159" t="str">
        <f>CONCATENATE(U457,V457,W457,X457,AA457)</f>
        <v>O23011745992024020708016</v>
      </c>
      <c r="AF457" s="159" t="str">
        <f>IFERROR(VLOOKUP(AD457,TD!$J$66:$K$89,2,0)," ")</f>
        <v>PM/0131/0108/45990160207</v>
      </c>
      <c r="AG457" s="118" t="s">
        <v>385</v>
      </c>
      <c r="AH457" s="158" t="s">
        <v>193</v>
      </c>
      <c r="AI457" s="161" t="str">
        <f>CONCATENATE(PAA[[#This Row],[Id Interno]],"-",PAA[[#This Row],[tipo de Contrato (TH talento humano - B/S bienes y/o servicios)]],"-",S457,"-",T457,"-",PAA[[#This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58" spans="2:35" ht="56" x14ac:dyDescent="0.35">
      <c r="B458" s="23">
        <v>20260426</v>
      </c>
      <c r="C458" s="99" t="s">
        <v>699</v>
      </c>
      <c r="D458" s="23" t="s">
        <v>105</v>
      </c>
      <c r="E458" s="23" t="s">
        <v>363</v>
      </c>
      <c r="F458" s="155" t="s">
        <v>144</v>
      </c>
      <c r="G458" s="156" t="s">
        <v>373</v>
      </c>
      <c r="H458" s="157">
        <v>11</v>
      </c>
      <c r="I458" s="157">
        <v>0</v>
      </c>
      <c r="J458" s="127">
        <v>56772000</v>
      </c>
      <c r="K458" s="88" t="s">
        <v>398</v>
      </c>
      <c r="L458" s="155" t="s">
        <v>155</v>
      </c>
      <c r="M458" s="158" t="s">
        <v>422</v>
      </c>
      <c r="N458" s="23" t="s">
        <v>197</v>
      </c>
      <c r="O458" s="151" t="s">
        <v>957</v>
      </c>
      <c r="P458" s="155" t="s">
        <v>348</v>
      </c>
      <c r="Q458" s="53" t="s">
        <v>778</v>
      </c>
      <c r="R458" s="158" t="s">
        <v>208</v>
      </c>
      <c r="S458" s="158" t="str">
        <f>MID(PAA[[#This Row],[Meta Proyecto de Inversión]],1,4)</f>
        <v>8126</v>
      </c>
      <c r="T458" s="158" t="str">
        <f>MID(PAA[[#This Row],[Meta Proyecto de Inversión]],6,1)</f>
        <v>9</v>
      </c>
      <c r="U458" s="159" t="str">
        <f>IFERROR(VLOOKUP(N458,TD!$B$50:$F$54,2,0)," ")</f>
        <v>O230117</v>
      </c>
      <c r="V458" s="159" t="str">
        <f>IFERROR(VLOOKUP(N458,TD!$B$50:$F$54,3,0)," ")</f>
        <v>4599</v>
      </c>
      <c r="W458" s="159">
        <f>IFERROR(VLOOKUP(N458,TD!$B$50:$F$54,4,0)," ")</f>
        <v>20240207</v>
      </c>
      <c r="X458" s="158" t="s">
        <v>174</v>
      </c>
      <c r="Y458" s="159" t="str">
        <f>IFERROR(VLOOKUP(X458,TD!$J$51:$K$64,2,0)," ")</f>
        <v>Infraestructura física, mantenimiento y dotación (Sedes construidas, mantenidas reforzadas)</v>
      </c>
      <c r="Z458" s="160" t="str">
        <f>CONCATENATE(X458,"-",Y458)</f>
        <v>08-Infraestructura física, mantenimiento y dotación (Sedes construidas, mantenidas reforzadas)</v>
      </c>
      <c r="AA458" s="158" t="s">
        <v>227</v>
      </c>
      <c r="AB458" s="159" t="str">
        <f>IFERROR(VLOOKUP(AA458,TD!$N$51:$O$66,2,0)," ")</f>
        <v>Sedes mantenidas</v>
      </c>
      <c r="AC458" s="160" t="str">
        <f>CONCATENATE(AA458,"_",AB458)</f>
        <v>016_Sedes mantenidas</v>
      </c>
      <c r="AD458" s="160" t="str">
        <f>CONCATENATE(Z458," ",AC458)</f>
        <v>08-Infraestructura física, mantenimiento y dotación (Sedes construidas, mantenidas reforzadas) 016_Sedes mantenidas</v>
      </c>
      <c r="AE458" s="159" t="str">
        <f>CONCATENATE(U458,V458,W458,X458,AA458)</f>
        <v>O23011745992024020708016</v>
      </c>
      <c r="AF458" s="159" t="str">
        <f>IFERROR(VLOOKUP(AD458,TD!$J$66:$K$89,2,0)," ")</f>
        <v>PM/0131/0108/45990160207</v>
      </c>
      <c r="AG458" s="118" t="s">
        <v>385</v>
      </c>
      <c r="AH458" s="158" t="s">
        <v>193</v>
      </c>
      <c r="AI458" s="161" t="str">
        <f>CONCATENATE(PAA[[#This Row],[Id Interno]],"-",PAA[[#This Row],[tipo de Contrato (TH talento humano - B/S bienes y/o servicios)]],"-",S458,"-",T458,"-",PAA[[#This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59" spans="2:35" ht="70" x14ac:dyDescent="0.35">
      <c r="B459" s="23">
        <v>20260427</v>
      </c>
      <c r="C459" s="99" t="s">
        <v>700</v>
      </c>
      <c r="D459" s="23" t="s">
        <v>105</v>
      </c>
      <c r="E459" s="23" t="s">
        <v>363</v>
      </c>
      <c r="F459" s="155" t="s">
        <v>144</v>
      </c>
      <c r="G459" s="156" t="s">
        <v>373</v>
      </c>
      <c r="H459" s="157">
        <v>11</v>
      </c>
      <c r="I459" s="157">
        <v>0</v>
      </c>
      <c r="J459" s="127">
        <v>75204000</v>
      </c>
      <c r="K459" s="88" t="s">
        <v>398</v>
      </c>
      <c r="L459" s="155" t="s">
        <v>155</v>
      </c>
      <c r="M459" s="158" t="s">
        <v>422</v>
      </c>
      <c r="N459" s="23" t="s">
        <v>197</v>
      </c>
      <c r="O459" s="151" t="s">
        <v>957</v>
      </c>
      <c r="P459" s="155" t="s">
        <v>348</v>
      </c>
      <c r="Q459" s="53" t="s">
        <v>778</v>
      </c>
      <c r="R459" s="158" t="s">
        <v>208</v>
      </c>
      <c r="S459" s="158" t="str">
        <f>MID(PAA[[#This Row],[Meta Proyecto de Inversión]],1,4)</f>
        <v>8126</v>
      </c>
      <c r="T459" s="158" t="str">
        <f>MID(PAA[[#This Row],[Meta Proyecto de Inversión]],6,1)</f>
        <v>9</v>
      </c>
      <c r="U459" s="159" t="str">
        <f>IFERROR(VLOOKUP(N459,TD!$B$50:$F$54,2,0)," ")</f>
        <v>O230117</v>
      </c>
      <c r="V459" s="159" t="str">
        <f>IFERROR(VLOOKUP(N459,TD!$B$50:$F$54,3,0)," ")</f>
        <v>4599</v>
      </c>
      <c r="W459" s="159">
        <f>IFERROR(VLOOKUP(N459,TD!$B$50:$F$54,4,0)," ")</f>
        <v>20240207</v>
      </c>
      <c r="X459" s="158" t="s">
        <v>174</v>
      </c>
      <c r="Y459" s="159" t="str">
        <f>IFERROR(VLOOKUP(X459,TD!$J$51:$K$64,2,0)," ")</f>
        <v>Infraestructura física, mantenimiento y dotación (Sedes construidas, mantenidas reforzadas)</v>
      </c>
      <c r="Z459" s="160" t="str">
        <f>CONCATENATE(X459,"-",Y459)</f>
        <v>08-Infraestructura física, mantenimiento y dotación (Sedes construidas, mantenidas reforzadas)</v>
      </c>
      <c r="AA459" s="158" t="s">
        <v>227</v>
      </c>
      <c r="AB459" s="159" t="str">
        <f>IFERROR(VLOOKUP(AA459,TD!$N$51:$O$66,2,0)," ")</f>
        <v>Sedes mantenidas</v>
      </c>
      <c r="AC459" s="160" t="str">
        <f>CONCATENATE(AA459,"_",AB459)</f>
        <v>016_Sedes mantenidas</v>
      </c>
      <c r="AD459" s="160" t="str">
        <f>CONCATENATE(Z459," ",AC459)</f>
        <v>08-Infraestructura física, mantenimiento y dotación (Sedes construidas, mantenidas reforzadas) 016_Sedes mantenidas</v>
      </c>
      <c r="AE459" s="159" t="str">
        <f>CONCATENATE(U459,V459,W459,X459,AA459)</f>
        <v>O23011745992024020708016</v>
      </c>
      <c r="AF459" s="159" t="str">
        <f>IFERROR(VLOOKUP(AD459,TD!$J$66:$K$89,2,0)," ")</f>
        <v>PM/0131/0108/45990160207</v>
      </c>
      <c r="AG459" s="118" t="s">
        <v>385</v>
      </c>
      <c r="AH459" s="158" t="s">
        <v>193</v>
      </c>
      <c r="AI459" s="161" t="str">
        <f>CONCATENATE(PAA[[#This Row],[Id Interno]],"-",PAA[[#This Row],[tipo de Contrato (TH talento humano - B/S bienes y/o servicios)]],"-",S459,"-",T459,"-",PAA[[#This Row],[Objeto de la contratación]])</f>
        <v>20260427-TH-8126-9-Prestar los servicios profesionales para la gestión administrativa y operativa de la Subdirección de Gestión Corporativa en el proceso de adquisición de bienes y servicios - SGC</v>
      </c>
    </row>
    <row r="460" spans="2:35" ht="70" x14ac:dyDescent="0.35">
      <c r="B460" s="23">
        <v>20260428</v>
      </c>
      <c r="C460" s="156" t="s">
        <v>701</v>
      </c>
      <c r="D460" s="23" t="s">
        <v>105</v>
      </c>
      <c r="E460" s="23" t="s">
        <v>363</v>
      </c>
      <c r="F460" s="155" t="s">
        <v>145</v>
      </c>
      <c r="G460" s="156" t="s">
        <v>373</v>
      </c>
      <c r="H460" s="157">
        <v>11</v>
      </c>
      <c r="I460" s="157">
        <v>0</v>
      </c>
      <c r="J460" s="127">
        <v>38060000</v>
      </c>
      <c r="K460" s="88" t="s">
        <v>398</v>
      </c>
      <c r="L460" s="155" t="s">
        <v>155</v>
      </c>
      <c r="M460" s="158" t="s">
        <v>422</v>
      </c>
      <c r="N460" s="23" t="s">
        <v>197</v>
      </c>
      <c r="O460" s="151" t="s">
        <v>957</v>
      </c>
      <c r="P460" s="155" t="s">
        <v>348</v>
      </c>
      <c r="Q460" s="53" t="s">
        <v>778</v>
      </c>
      <c r="R460" s="158" t="s">
        <v>208</v>
      </c>
      <c r="S460" s="158" t="str">
        <f>MID(PAA[[#This Row],[Meta Proyecto de Inversión]],1,4)</f>
        <v>8126</v>
      </c>
      <c r="T460" s="158" t="str">
        <f>MID(PAA[[#This Row],[Meta Proyecto de Inversión]],6,1)</f>
        <v>9</v>
      </c>
      <c r="U460" s="159" t="str">
        <f>IFERROR(VLOOKUP(N460,TD!$B$50:$F$54,2,0)," ")</f>
        <v>O230117</v>
      </c>
      <c r="V460" s="159" t="str">
        <f>IFERROR(VLOOKUP(N460,TD!$B$50:$F$54,3,0)," ")</f>
        <v>4599</v>
      </c>
      <c r="W460" s="159">
        <f>IFERROR(VLOOKUP(N460,TD!$B$50:$F$54,4,0)," ")</f>
        <v>20240207</v>
      </c>
      <c r="X460" s="158" t="s">
        <v>174</v>
      </c>
      <c r="Y460" s="159" t="str">
        <f>IFERROR(VLOOKUP(X460,TD!$J$51:$K$64,2,0)," ")</f>
        <v>Infraestructura física, mantenimiento y dotación (Sedes construidas, mantenidas reforzadas)</v>
      </c>
      <c r="Z460" s="160" t="str">
        <f>CONCATENATE(X460,"-",Y460)</f>
        <v>08-Infraestructura física, mantenimiento y dotación (Sedes construidas, mantenidas reforzadas)</v>
      </c>
      <c r="AA460" s="158" t="s">
        <v>227</v>
      </c>
      <c r="AB460" s="159" t="str">
        <f>IFERROR(VLOOKUP(AA460,TD!$N$51:$O$66,2,0)," ")</f>
        <v>Sedes mantenidas</v>
      </c>
      <c r="AC460" s="160" t="str">
        <f>CONCATENATE(AA460,"_",AB460)</f>
        <v>016_Sedes mantenidas</v>
      </c>
      <c r="AD460" s="160" t="str">
        <f>CONCATENATE(Z460," ",AC460)</f>
        <v>08-Infraestructura física, mantenimiento y dotación (Sedes construidas, mantenidas reforzadas) 016_Sedes mantenidas</v>
      </c>
      <c r="AE460" s="159" t="str">
        <f>CONCATENATE(U460,V460,W460,X460,AA460)</f>
        <v>O23011745992024020708016</v>
      </c>
      <c r="AF460" s="159" t="str">
        <f>IFERROR(VLOOKUP(AD460,TD!$J$66:$K$89,2,0)," ")</f>
        <v>PM/0131/0108/45990160207</v>
      </c>
      <c r="AG460" s="118" t="s">
        <v>385</v>
      </c>
      <c r="AH460" s="158" t="s">
        <v>193</v>
      </c>
      <c r="AI460" s="161" t="str">
        <f>CONCATENATE(PAA[[#This Row],[Id Interno]],"-",PAA[[#This Row],[tipo de Contrato (TH talento humano - B/S bienes y/o servicios)]],"-",S460,"-",T460,"-",PAA[[#This Row],[Objeto de la contratación]])</f>
        <v>20260428-TH-8126-9-Prestar los servicios como conductor de la Subdirección de Gestión Corporativa -SGC</v>
      </c>
    </row>
    <row r="461" spans="2:35" ht="42" x14ac:dyDescent="0.35">
      <c r="B461" s="23">
        <v>20260429</v>
      </c>
      <c r="C461" s="156" t="s">
        <v>702</v>
      </c>
      <c r="D461" s="23" t="s">
        <v>105</v>
      </c>
      <c r="E461" s="23" t="s">
        <v>363</v>
      </c>
      <c r="F461" s="155" t="s">
        <v>144</v>
      </c>
      <c r="G461" s="156" t="s">
        <v>373</v>
      </c>
      <c r="H461" s="157">
        <v>11</v>
      </c>
      <c r="I461" s="157">
        <v>0</v>
      </c>
      <c r="J461" s="127">
        <v>75204000</v>
      </c>
      <c r="K461" s="88" t="s">
        <v>398</v>
      </c>
      <c r="L461" s="155" t="s">
        <v>155</v>
      </c>
      <c r="M461" s="158" t="s">
        <v>422</v>
      </c>
      <c r="N461" s="23" t="s">
        <v>197</v>
      </c>
      <c r="O461" s="151" t="s">
        <v>957</v>
      </c>
      <c r="P461" s="155" t="s">
        <v>348</v>
      </c>
      <c r="Q461" s="53" t="s">
        <v>778</v>
      </c>
      <c r="R461" s="158" t="s">
        <v>208</v>
      </c>
      <c r="S461" s="158" t="str">
        <f>MID(PAA[[#This Row],[Meta Proyecto de Inversión]],1,4)</f>
        <v>8126</v>
      </c>
      <c r="T461" s="158" t="str">
        <f>MID(PAA[[#This Row],[Meta Proyecto de Inversión]],6,1)</f>
        <v>9</v>
      </c>
      <c r="U461" s="159" t="str">
        <f>IFERROR(VLOOKUP(N461,TD!$B$50:$F$54,2,0)," ")</f>
        <v>O230117</v>
      </c>
      <c r="V461" s="159" t="str">
        <f>IFERROR(VLOOKUP(N461,TD!$B$50:$F$54,3,0)," ")</f>
        <v>4599</v>
      </c>
      <c r="W461" s="159">
        <f>IFERROR(VLOOKUP(N461,TD!$B$50:$F$54,4,0)," ")</f>
        <v>20240207</v>
      </c>
      <c r="X461" s="158" t="s">
        <v>174</v>
      </c>
      <c r="Y461" s="159" t="str">
        <f>IFERROR(VLOOKUP(X461,TD!$J$51:$K$64,2,0)," ")</f>
        <v>Infraestructura física, mantenimiento y dotación (Sedes construidas, mantenidas reforzadas)</v>
      </c>
      <c r="Z461" s="160" t="str">
        <f>CONCATENATE(X461,"-",Y461)</f>
        <v>08-Infraestructura física, mantenimiento y dotación (Sedes construidas, mantenidas reforzadas)</v>
      </c>
      <c r="AA461" s="158" t="s">
        <v>227</v>
      </c>
      <c r="AB461" s="159" t="str">
        <f>IFERROR(VLOOKUP(AA461,TD!$N$51:$O$66,2,0)," ")</f>
        <v>Sedes mantenidas</v>
      </c>
      <c r="AC461" s="160" t="str">
        <f>CONCATENATE(AA461,"_",AB461)</f>
        <v>016_Sedes mantenidas</v>
      </c>
      <c r="AD461" s="160" t="str">
        <f>CONCATENATE(Z461," ",AC461)</f>
        <v>08-Infraestructura física, mantenimiento y dotación (Sedes construidas, mantenidas reforzadas) 016_Sedes mantenidas</v>
      </c>
      <c r="AE461" s="159" t="str">
        <f>CONCATENATE(U461,V461,W461,X461,AA461)</f>
        <v>O23011745992024020708016</v>
      </c>
      <c r="AF461" s="159" t="str">
        <f>IFERROR(VLOOKUP(AD461,TD!$J$66:$K$89,2,0)," ")</f>
        <v>PM/0131/0108/45990160207</v>
      </c>
      <c r="AG461" s="118" t="s">
        <v>385</v>
      </c>
      <c r="AH461" s="158" t="s">
        <v>193</v>
      </c>
      <c r="AI461" s="161" t="str">
        <f>CONCATENATE(PAA[[#This Row],[Id Interno]],"-",PAA[[#This Row],[tipo de Contrato (TH talento humano - B/S bienes y/o servicios)]],"-",S461,"-",T461,"-",PAA[[#This Row],[Objeto de la contratación]])</f>
        <v>20260429-TH-8126-9-Prestar servicios profesionales en la Subdirección de Gestión Corporativa en el marco de las actividades administrativas de la Dependencia.-SGC</v>
      </c>
    </row>
    <row r="462" spans="2:35" ht="56" x14ac:dyDescent="0.35">
      <c r="B462" s="23">
        <v>20260430</v>
      </c>
      <c r="C462" s="156" t="s">
        <v>682</v>
      </c>
      <c r="D462" s="23" t="s">
        <v>105</v>
      </c>
      <c r="E462" s="23" t="s">
        <v>363</v>
      </c>
      <c r="F462" s="155" t="s">
        <v>144</v>
      </c>
      <c r="G462" s="156" t="s">
        <v>373</v>
      </c>
      <c r="H462" s="157">
        <v>11</v>
      </c>
      <c r="I462" s="157">
        <v>0</v>
      </c>
      <c r="J462" s="127">
        <v>99000000</v>
      </c>
      <c r="K462" s="88" t="s">
        <v>398</v>
      </c>
      <c r="L462" s="155" t="s">
        <v>155</v>
      </c>
      <c r="M462" s="158" t="s">
        <v>422</v>
      </c>
      <c r="N462" s="23" t="s">
        <v>198</v>
      </c>
      <c r="O462" s="151" t="s">
        <v>958</v>
      </c>
      <c r="P462" s="155" t="s">
        <v>348</v>
      </c>
      <c r="Q462" s="53" t="s">
        <v>778</v>
      </c>
      <c r="R462" s="158" t="s">
        <v>216</v>
      </c>
      <c r="S462" s="158" t="str">
        <f>MID(PAA[[#This Row],[Meta Proyecto de Inversión]],1,4)</f>
        <v>8173</v>
      </c>
      <c r="T462" s="158" t="str">
        <f>MID(PAA[[#This Row],[Meta Proyecto de Inversión]],6,1)</f>
        <v>7</v>
      </c>
      <c r="U462" s="159" t="str">
        <f>IFERROR(VLOOKUP(N462,TD!$B$50:$F$54,2,0)," ")</f>
        <v>O230117</v>
      </c>
      <c r="V462" s="159" t="str">
        <f>IFERROR(VLOOKUP(N462,TD!$B$50:$F$54,3,0)," ")</f>
        <v>4503</v>
      </c>
      <c r="W462" s="159">
        <f>IFERROR(VLOOKUP(N462,TD!$B$50:$F$54,4,0)," ")</f>
        <v>20240255</v>
      </c>
      <c r="X462" s="158">
        <v>14</v>
      </c>
      <c r="Y462" s="159" t="str">
        <f>IFERROR(VLOOKUP(X462,TD!$J$51:$K$64,2,0)," ")</f>
        <v xml:space="preserve">Infraestructura física misional construida mantenida y dotada </v>
      </c>
      <c r="Z462" s="160" t="str">
        <f>CONCATENATE(X462,"-",Y462)</f>
        <v xml:space="preserve">14-Infraestructura física misional construida mantenida y dotada </v>
      </c>
      <c r="AA462" s="158" t="s">
        <v>225</v>
      </c>
      <c r="AB462" s="159" t="str">
        <f>IFERROR(VLOOKUP(AA462,TD!$N$51:$O$66,2,0)," ")</f>
        <v>Estaciones de bomberos adecuadas</v>
      </c>
      <c r="AC462" s="160" t="str">
        <f>CONCATENATE(AA462,"_",AB462)</f>
        <v>014_Estaciones de bomberos adecuadas</v>
      </c>
      <c r="AD462" s="160" t="str">
        <f>CONCATENATE(Z462," ",AC462)</f>
        <v>14-Infraestructura física misional construida mantenida y dotada  014_Estaciones de bomberos adecuadas</v>
      </c>
      <c r="AE462" s="159" t="str">
        <f>CONCATENATE(U462,V462,W462,X462,AA462)</f>
        <v>O23011745032024025514014</v>
      </c>
      <c r="AF462" s="159" t="str">
        <f>IFERROR(VLOOKUP(AD462,TD!$J$66:$K$89,2,0)," ")</f>
        <v>PM/0131/0114/45030140255</v>
      </c>
      <c r="AG462" s="118" t="s">
        <v>385</v>
      </c>
      <c r="AH462" s="158" t="s">
        <v>193</v>
      </c>
      <c r="AI462" s="161" t="str">
        <f>CONCATENATE(PAA[[#This Row],[Id Interno]],"-",PAA[[#This Row],[tipo de Contrato (TH talento humano - B/S bienes y/o servicios)]],"-",S462,"-",T462,"-",PAA[[#This Row],[Objeto de la contratación]])</f>
        <v>20260430-TH-8173-7-Prestación de servicios profesionales para apoyar las actividades de estructuración de procesos contractuales del Área de Infraestructura de la Subdirección de Gestión Corporativa-SGC</v>
      </c>
    </row>
    <row r="463" spans="2:35" ht="56" x14ac:dyDescent="0.35">
      <c r="B463" s="23">
        <v>20260431</v>
      </c>
      <c r="C463" s="156" t="s">
        <v>692</v>
      </c>
      <c r="D463" s="23" t="s">
        <v>105</v>
      </c>
      <c r="E463" s="23" t="s">
        <v>363</v>
      </c>
      <c r="F463" s="155" t="s">
        <v>144</v>
      </c>
      <c r="G463" s="156" t="s">
        <v>373</v>
      </c>
      <c r="H463" s="157">
        <v>11</v>
      </c>
      <c r="I463" s="157">
        <v>0</v>
      </c>
      <c r="J463" s="127">
        <v>81103000</v>
      </c>
      <c r="K463" s="88" t="s">
        <v>398</v>
      </c>
      <c r="L463" s="155" t="s">
        <v>155</v>
      </c>
      <c r="M463" s="158" t="s">
        <v>422</v>
      </c>
      <c r="N463" s="23" t="s">
        <v>198</v>
      </c>
      <c r="O463" s="151" t="s">
        <v>958</v>
      </c>
      <c r="P463" s="155" t="s">
        <v>348</v>
      </c>
      <c r="Q463" s="53" t="s">
        <v>778</v>
      </c>
      <c r="R463" s="158" t="s">
        <v>216</v>
      </c>
      <c r="S463" s="158" t="str">
        <f>MID(PAA[[#This Row],[Meta Proyecto de Inversión]],1,4)</f>
        <v>8173</v>
      </c>
      <c r="T463" s="158" t="str">
        <f>MID(PAA[[#This Row],[Meta Proyecto de Inversión]],6,1)</f>
        <v>7</v>
      </c>
      <c r="U463" s="159" t="str">
        <f>IFERROR(VLOOKUP(N463,TD!$B$50:$F$54,2,0)," ")</f>
        <v>O230117</v>
      </c>
      <c r="V463" s="159" t="str">
        <f>IFERROR(VLOOKUP(N463,TD!$B$50:$F$54,3,0)," ")</f>
        <v>4503</v>
      </c>
      <c r="W463" s="159">
        <f>IFERROR(VLOOKUP(N463,TD!$B$50:$F$54,4,0)," ")</f>
        <v>20240255</v>
      </c>
      <c r="X463" s="158">
        <v>14</v>
      </c>
      <c r="Y463" s="159" t="str">
        <f>IFERROR(VLOOKUP(X463,TD!$J$51:$K$64,2,0)," ")</f>
        <v xml:space="preserve">Infraestructura física misional construida mantenida y dotada </v>
      </c>
      <c r="Z463" s="160" t="str">
        <f>CONCATENATE(X463,"-",Y463)</f>
        <v xml:space="preserve">14-Infraestructura física misional construida mantenida y dotada </v>
      </c>
      <c r="AA463" s="158" t="s">
        <v>225</v>
      </c>
      <c r="AB463" s="159" t="str">
        <f>IFERROR(VLOOKUP(AA463,TD!$N$51:$O$66,2,0)," ")</f>
        <v>Estaciones de bomberos adecuadas</v>
      </c>
      <c r="AC463" s="160" t="str">
        <f>CONCATENATE(AA463,"_",AB463)</f>
        <v>014_Estaciones de bomberos adecuadas</v>
      </c>
      <c r="AD463" s="160" t="str">
        <f>CONCATENATE(Z463," ",AC463)</f>
        <v>14-Infraestructura física misional construida mantenida y dotada  014_Estaciones de bomberos adecuadas</v>
      </c>
      <c r="AE463" s="159" t="str">
        <f>CONCATENATE(U463,V463,W463,X463,AA463)</f>
        <v>O23011745032024025514014</v>
      </c>
      <c r="AF463" s="159" t="str">
        <f>IFERROR(VLOOKUP(AD463,TD!$J$66:$K$89,2,0)," ")</f>
        <v>PM/0131/0114/45030140255</v>
      </c>
      <c r="AG463" s="118" t="s">
        <v>385</v>
      </c>
      <c r="AH463" s="158" t="s">
        <v>193</v>
      </c>
      <c r="AI463" s="161" t="str">
        <f>CONCATENATE(PAA[[#This Row],[Id Interno]],"-",PAA[[#This Row],[tipo de Contrato (TH talento humano - B/S bienes y/o servicios)]],"-",S463,"-",T463,"-",PAA[[#This Row],[Objeto de la contratación]])</f>
        <v>20260431-TH-8173-7-Prestar servicios profesionales para realizar acompañamiento juridico en la elaboración de los procesos contractuales adelantados por la Subdirección Gestión Corporativa -SGC</v>
      </c>
    </row>
    <row r="464" spans="2:35" ht="56" x14ac:dyDescent="0.35">
      <c r="B464" s="23">
        <v>20260432</v>
      </c>
      <c r="C464" s="156" t="s">
        <v>703</v>
      </c>
      <c r="D464" s="23" t="s">
        <v>105</v>
      </c>
      <c r="E464" s="23" t="s">
        <v>363</v>
      </c>
      <c r="F464" s="155" t="s">
        <v>144</v>
      </c>
      <c r="G464" s="156" t="s">
        <v>373</v>
      </c>
      <c r="H464" s="136">
        <v>11</v>
      </c>
      <c r="I464" s="157">
        <v>0</v>
      </c>
      <c r="J464" s="118">
        <v>81103000</v>
      </c>
      <c r="K464" s="88" t="s">
        <v>398</v>
      </c>
      <c r="L464" s="155" t="s">
        <v>155</v>
      </c>
      <c r="M464" s="158" t="s">
        <v>422</v>
      </c>
      <c r="N464" s="23" t="s">
        <v>197</v>
      </c>
      <c r="O464" s="151" t="s">
        <v>957</v>
      </c>
      <c r="P464" s="155" t="s">
        <v>348</v>
      </c>
      <c r="Q464" s="53" t="s">
        <v>778</v>
      </c>
      <c r="R464" s="158" t="s">
        <v>207</v>
      </c>
      <c r="S464" s="158" t="str">
        <f>MID(PAA[[#This Row],[Meta Proyecto de Inversión]],1,4)</f>
        <v>8126</v>
      </c>
      <c r="T464" s="158" t="str">
        <f>MID(PAA[[#This Row],[Meta Proyecto de Inversión]],6,1)</f>
        <v>8</v>
      </c>
      <c r="U464" s="159" t="str">
        <f>IFERROR(VLOOKUP(N464,TD!$B$50:$F$54,2,0)," ")</f>
        <v>O230117</v>
      </c>
      <c r="V464" s="159" t="str">
        <f>IFERROR(VLOOKUP(N464,TD!$B$50:$F$54,3,0)," ")</f>
        <v>4599</v>
      </c>
      <c r="W464" s="159">
        <f>IFERROR(VLOOKUP(N464,TD!$B$50:$F$54,4,0)," ")</f>
        <v>20240207</v>
      </c>
      <c r="X464" s="158" t="s">
        <v>174</v>
      </c>
      <c r="Y464" s="159" t="str">
        <f>IFERROR(VLOOKUP(X464,TD!$J$51:$K$64,2,0)," ")</f>
        <v>Infraestructura física, mantenimiento y dotación (Sedes construidas, mantenidas reforzadas)</v>
      </c>
      <c r="Z464" s="160" t="str">
        <f>CONCATENATE(X464,"-",Y464)</f>
        <v>08-Infraestructura física, mantenimiento y dotación (Sedes construidas, mantenidas reforzadas)</v>
      </c>
      <c r="AA464" s="158" t="s">
        <v>227</v>
      </c>
      <c r="AB464" s="159" t="str">
        <f>IFERROR(VLOOKUP(AA464,TD!$N$51:$O$66,2,0)," ")</f>
        <v>Sedes mantenidas</v>
      </c>
      <c r="AC464" s="160" t="str">
        <f>CONCATENATE(AA464,"_",AB464)</f>
        <v>016_Sedes mantenidas</v>
      </c>
      <c r="AD464" s="160" t="str">
        <f>CONCATENATE(Z464," ",AC464)</f>
        <v>08-Infraestructura física, mantenimiento y dotación (Sedes construidas, mantenidas reforzadas) 016_Sedes mantenidas</v>
      </c>
      <c r="AE464" s="159" t="str">
        <f>CONCATENATE(U464,V464,W464,X464,AA464)</f>
        <v>O23011745992024020708016</v>
      </c>
      <c r="AF464" s="159" t="str">
        <f>IFERROR(VLOOKUP(AD464,TD!$J$66:$K$89,2,0)," ")</f>
        <v>PM/0131/0108/45990160207</v>
      </c>
      <c r="AG464" s="118" t="s">
        <v>385</v>
      </c>
      <c r="AH464" s="158" t="s">
        <v>193</v>
      </c>
      <c r="AI464" s="161" t="str">
        <f>CONCATENATE(PAA[[#This Row],[Id Interno]],"-",PAA[[#This Row],[tipo de Contrato (TH talento humano - B/S bienes y/o servicios)]],"-",S464,"-",T464,"-",PAA[[#This Row],[Objeto de la contratación]])</f>
        <v>20260432-TH-8126-8-Prestación de servicios profesionales para adelantar actividades técnicas y trámites administrativos del Área de Infraestructura de la Subdirección de Gestión Corporativa-SGC</v>
      </c>
    </row>
    <row r="465" spans="2:35" ht="70" x14ac:dyDescent="0.35">
      <c r="B465" s="23">
        <v>20260433</v>
      </c>
      <c r="C465" s="156" t="s">
        <v>704</v>
      </c>
      <c r="D465" s="23" t="s">
        <v>105</v>
      </c>
      <c r="E465" s="23" t="s">
        <v>363</v>
      </c>
      <c r="F465" s="155" t="s">
        <v>144</v>
      </c>
      <c r="G465" s="156" t="s">
        <v>373</v>
      </c>
      <c r="H465" s="157">
        <v>11</v>
      </c>
      <c r="I465" s="157">
        <v>0</v>
      </c>
      <c r="J465" s="127">
        <v>99000000</v>
      </c>
      <c r="K465" s="88" t="s">
        <v>398</v>
      </c>
      <c r="L465" s="155" t="s">
        <v>155</v>
      </c>
      <c r="M465" s="158" t="s">
        <v>422</v>
      </c>
      <c r="N465" s="23" t="s">
        <v>197</v>
      </c>
      <c r="O465" s="151" t="s">
        <v>957</v>
      </c>
      <c r="P465" s="155" t="s">
        <v>348</v>
      </c>
      <c r="Q465" s="53" t="s">
        <v>778</v>
      </c>
      <c r="R465" s="158" t="s">
        <v>207</v>
      </c>
      <c r="S465" s="158" t="str">
        <f>MID(PAA[[#This Row],[Meta Proyecto de Inversión]],1,4)</f>
        <v>8126</v>
      </c>
      <c r="T465" s="158" t="str">
        <f>MID(PAA[[#This Row],[Meta Proyecto de Inversión]],6,1)</f>
        <v>8</v>
      </c>
      <c r="U465" s="159" t="str">
        <f>IFERROR(VLOOKUP(N465,TD!$B$50:$F$54,2,0)," ")</f>
        <v>O230117</v>
      </c>
      <c r="V465" s="159" t="str">
        <f>IFERROR(VLOOKUP(N465,TD!$B$50:$F$54,3,0)," ")</f>
        <v>4599</v>
      </c>
      <c r="W465" s="159">
        <f>IFERROR(VLOOKUP(N465,TD!$B$50:$F$54,4,0)," ")</f>
        <v>20240207</v>
      </c>
      <c r="X465" s="158" t="s">
        <v>174</v>
      </c>
      <c r="Y465" s="159" t="str">
        <f>IFERROR(VLOOKUP(X465,TD!$J$51:$K$64,2,0)," ")</f>
        <v>Infraestructura física, mantenimiento y dotación (Sedes construidas, mantenidas reforzadas)</v>
      </c>
      <c r="Z465" s="160" t="str">
        <f>CONCATENATE(X465,"-",Y465)</f>
        <v>08-Infraestructura física, mantenimiento y dotación (Sedes construidas, mantenidas reforzadas)</v>
      </c>
      <c r="AA465" s="158" t="s">
        <v>227</v>
      </c>
      <c r="AB465" s="159" t="str">
        <f>IFERROR(VLOOKUP(AA465,TD!$N$51:$O$66,2,0)," ")</f>
        <v>Sedes mantenidas</v>
      </c>
      <c r="AC465" s="160" t="str">
        <f>CONCATENATE(AA465,"_",AB465)</f>
        <v>016_Sedes mantenidas</v>
      </c>
      <c r="AD465" s="160" t="str">
        <f>CONCATENATE(Z465," ",AC465)</f>
        <v>08-Infraestructura física, mantenimiento y dotación (Sedes construidas, mantenidas reforzadas) 016_Sedes mantenidas</v>
      </c>
      <c r="AE465" s="159" t="str">
        <f>CONCATENATE(U465,V465,W465,X465,AA465)</f>
        <v>O23011745992024020708016</v>
      </c>
      <c r="AF465" s="159" t="str">
        <f>IFERROR(VLOOKUP(AD465,TD!$J$66:$K$89,2,0)," ")</f>
        <v>PM/0131/0108/45990160207</v>
      </c>
      <c r="AG465" s="118" t="s">
        <v>385</v>
      </c>
      <c r="AH465" s="158" t="s">
        <v>193</v>
      </c>
      <c r="AI465" s="161" t="str">
        <f>CONCATENATE(PAA[[#This Row],[Id Interno]],"-",PAA[[#This Row],[tipo de Contrato (TH talento humano - B/S bienes y/o servicios)]],"-",S465,"-",T465,"-",PAA[[#This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66" spans="2:35" ht="70" x14ac:dyDescent="0.35">
      <c r="B466" s="23">
        <v>20260434</v>
      </c>
      <c r="C466" s="156" t="s">
        <v>705</v>
      </c>
      <c r="D466" s="23" t="s">
        <v>105</v>
      </c>
      <c r="E466" s="23" t="s">
        <v>363</v>
      </c>
      <c r="F466" s="155" t="s">
        <v>144</v>
      </c>
      <c r="G466" s="156" t="s">
        <v>373</v>
      </c>
      <c r="H466" s="157">
        <v>11</v>
      </c>
      <c r="I466" s="157">
        <v>0</v>
      </c>
      <c r="J466" s="127">
        <v>102035000</v>
      </c>
      <c r="K466" s="88" t="s">
        <v>398</v>
      </c>
      <c r="L466" s="155" t="s">
        <v>155</v>
      </c>
      <c r="M466" s="158" t="s">
        <v>422</v>
      </c>
      <c r="N466" s="23" t="s">
        <v>198</v>
      </c>
      <c r="O466" s="151" t="s">
        <v>958</v>
      </c>
      <c r="P466" s="155" t="s">
        <v>348</v>
      </c>
      <c r="Q466" s="53" t="s">
        <v>778</v>
      </c>
      <c r="R466" s="158" t="s">
        <v>216</v>
      </c>
      <c r="S466" s="158" t="str">
        <f>MID(PAA[[#This Row],[Meta Proyecto de Inversión]],1,4)</f>
        <v>8173</v>
      </c>
      <c r="T466" s="158" t="str">
        <f>MID(PAA[[#This Row],[Meta Proyecto de Inversión]],6,1)</f>
        <v>7</v>
      </c>
      <c r="U466" s="159" t="str">
        <f>IFERROR(VLOOKUP(N466,TD!$B$50:$F$54,2,0)," ")</f>
        <v>O230117</v>
      </c>
      <c r="V466" s="159" t="str">
        <f>IFERROR(VLOOKUP(N466,TD!$B$50:$F$54,3,0)," ")</f>
        <v>4503</v>
      </c>
      <c r="W466" s="159">
        <f>IFERROR(VLOOKUP(N466,TD!$B$50:$F$54,4,0)," ")</f>
        <v>20240255</v>
      </c>
      <c r="X466" s="158">
        <v>14</v>
      </c>
      <c r="Y466" s="159" t="str">
        <f>IFERROR(VLOOKUP(X466,TD!$J$51:$K$64,2,0)," ")</f>
        <v xml:space="preserve">Infraestructura física misional construida mantenida y dotada </v>
      </c>
      <c r="Z466" s="160" t="str">
        <f>CONCATENATE(X466,"-",Y466)</f>
        <v xml:space="preserve">14-Infraestructura física misional construida mantenida y dotada </v>
      </c>
      <c r="AA466" s="158" t="s">
        <v>225</v>
      </c>
      <c r="AB466" s="159" t="str">
        <f>IFERROR(VLOOKUP(AA466,TD!$N$51:$O$66,2,0)," ")</f>
        <v>Estaciones de bomberos adecuadas</v>
      </c>
      <c r="AC466" s="160" t="str">
        <f>CONCATENATE(AA466,"_",AB466)</f>
        <v>014_Estaciones de bomberos adecuadas</v>
      </c>
      <c r="AD466" s="160" t="str">
        <f>CONCATENATE(Z466," ",AC466)</f>
        <v>14-Infraestructura física misional construida mantenida y dotada  014_Estaciones de bomberos adecuadas</v>
      </c>
      <c r="AE466" s="159" t="str">
        <f>CONCATENATE(U466,V466,W466,X466,AA466)</f>
        <v>O23011745032024025514014</v>
      </c>
      <c r="AF466" s="159" t="str">
        <f>IFERROR(VLOOKUP(AD466,TD!$J$66:$K$89,2,0)," ")</f>
        <v>PM/0131/0114/45030140255</v>
      </c>
      <c r="AG466" s="118" t="s">
        <v>385</v>
      </c>
      <c r="AH466" s="158" t="s">
        <v>193</v>
      </c>
      <c r="AI466" s="161" t="str">
        <f>CONCATENATE(PAA[[#This Row],[Id Interno]],"-",PAA[[#This Row],[tipo de Contrato (TH talento humano - B/S bienes y/o servicios)]],"-",S466,"-",T466,"-",PAA[[#This Row],[Objeto de la contratación]])</f>
        <v>20260434-TH-8173-7-Prestación de Servicios Profesionales para la formulación, seguimiento y ejecución de procesos presupuestales y financieros a cargo del área de infraestructura de la Subdirección de Gestión Corporativa -SGC</v>
      </c>
    </row>
    <row r="467" spans="2:35" ht="56" x14ac:dyDescent="0.35">
      <c r="B467" s="23">
        <v>20260435</v>
      </c>
      <c r="C467" s="99" t="s">
        <v>706</v>
      </c>
      <c r="D467" s="23" t="s">
        <v>105</v>
      </c>
      <c r="E467" s="23" t="s">
        <v>363</v>
      </c>
      <c r="F467" s="155" t="s">
        <v>144</v>
      </c>
      <c r="G467" s="156" t="s">
        <v>373</v>
      </c>
      <c r="H467" s="157">
        <v>11</v>
      </c>
      <c r="I467" s="157">
        <v>0</v>
      </c>
      <c r="J467" s="127">
        <v>75204000</v>
      </c>
      <c r="K467" s="88" t="s">
        <v>398</v>
      </c>
      <c r="L467" s="155" t="s">
        <v>155</v>
      </c>
      <c r="M467" s="158" t="s">
        <v>422</v>
      </c>
      <c r="N467" s="23" t="s">
        <v>197</v>
      </c>
      <c r="O467" s="151" t="s">
        <v>957</v>
      </c>
      <c r="P467" s="155" t="s">
        <v>348</v>
      </c>
      <c r="Q467" s="53" t="s">
        <v>778</v>
      </c>
      <c r="R467" s="158" t="s">
        <v>207</v>
      </c>
      <c r="S467" s="158" t="str">
        <f>MID(PAA[[#This Row],[Meta Proyecto de Inversión]],1,4)</f>
        <v>8126</v>
      </c>
      <c r="T467" s="158" t="str">
        <f>MID(PAA[[#This Row],[Meta Proyecto de Inversión]],6,1)</f>
        <v>8</v>
      </c>
      <c r="U467" s="159" t="str">
        <f>IFERROR(VLOOKUP(N467,TD!$B$50:$F$54,2,0)," ")</f>
        <v>O230117</v>
      </c>
      <c r="V467" s="159" t="str">
        <f>IFERROR(VLOOKUP(N467,TD!$B$50:$F$54,3,0)," ")</f>
        <v>4599</v>
      </c>
      <c r="W467" s="159">
        <f>IFERROR(VLOOKUP(N467,TD!$B$50:$F$54,4,0)," ")</f>
        <v>20240207</v>
      </c>
      <c r="X467" s="158" t="s">
        <v>174</v>
      </c>
      <c r="Y467" s="159" t="str">
        <f>IFERROR(VLOOKUP(X467,TD!$J$51:$K$64,2,0)," ")</f>
        <v>Infraestructura física, mantenimiento y dotación (Sedes construidas, mantenidas reforzadas)</v>
      </c>
      <c r="Z467" s="160" t="str">
        <f>CONCATENATE(X467,"-",Y467)</f>
        <v>08-Infraestructura física, mantenimiento y dotación (Sedes construidas, mantenidas reforzadas)</v>
      </c>
      <c r="AA467" s="158" t="s">
        <v>227</v>
      </c>
      <c r="AB467" s="159" t="str">
        <f>IFERROR(VLOOKUP(AA467,TD!$N$51:$O$66,2,0)," ")</f>
        <v>Sedes mantenidas</v>
      </c>
      <c r="AC467" s="160" t="str">
        <f>CONCATENATE(AA467,"_",AB467)</f>
        <v>016_Sedes mantenidas</v>
      </c>
      <c r="AD467" s="160" t="str">
        <f>CONCATENATE(Z467," ",AC467)</f>
        <v>08-Infraestructura física, mantenimiento y dotación (Sedes construidas, mantenidas reforzadas) 016_Sedes mantenidas</v>
      </c>
      <c r="AE467" s="159" t="str">
        <f>CONCATENATE(U467,V467,W467,X467,AA467)</f>
        <v>O23011745992024020708016</v>
      </c>
      <c r="AF467" s="159" t="str">
        <f>IFERROR(VLOOKUP(AD467,TD!$J$66:$K$89,2,0)," ")</f>
        <v>PM/0131/0108/45990160207</v>
      </c>
      <c r="AG467" s="118" t="s">
        <v>385</v>
      </c>
      <c r="AH467" s="158" t="s">
        <v>193</v>
      </c>
      <c r="AI467" s="161" t="str">
        <f>CONCATENATE(PAA[[#This Row],[Id Interno]],"-",PAA[[#This Row],[tipo de Contrato (TH talento humano - B/S bienes y/o servicios)]],"-",S467,"-",T467,"-",PAA[[#This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68" spans="2:35" ht="70" x14ac:dyDescent="0.35">
      <c r="B468" s="23">
        <v>20260436</v>
      </c>
      <c r="C468" s="99" t="s">
        <v>707</v>
      </c>
      <c r="D468" s="23" t="s">
        <v>105</v>
      </c>
      <c r="E468" s="23" t="s">
        <v>363</v>
      </c>
      <c r="F468" s="155" t="s">
        <v>144</v>
      </c>
      <c r="G468" s="156" t="s">
        <v>373</v>
      </c>
      <c r="H468" s="157">
        <v>11</v>
      </c>
      <c r="I468" s="157">
        <v>0</v>
      </c>
      <c r="J468" s="127">
        <v>75204000</v>
      </c>
      <c r="K468" s="88" t="s">
        <v>398</v>
      </c>
      <c r="L468" s="155" t="s">
        <v>155</v>
      </c>
      <c r="M468" s="158" t="s">
        <v>422</v>
      </c>
      <c r="N468" s="23" t="s">
        <v>197</v>
      </c>
      <c r="O468" s="151" t="s">
        <v>957</v>
      </c>
      <c r="P468" s="155" t="s">
        <v>348</v>
      </c>
      <c r="Q468" s="53" t="s">
        <v>778</v>
      </c>
      <c r="R468" s="158" t="s">
        <v>207</v>
      </c>
      <c r="S468" s="158" t="str">
        <f>MID(PAA[[#This Row],[Meta Proyecto de Inversión]],1,4)</f>
        <v>8126</v>
      </c>
      <c r="T468" s="158" t="str">
        <f>MID(PAA[[#This Row],[Meta Proyecto de Inversión]],6,1)</f>
        <v>8</v>
      </c>
      <c r="U468" s="159" t="str">
        <f>IFERROR(VLOOKUP(N468,TD!$B$50:$F$54,2,0)," ")</f>
        <v>O230117</v>
      </c>
      <c r="V468" s="159" t="str">
        <f>IFERROR(VLOOKUP(N468,TD!$B$50:$F$54,3,0)," ")</f>
        <v>4599</v>
      </c>
      <c r="W468" s="159">
        <f>IFERROR(VLOOKUP(N468,TD!$B$50:$F$54,4,0)," ")</f>
        <v>20240207</v>
      </c>
      <c r="X468" s="158" t="s">
        <v>174</v>
      </c>
      <c r="Y468" s="159" t="str">
        <f>IFERROR(VLOOKUP(X468,TD!$J$51:$K$64,2,0)," ")</f>
        <v>Infraestructura física, mantenimiento y dotación (Sedes construidas, mantenidas reforzadas)</v>
      </c>
      <c r="Z468" s="160" t="str">
        <f>CONCATENATE(X468,"-",Y468)</f>
        <v>08-Infraestructura física, mantenimiento y dotación (Sedes construidas, mantenidas reforzadas)</v>
      </c>
      <c r="AA468" s="158" t="s">
        <v>227</v>
      </c>
      <c r="AB468" s="159" t="str">
        <f>IFERROR(VLOOKUP(AA468,TD!$N$51:$O$66,2,0)," ")</f>
        <v>Sedes mantenidas</v>
      </c>
      <c r="AC468" s="160" t="str">
        <f>CONCATENATE(AA468,"_",AB468)</f>
        <v>016_Sedes mantenidas</v>
      </c>
      <c r="AD468" s="160" t="str">
        <f>CONCATENATE(Z468," ",AC468)</f>
        <v>08-Infraestructura física, mantenimiento y dotación (Sedes construidas, mantenidas reforzadas) 016_Sedes mantenidas</v>
      </c>
      <c r="AE468" s="159" t="str">
        <f>CONCATENATE(U468,V468,W468,X468,AA468)</f>
        <v>O23011745992024020708016</v>
      </c>
      <c r="AF468" s="159" t="str">
        <f>IFERROR(VLOOKUP(AD468,TD!$J$66:$K$89,2,0)," ")</f>
        <v>PM/0131/0108/45990160207</v>
      </c>
      <c r="AG468" s="118" t="s">
        <v>385</v>
      </c>
      <c r="AH468" s="158" t="s">
        <v>193</v>
      </c>
      <c r="AI468" s="161" t="str">
        <f>CONCATENATE(PAA[[#This Row],[Id Interno]],"-",PAA[[#This Row],[tipo de Contrato (TH talento humano - B/S bienes y/o servicios)]],"-",S468,"-",T468,"-",PAA[[#This Row],[Objeto de la contratación]])</f>
        <v>20260436-TH-8126-8-Prestación de Servicios Profesionales en temas financieros, administrativas y misionales para apoyar los proyectos de infraestructura de la Subdirección de Gestión Corporativa.- SGC</v>
      </c>
    </row>
    <row r="469" spans="2:35" ht="70" x14ac:dyDescent="0.35">
      <c r="B469" s="23">
        <v>20260437</v>
      </c>
      <c r="C469" s="99" t="s">
        <v>708</v>
      </c>
      <c r="D469" s="23" t="s">
        <v>105</v>
      </c>
      <c r="E469" s="23" t="s">
        <v>363</v>
      </c>
      <c r="F469" s="155" t="s">
        <v>144</v>
      </c>
      <c r="G469" s="156" t="s">
        <v>373</v>
      </c>
      <c r="H469" s="157">
        <v>11</v>
      </c>
      <c r="I469" s="157">
        <v>0</v>
      </c>
      <c r="J469" s="127">
        <v>102034000</v>
      </c>
      <c r="K469" s="88" t="s">
        <v>398</v>
      </c>
      <c r="L469" s="155" t="s">
        <v>155</v>
      </c>
      <c r="M469" s="158" t="s">
        <v>422</v>
      </c>
      <c r="N469" s="23" t="s">
        <v>197</v>
      </c>
      <c r="O469" s="151" t="s">
        <v>957</v>
      </c>
      <c r="P469" s="155" t="s">
        <v>348</v>
      </c>
      <c r="Q469" s="53" t="s">
        <v>778</v>
      </c>
      <c r="R469" s="158" t="s">
        <v>207</v>
      </c>
      <c r="S469" s="158" t="str">
        <f>MID(PAA[[#This Row],[Meta Proyecto de Inversión]],1,4)</f>
        <v>8126</v>
      </c>
      <c r="T469" s="158" t="str">
        <f>MID(PAA[[#This Row],[Meta Proyecto de Inversión]],6,1)</f>
        <v>8</v>
      </c>
      <c r="U469" s="159" t="str">
        <f>IFERROR(VLOOKUP(N469,TD!$B$50:$F$54,2,0)," ")</f>
        <v>O230117</v>
      </c>
      <c r="V469" s="159" t="str">
        <f>IFERROR(VLOOKUP(N469,TD!$B$50:$F$54,3,0)," ")</f>
        <v>4599</v>
      </c>
      <c r="W469" s="159">
        <f>IFERROR(VLOOKUP(N469,TD!$B$50:$F$54,4,0)," ")</f>
        <v>20240207</v>
      </c>
      <c r="X469" s="158" t="s">
        <v>174</v>
      </c>
      <c r="Y469" s="159" t="str">
        <f>IFERROR(VLOOKUP(X469,TD!$J$51:$K$64,2,0)," ")</f>
        <v>Infraestructura física, mantenimiento y dotación (Sedes construidas, mantenidas reforzadas)</v>
      </c>
      <c r="Z469" s="160" t="str">
        <f>CONCATENATE(X469,"-",Y469)</f>
        <v>08-Infraestructura física, mantenimiento y dotación (Sedes construidas, mantenidas reforzadas)</v>
      </c>
      <c r="AA469" s="158" t="s">
        <v>227</v>
      </c>
      <c r="AB469" s="159" t="str">
        <f>IFERROR(VLOOKUP(AA469,TD!$N$51:$O$66,2,0)," ")</f>
        <v>Sedes mantenidas</v>
      </c>
      <c r="AC469" s="160" t="str">
        <f>CONCATENATE(AA469,"_",AB469)</f>
        <v>016_Sedes mantenidas</v>
      </c>
      <c r="AD469" s="160" t="str">
        <f>CONCATENATE(Z469," ",AC469)</f>
        <v>08-Infraestructura física, mantenimiento y dotación (Sedes construidas, mantenidas reforzadas) 016_Sedes mantenidas</v>
      </c>
      <c r="AE469" s="159" t="str">
        <f>CONCATENATE(U469,V469,W469,X469,AA469)</f>
        <v>O23011745992024020708016</v>
      </c>
      <c r="AF469" s="159" t="str">
        <f>IFERROR(VLOOKUP(AD469,TD!$J$66:$K$89,2,0)," ")</f>
        <v>PM/0131/0108/45990160207</v>
      </c>
      <c r="AG469" s="118" t="s">
        <v>385</v>
      </c>
      <c r="AH469" s="158" t="s">
        <v>193</v>
      </c>
      <c r="AI469" s="161" t="str">
        <f>CONCATENATE(PAA[[#This Row],[Id Interno]],"-",PAA[[#This Row],[tipo de Contrato (TH talento humano - B/S bienes y/o servicios)]],"-",S469,"-",T469,"-",PAA[[#This Row],[Objeto de la contratación]])</f>
        <v>20260437-TH-8126-8-Prestar servicios profesionales especializados para acompañar jurídicamente los procesos y procedimientos del área de infraestructura de la Subdirección de Gestión Corporativa. SGC</v>
      </c>
    </row>
    <row r="470" spans="2:35" ht="84" x14ac:dyDescent="0.35">
      <c r="B470" s="23">
        <v>20260438</v>
      </c>
      <c r="C470" s="99" t="s">
        <v>709</v>
      </c>
      <c r="D470" s="23" t="s">
        <v>105</v>
      </c>
      <c r="E470" s="23" t="s">
        <v>363</v>
      </c>
      <c r="F470" s="155" t="s">
        <v>144</v>
      </c>
      <c r="G470" s="156" t="s">
        <v>373</v>
      </c>
      <c r="H470" s="157">
        <v>11</v>
      </c>
      <c r="I470" s="157">
        <v>0</v>
      </c>
      <c r="J470" s="127">
        <v>81103000</v>
      </c>
      <c r="K470" s="88" t="s">
        <v>398</v>
      </c>
      <c r="L470" s="155" t="s">
        <v>155</v>
      </c>
      <c r="M470" s="158" t="s">
        <v>422</v>
      </c>
      <c r="N470" s="23" t="s">
        <v>197</v>
      </c>
      <c r="O470" s="151" t="s">
        <v>957</v>
      </c>
      <c r="P470" s="155" t="s">
        <v>348</v>
      </c>
      <c r="Q470" s="53" t="s">
        <v>778</v>
      </c>
      <c r="R470" s="158" t="s">
        <v>207</v>
      </c>
      <c r="S470" s="158" t="str">
        <f>MID(PAA[[#This Row],[Meta Proyecto de Inversión]],1,4)</f>
        <v>8126</v>
      </c>
      <c r="T470" s="158" t="str">
        <f>MID(PAA[[#This Row],[Meta Proyecto de Inversión]],6,1)</f>
        <v>8</v>
      </c>
      <c r="U470" s="159" t="str">
        <f>IFERROR(VLOOKUP(N470,TD!$B$50:$F$54,2,0)," ")</f>
        <v>O230117</v>
      </c>
      <c r="V470" s="159" t="str">
        <f>IFERROR(VLOOKUP(N470,TD!$B$50:$F$54,3,0)," ")</f>
        <v>4599</v>
      </c>
      <c r="W470" s="159">
        <f>IFERROR(VLOOKUP(N470,TD!$B$50:$F$54,4,0)," ")</f>
        <v>20240207</v>
      </c>
      <c r="X470" s="158" t="s">
        <v>174</v>
      </c>
      <c r="Y470" s="159" t="str">
        <f>IFERROR(VLOOKUP(X470,TD!$J$51:$K$64,2,0)," ")</f>
        <v>Infraestructura física, mantenimiento y dotación (Sedes construidas, mantenidas reforzadas)</v>
      </c>
      <c r="Z470" s="160" t="str">
        <f>CONCATENATE(X470,"-",Y470)</f>
        <v>08-Infraestructura física, mantenimiento y dotación (Sedes construidas, mantenidas reforzadas)</v>
      </c>
      <c r="AA470" s="158" t="s">
        <v>227</v>
      </c>
      <c r="AB470" s="159" t="str">
        <f>IFERROR(VLOOKUP(AA470,TD!$N$51:$O$66,2,0)," ")</f>
        <v>Sedes mantenidas</v>
      </c>
      <c r="AC470" s="160" t="str">
        <f>CONCATENATE(AA470,"_",AB470)</f>
        <v>016_Sedes mantenidas</v>
      </c>
      <c r="AD470" s="160" t="str">
        <f>CONCATENATE(Z470," ",AC470)</f>
        <v>08-Infraestructura física, mantenimiento y dotación (Sedes construidas, mantenidas reforzadas) 016_Sedes mantenidas</v>
      </c>
      <c r="AE470" s="159" t="str">
        <f>CONCATENATE(U470,V470,W470,X470,AA470)</f>
        <v>O23011745992024020708016</v>
      </c>
      <c r="AF470" s="159" t="str">
        <f>IFERROR(VLOOKUP(AD470,TD!$J$66:$K$89,2,0)," ")</f>
        <v>PM/0131/0108/45990160207</v>
      </c>
      <c r="AG470" s="118" t="s">
        <v>385</v>
      </c>
      <c r="AH470" s="158" t="s">
        <v>193</v>
      </c>
      <c r="AI470" s="161" t="str">
        <f>CONCATENATE(PAA[[#This Row],[Id Interno]],"-",PAA[[#This Row],[tipo de Contrato (TH talento humano - B/S bienes y/o servicios)]],"-",S470,"-",T470,"-",PAA[[#This Row],[Objeto de la contratación]])</f>
        <v>20260438-TH-8126-8-Prestación de servicios profesionales para apoyar las actividades técnicas del Área de Infraestructura de la Subdirección de Gestión Corporativa-SGC</v>
      </c>
    </row>
    <row r="471" spans="2:35" ht="56" x14ac:dyDescent="0.35">
      <c r="B471" s="23">
        <v>20260439</v>
      </c>
      <c r="C471" s="99" t="s">
        <v>710</v>
      </c>
      <c r="D471" s="23" t="s">
        <v>105</v>
      </c>
      <c r="E471" s="23" t="s">
        <v>363</v>
      </c>
      <c r="F471" s="155" t="s">
        <v>144</v>
      </c>
      <c r="G471" s="156" t="s">
        <v>373</v>
      </c>
      <c r="H471" s="157">
        <v>10</v>
      </c>
      <c r="I471" s="157">
        <v>0</v>
      </c>
      <c r="J471" s="118">
        <v>51611000</v>
      </c>
      <c r="K471" s="88" t="s">
        <v>398</v>
      </c>
      <c r="L471" s="155" t="s">
        <v>155</v>
      </c>
      <c r="M471" s="158" t="s">
        <v>422</v>
      </c>
      <c r="N471" s="23" t="s">
        <v>197</v>
      </c>
      <c r="O471" s="151" t="s">
        <v>957</v>
      </c>
      <c r="P471" s="155" t="s">
        <v>348</v>
      </c>
      <c r="Q471" s="53" t="s">
        <v>778</v>
      </c>
      <c r="R471" s="158" t="s">
        <v>207</v>
      </c>
      <c r="S471" s="158" t="str">
        <f>MID(PAA[[#This Row],[Meta Proyecto de Inversión]],1,4)</f>
        <v>8126</v>
      </c>
      <c r="T471" s="158" t="str">
        <f>MID(PAA[[#This Row],[Meta Proyecto de Inversión]],6,1)</f>
        <v>8</v>
      </c>
      <c r="U471" s="159" t="str">
        <f>IFERROR(VLOOKUP(N471,TD!$B$50:$F$54,2,0)," ")</f>
        <v>O230117</v>
      </c>
      <c r="V471" s="159" t="str">
        <f>IFERROR(VLOOKUP(N471,TD!$B$50:$F$54,3,0)," ")</f>
        <v>4599</v>
      </c>
      <c r="W471" s="159">
        <f>IFERROR(VLOOKUP(N471,TD!$B$50:$F$54,4,0)," ")</f>
        <v>20240207</v>
      </c>
      <c r="X471" s="158" t="s">
        <v>174</v>
      </c>
      <c r="Y471" s="159" t="str">
        <f>IFERROR(VLOOKUP(X471,TD!$J$51:$K$64,2,0)," ")</f>
        <v>Infraestructura física, mantenimiento y dotación (Sedes construidas, mantenidas reforzadas)</v>
      </c>
      <c r="Z471" s="160" t="str">
        <f>CONCATENATE(X471,"-",Y471)</f>
        <v>08-Infraestructura física, mantenimiento y dotación (Sedes construidas, mantenidas reforzadas)</v>
      </c>
      <c r="AA471" s="158" t="s">
        <v>227</v>
      </c>
      <c r="AB471" s="159" t="str">
        <f>IFERROR(VLOOKUP(AA471,TD!$N$51:$O$66,2,0)," ")</f>
        <v>Sedes mantenidas</v>
      </c>
      <c r="AC471" s="160" t="str">
        <f>CONCATENATE(AA471,"_",AB471)</f>
        <v>016_Sedes mantenidas</v>
      </c>
      <c r="AD471" s="160" t="str">
        <f>CONCATENATE(Z471," ",AC471)</f>
        <v>08-Infraestructura física, mantenimiento y dotación (Sedes construidas, mantenidas reforzadas) 016_Sedes mantenidas</v>
      </c>
      <c r="AE471" s="159" t="str">
        <f>CONCATENATE(U471,V471,W471,X471,AA471)</f>
        <v>O23011745992024020708016</v>
      </c>
      <c r="AF471" s="159" t="str">
        <f>IFERROR(VLOOKUP(AD471,TD!$J$66:$K$89,2,0)," ")</f>
        <v>PM/0131/0108/45990160207</v>
      </c>
      <c r="AG471" s="118" t="s">
        <v>385</v>
      </c>
      <c r="AH471" s="158" t="s">
        <v>193</v>
      </c>
      <c r="AI471" s="161" t="str">
        <f>CONCATENATE(PAA[[#This Row],[Id Interno]],"-",PAA[[#This Row],[tipo de Contrato (TH talento humano - B/S bienes y/o servicios)]],"-",S471,"-",T471,"-",PAA[[#This Row],[Objeto de la contratación]])</f>
        <v>20260439-TH-8126-8-Prestar servicios profesionales con el fin de atender los trámites ambientales y los demás que requiera el área de Infraestructura de la Subdirección de Gestión Corporativa. SGC</v>
      </c>
    </row>
    <row r="472" spans="2:35" ht="56" x14ac:dyDescent="0.35">
      <c r="B472" s="23">
        <v>20260440</v>
      </c>
      <c r="C472" s="99" t="s">
        <v>711</v>
      </c>
      <c r="D472" s="23" t="s">
        <v>105</v>
      </c>
      <c r="E472" s="23" t="s">
        <v>363</v>
      </c>
      <c r="F472" s="155" t="s">
        <v>145</v>
      </c>
      <c r="G472" s="156" t="s">
        <v>373</v>
      </c>
      <c r="H472" s="157">
        <v>11</v>
      </c>
      <c r="I472" s="157">
        <v>0</v>
      </c>
      <c r="J472" s="127">
        <v>38060000</v>
      </c>
      <c r="K472" s="88" t="s">
        <v>398</v>
      </c>
      <c r="L472" s="155" t="s">
        <v>155</v>
      </c>
      <c r="M472" s="158" t="s">
        <v>422</v>
      </c>
      <c r="N472" s="23" t="s">
        <v>197</v>
      </c>
      <c r="O472" s="151" t="s">
        <v>957</v>
      </c>
      <c r="P472" s="155" t="s">
        <v>348</v>
      </c>
      <c r="Q472" s="53" t="s">
        <v>778</v>
      </c>
      <c r="R472" s="158" t="s">
        <v>207</v>
      </c>
      <c r="S472" s="158" t="str">
        <f>MID(PAA[[#This Row],[Meta Proyecto de Inversión]],1,4)</f>
        <v>8126</v>
      </c>
      <c r="T472" s="158" t="str">
        <f>MID(PAA[[#This Row],[Meta Proyecto de Inversión]],6,1)</f>
        <v>8</v>
      </c>
      <c r="U472" s="159" t="str">
        <f>IFERROR(VLOOKUP(N472,TD!$B$50:$F$54,2,0)," ")</f>
        <v>O230117</v>
      </c>
      <c r="V472" s="159" t="str">
        <f>IFERROR(VLOOKUP(N472,TD!$B$50:$F$54,3,0)," ")</f>
        <v>4599</v>
      </c>
      <c r="W472" s="159">
        <f>IFERROR(VLOOKUP(N472,TD!$B$50:$F$54,4,0)," ")</f>
        <v>20240207</v>
      </c>
      <c r="X472" s="158" t="s">
        <v>174</v>
      </c>
      <c r="Y472" s="159" t="str">
        <f>IFERROR(VLOOKUP(X472,TD!$J$51:$K$64,2,0)," ")</f>
        <v>Infraestructura física, mantenimiento y dotación (Sedes construidas, mantenidas reforzadas)</v>
      </c>
      <c r="Z472" s="160" t="str">
        <f>CONCATENATE(X472,"-",Y472)</f>
        <v>08-Infraestructura física, mantenimiento y dotación (Sedes construidas, mantenidas reforzadas)</v>
      </c>
      <c r="AA472" s="158" t="s">
        <v>227</v>
      </c>
      <c r="AB472" s="159" t="str">
        <f>IFERROR(VLOOKUP(AA472,TD!$N$51:$O$66,2,0)," ")</f>
        <v>Sedes mantenidas</v>
      </c>
      <c r="AC472" s="160" t="str">
        <f>CONCATENATE(AA472,"_",AB472)</f>
        <v>016_Sedes mantenidas</v>
      </c>
      <c r="AD472" s="160" t="str">
        <f>CONCATENATE(Z472," ",AC472)</f>
        <v>08-Infraestructura física, mantenimiento y dotación (Sedes construidas, mantenidas reforzadas) 016_Sedes mantenidas</v>
      </c>
      <c r="AE472" s="159" t="str">
        <f>CONCATENATE(U472,V472,W472,X472,AA472)</f>
        <v>O23011745992024020708016</v>
      </c>
      <c r="AF472" s="159" t="str">
        <f>IFERROR(VLOOKUP(AD472,TD!$J$66:$K$89,2,0)," ")</f>
        <v>PM/0131/0108/45990160207</v>
      </c>
      <c r="AG472" s="118" t="s">
        <v>385</v>
      </c>
      <c r="AH472" s="158" t="s">
        <v>193</v>
      </c>
      <c r="AI472" s="161" t="str">
        <f>CONCATENATE(PAA[[#This Row],[Id Interno]],"-",PAA[[#This Row],[tipo de Contrato (TH talento humano - B/S bienes y/o servicios)]],"-",S472,"-",T472,"-",PAA[[#This Row],[Objeto de la contratación]])</f>
        <v>20260440-TH-8126-8-Prestar los servicios como conductor del  Area de Infraestructura a fin de atender las actividades propias asociadas al mantenimiento de las sedes de UAECOB de la Subdirección de Gestión Corporativa -SGC</v>
      </c>
    </row>
    <row r="473" spans="2:35" ht="56" x14ac:dyDescent="0.35">
      <c r="B473" s="23">
        <v>20260441</v>
      </c>
      <c r="C473" s="99" t="s">
        <v>712</v>
      </c>
      <c r="D473" s="23" t="s">
        <v>105</v>
      </c>
      <c r="E473" s="23" t="s">
        <v>363</v>
      </c>
      <c r="F473" s="155" t="s">
        <v>145</v>
      </c>
      <c r="G473" s="156" t="s">
        <v>373</v>
      </c>
      <c r="H473" s="157">
        <v>10</v>
      </c>
      <c r="I473" s="157">
        <v>0</v>
      </c>
      <c r="J473" s="127">
        <v>32843000</v>
      </c>
      <c r="K473" s="88" t="s">
        <v>398</v>
      </c>
      <c r="L473" s="155" t="s">
        <v>155</v>
      </c>
      <c r="M473" s="158" t="s">
        <v>422</v>
      </c>
      <c r="N473" s="23" t="s">
        <v>197</v>
      </c>
      <c r="O473" s="151" t="s">
        <v>957</v>
      </c>
      <c r="P473" s="155" t="s">
        <v>348</v>
      </c>
      <c r="Q473" s="53" t="s">
        <v>778</v>
      </c>
      <c r="R473" s="158" t="s">
        <v>207</v>
      </c>
      <c r="S473" s="158" t="str">
        <f>MID(PAA[[#This Row],[Meta Proyecto de Inversión]],1,4)</f>
        <v>8126</v>
      </c>
      <c r="T473" s="158" t="str">
        <f>MID(PAA[[#This Row],[Meta Proyecto de Inversión]],6,1)</f>
        <v>8</v>
      </c>
      <c r="U473" s="159" t="str">
        <f>IFERROR(VLOOKUP(N473,TD!$B$50:$F$54,2,0)," ")</f>
        <v>O230117</v>
      </c>
      <c r="V473" s="159" t="str">
        <f>IFERROR(VLOOKUP(N473,TD!$B$50:$F$54,3,0)," ")</f>
        <v>4599</v>
      </c>
      <c r="W473" s="159">
        <f>IFERROR(VLOOKUP(N473,TD!$B$50:$F$54,4,0)," ")</f>
        <v>20240207</v>
      </c>
      <c r="X473" s="158" t="s">
        <v>174</v>
      </c>
      <c r="Y473" s="159" t="str">
        <f>IFERROR(VLOOKUP(X473,TD!$J$51:$K$64,2,0)," ")</f>
        <v>Infraestructura física, mantenimiento y dotación (Sedes construidas, mantenidas reforzadas)</v>
      </c>
      <c r="Z473" s="160" t="str">
        <f>CONCATENATE(X473,"-",Y473)</f>
        <v>08-Infraestructura física, mantenimiento y dotación (Sedes construidas, mantenidas reforzadas)</v>
      </c>
      <c r="AA473" s="158" t="s">
        <v>227</v>
      </c>
      <c r="AB473" s="159" t="str">
        <f>IFERROR(VLOOKUP(AA473,TD!$N$51:$O$66,2,0)," ")</f>
        <v>Sedes mantenidas</v>
      </c>
      <c r="AC473" s="160" t="str">
        <f>CONCATENATE(AA473,"_",AB473)</f>
        <v>016_Sedes mantenidas</v>
      </c>
      <c r="AD473" s="160" t="str">
        <f>CONCATENATE(Z473," ",AC473)</f>
        <v>08-Infraestructura física, mantenimiento y dotación (Sedes construidas, mantenidas reforzadas) 016_Sedes mantenidas</v>
      </c>
      <c r="AE473" s="159" t="str">
        <f>CONCATENATE(U473,V473,W473,X473,AA473)</f>
        <v>O23011745992024020708016</v>
      </c>
      <c r="AF473" s="159" t="str">
        <f>IFERROR(VLOOKUP(AD473,TD!$J$66:$K$89,2,0)," ")</f>
        <v>PM/0131/0108/45990160207</v>
      </c>
      <c r="AG473" s="118" t="s">
        <v>385</v>
      </c>
      <c r="AH473" s="158" t="s">
        <v>193</v>
      </c>
      <c r="AI473" s="161" t="str">
        <f>CONCATENATE(PAA[[#This Row],[Id Interno]],"-",PAA[[#This Row],[tipo de Contrato (TH talento humano - B/S bienes y/o servicios)]],"-",S473,"-",T473,"-",PAA[[#This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74" spans="2:35" ht="56" x14ac:dyDescent="0.35">
      <c r="B474" s="23">
        <v>20260442</v>
      </c>
      <c r="C474" s="99" t="s">
        <v>712</v>
      </c>
      <c r="D474" s="23" t="s">
        <v>105</v>
      </c>
      <c r="E474" s="23" t="s">
        <v>363</v>
      </c>
      <c r="F474" s="155" t="s">
        <v>145</v>
      </c>
      <c r="G474" s="156" t="s">
        <v>373</v>
      </c>
      <c r="H474" s="157">
        <v>10</v>
      </c>
      <c r="I474" s="157">
        <v>0</v>
      </c>
      <c r="J474" s="127">
        <v>32843000</v>
      </c>
      <c r="K474" s="88" t="s">
        <v>398</v>
      </c>
      <c r="L474" s="155" t="s">
        <v>155</v>
      </c>
      <c r="M474" s="158" t="s">
        <v>422</v>
      </c>
      <c r="N474" s="23" t="s">
        <v>197</v>
      </c>
      <c r="O474" s="151" t="s">
        <v>957</v>
      </c>
      <c r="P474" s="155" t="s">
        <v>348</v>
      </c>
      <c r="Q474" s="53" t="s">
        <v>778</v>
      </c>
      <c r="R474" s="158" t="s">
        <v>207</v>
      </c>
      <c r="S474" s="158" t="str">
        <f>MID(PAA[[#This Row],[Meta Proyecto de Inversión]],1,4)</f>
        <v>8126</v>
      </c>
      <c r="T474" s="158" t="str">
        <f>MID(PAA[[#This Row],[Meta Proyecto de Inversión]],6,1)</f>
        <v>8</v>
      </c>
      <c r="U474" s="159" t="str">
        <f>IFERROR(VLOOKUP(N474,TD!$B$50:$F$54,2,0)," ")</f>
        <v>O230117</v>
      </c>
      <c r="V474" s="159" t="str">
        <f>IFERROR(VLOOKUP(N474,TD!$B$50:$F$54,3,0)," ")</f>
        <v>4599</v>
      </c>
      <c r="W474" s="159">
        <f>IFERROR(VLOOKUP(N474,TD!$B$50:$F$54,4,0)," ")</f>
        <v>20240207</v>
      </c>
      <c r="X474" s="158" t="s">
        <v>174</v>
      </c>
      <c r="Y474" s="159" t="str">
        <f>IFERROR(VLOOKUP(X474,TD!$J$51:$K$64,2,0)," ")</f>
        <v>Infraestructura física, mantenimiento y dotación (Sedes construidas, mantenidas reforzadas)</v>
      </c>
      <c r="Z474" s="160" t="str">
        <f>CONCATENATE(X474,"-",Y474)</f>
        <v>08-Infraestructura física, mantenimiento y dotación (Sedes construidas, mantenidas reforzadas)</v>
      </c>
      <c r="AA474" s="158" t="s">
        <v>227</v>
      </c>
      <c r="AB474" s="159" t="str">
        <f>IFERROR(VLOOKUP(AA474,TD!$N$51:$O$66,2,0)," ")</f>
        <v>Sedes mantenidas</v>
      </c>
      <c r="AC474" s="160" t="str">
        <f>CONCATENATE(AA474,"_",AB474)</f>
        <v>016_Sedes mantenidas</v>
      </c>
      <c r="AD474" s="160" t="str">
        <f>CONCATENATE(Z474," ",AC474)</f>
        <v>08-Infraestructura física, mantenimiento y dotación (Sedes construidas, mantenidas reforzadas) 016_Sedes mantenidas</v>
      </c>
      <c r="AE474" s="159" t="str">
        <f>CONCATENATE(U474,V474,W474,X474,AA474)</f>
        <v>O23011745992024020708016</v>
      </c>
      <c r="AF474" s="159" t="str">
        <f>IFERROR(VLOOKUP(AD474,TD!$J$66:$K$89,2,0)," ")</f>
        <v>PM/0131/0108/45990160207</v>
      </c>
      <c r="AG474" s="118" t="s">
        <v>385</v>
      </c>
      <c r="AH474" s="158" t="s">
        <v>193</v>
      </c>
      <c r="AI474" s="161" t="str">
        <f>CONCATENATE(PAA[[#This Row],[Id Interno]],"-",PAA[[#This Row],[tipo de Contrato (TH talento humano - B/S bienes y/o servicios)]],"-",S474,"-",T474,"-",PAA[[#This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75" spans="2:35" ht="56" x14ac:dyDescent="0.35">
      <c r="B475" s="23">
        <v>20260443</v>
      </c>
      <c r="C475" s="99" t="s">
        <v>712</v>
      </c>
      <c r="D475" s="23" t="s">
        <v>105</v>
      </c>
      <c r="E475" s="23" t="s">
        <v>363</v>
      </c>
      <c r="F475" s="155" t="s">
        <v>145</v>
      </c>
      <c r="G475" s="156" t="s">
        <v>373</v>
      </c>
      <c r="H475" s="157">
        <v>10</v>
      </c>
      <c r="I475" s="157">
        <v>0</v>
      </c>
      <c r="J475" s="127">
        <v>32843000</v>
      </c>
      <c r="K475" s="88" t="s">
        <v>398</v>
      </c>
      <c r="L475" s="155" t="s">
        <v>155</v>
      </c>
      <c r="M475" s="158" t="s">
        <v>422</v>
      </c>
      <c r="N475" s="23" t="s">
        <v>197</v>
      </c>
      <c r="O475" s="151" t="s">
        <v>957</v>
      </c>
      <c r="P475" s="155" t="s">
        <v>348</v>
      </c>
      <c r="Q475" s="53" t="s">
        <v>778</v>
      </c>
      <c r="R475" s="158" t="s">
        <v>207</v>
      </c>
      <c r="S475" s="158" t="str">
        <f>MID(PAA[[#This Row],[Meta Proyecto de Inversión]],1,4)</f>
        <v>8126</v>
      </c>
      <c r="T475" s="158" t="str">
        <f>MID(PAA[[#This Row],[Meta Proyecto de Inversión]],6,1)</f>
        <v>8</v>
      </c>
      <c r="U475" s="159" t="str">
        <f>IFERROR(VLOOKUP(N475,TD!$B$50:$F$54,2,0)," ")</f>
        <v>O230117</v>
      </c>
      <c r="V475" s="159" t="str">
        <f>IFERROR(VLOOKUP(N475,TD!$B$50:$F$54,3,0)," ")</f>
        <v>4599</v>
      </c>
      <c r="W475" s="159">
        <f>IFERROR(VLOOKUP(N475,TD!$B$50:$F$54,4,0)," ")</f>
        <v>20240207</v>
      </c>
      <c r="X475" s="158" t="s">
        <v>174</v>
      </c>
      <c r="Y475" s="159" t="str">
        <f>IFERROR(VLOOKUP(X475,TD!$J$51:$K$64,2,0)," ")</f>
        <v>Infraestructura física, mantenimiento y dotación (Sedes construidas, mantenidas reforzadas)</v>
      </c>
      <c r="Z475" s="160" t="str">
        <f>CONCATENATE(X475,"-",Y475)</f>
        <v>08-Infraestructura física, mantenimiento y dotación (Sedes construidas, mantenidas reforzadas)</v>
      </c>
      <c r="AA475" s="158" t="s">
        <v>227</v>
      </c>
      <c r="AB475" s="159" t="str">
        <f>IFERROR(VLOOKUP(AA475,TD!$N$51:$O$66,2,0)," ")</f>
        <v>Sedes mantenidas</v>
      </c>
      <c r="AC475" s="160" t="str">
        <f>CONCATENATE(AA475,"_",AB475)</f>
        <v>016_Sedes mantenidas</v>
      </c>
      <c r="AD475" s="160" t="str">
        <f>CONCATENATE(Z475," ",AC475)</f>
        <v>08-Infraestructura física, mantenimiento y dotación (Sedes construidas, mantenidas reforzadas) 016_Sedes mantenidas</v>
      </c>
      <c r="AE475" s="159" t="str">
        <f>CONCATENATE(U475,V475,W475,X475,AA475)</f>
        <v>O23011745992024020708016</v>
      </c>
      <c r="AF475" s="159" t="str">
        <f>IFERROR(VLOOKUP(AD475,TD!$J$66:$K$89,2,0)," ")</f>
        <v>PM/0131/0108/45990160207</v>
      </c>
      <c r="AG475" s="118" t="s">
        <v>385</v>
      </c>
      <c r="AH475" s="158" t="s">
        <v>193</v>
      </c>
      <c r="AI475" s="161" t="str">
        <f>CONCATENATE(PAA[[#This Row],[Id Interno]],"-",PAA[[#This Row],[tipo de Contrato (TH talento humano - B/S bienes y/o servicios)]],"-",S475,"-",T475,"-",PAA[[#This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76" spans="2:35" ht="56" x14ac:dyDescent="0.35">
      <c r="B476" s="23">
        <v>20260444</v>
      </c>
      <c r="C476" s="99" t="s">
        <v>712</v>
      </c>
      <c r="D476" s="23" t="s">
        <v>105</v>
      </c>
      <c r="E476" s="23" t="s">
        <v>363</v>
      </c>
      <c r="F476" s="155" t="s">
        <v>145</v>
      </c>
      <c r="G476" s="156" t="s">
        <v>373</v>
      </c>
      <c r="H476" s="157">
        <v>11</v>
      </c>
      <c r="I476" s="157">
        <v>0</v>
      </c>
      <c r="J476" s="127">
        <v>36128000</v>
      </c>
      <c r="K476" s="88" t="s">
        <v>398</v>
      </c>
      <c r="L476" s="155" t="s">
        <v>155</v>
      </c>
      <c r="M476" s="158" t="s">
        <v>422</v>
      </c>
      <c r="N476" s="23" t="s">
        <v>197</v>
      </c>
      <c r="O476" s="151" t="s">
        <v>957</v>
      </c>
      <c r="P476" s="155" t="s">
        <v>348</v>
      </c>
      <c r="Q476" s="53" t="s">
        <v>778</v>
      </c>
      <c r="R476" s="158" t="s">
        <v>207</v>
      </c>
      <c r="S476" s="158" t="str">
        <f>MID(PAA[[#This Row],[Meta Proyecto de Inversión]],1,4)</f>
        <v>8126</v>
      </c>
      <c r="T476" s="158" t="str">
        <f>MID(PAA[[#This Row],[Meta Proyecto de Inversión]],6,1)</f>
        <v>8</v>
      </c>
      <c r="U476" s="159" t="str">
        <f>IFERROR(VLOOKUP(N476,TD!$B$50:$F$54,2,0)," ")</f>
        <v>O230117</v>
      </c>
      <c r="V476" s="159" t="str">
        <f>IFERROR(VLOOKUP(N476,TD!$B$50:$F$54,3,0)," ")</f>
        <v>4599</v>
      </c>
      <c r="W476" s="159">
        <f>IFERROR(VLOOKUP(N476,TD!$B$50:$F$54,4,0)," ")</f>
        <v>20240207</v>
      </c>
      <c r="X476" s="158" t="s">
        <v>174</v>
      </c>
      <c r="Y476" s="159" t="str">
        <f>IFERROR(VLOOKUP(X476,TD!$J$51:$K$64,2,0)," ")</f>
        <v>Infraestructura física, mantenimiento y dotación (Sedes construidas, mantenidas reforzadas)</v>
      </c>
      <c r="Z476" s="160" t="str">
        <f>CONCATENATE(X476,"-",Y476)</f>
        <v>08-Infraestructura física, mantenimiento y dotación (Sedes construidas, mantenidas reforzadas)</v>
      </c>
      <c r="AA476" s="158" t="s">
        <v>227</v>
      </c>
      <c r="AB476" s="159" t="str">
        <f>IFERROR(VLOOKUP(AA476,TD!$N$51:$O$66,2,0)," ")</f>
        <v>Sedes mantenidas</v>
      </c>
      <c r="AC476" s="160" t="str">
        <f>CONCATENATE(AA476,"_",AB476)</f>
        <v>016_Sedes mantenidas</v>
      </c>
      <c r="AD476" s="160" t="str">
        <f>CONCATENATE(Z476," ",AC476)</f>
        <v>08-Infraestructura física, mantenimiento y dotación (Sedes construidas, mantenidas reforzadas) 016_Sedes mantenidas</v>
      </c>
      <c r="AE476" s="159" t="str">
        <f>CONCATENATE(U476,V476,W476,X476,AA476)</f>
        <v>O23011745992024020708016</v>
      </c>
      <c r="AF476" s="159" t="str">
        <f>IFERROR(VLOOKUP(AD476,TD!$J$66:$K$89,2,0)," ")</f>
        <v>PM/0131/0108/45990160207</v>
      </c>
      <c r="AG476" s="118" t="s">
        <v>385</v>
      </c>
      <c r="AH476" s="158" t="s">
        <v>193</v>
      </c>
      <c r="AI476" s="161" t="str">
        <f>CONCATENATE(PAA[[#This Row],[Id Interno]],"-",PAA[[#This Row],[tipo de Contrato (TH talento humano - B/S bienes y/o servicios)]],"-",S476,"-",T476,"-",PAA[[#This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77" spans="2:35" ht="42" x14ac:dyDescent="0.35">
      <c r="B477" s="23">
        <v>20260445</v>
      </c>
      <c r="C477" s="99" t="s">
        <v>713</v>
      </c>
      <c r="D477" s="23" t="s">
        <v>105</v>
      </c>
      <c r="E477" s="23" t="s">
        <v>363</v>
      </c>
      <c r="F477" s="155" t="s">
        <v>144</v>
      </c>
      <c r="G477" s="156" t="s">
        <v>373</v>
      </c>
      <c r="H477" s="157">
        <v>11</v>
      </c>
      <c r="I477" s="157">
        <v>0</v>
      </c>
      <c r="J477" s="127">
        <v>66357000</v>
      </c>
      <c r="K477" s="88" t="s">
        <v>398</v>
      </c>
      <c r="L477" s="155" t="s">
        <v>155</v>
      </c>
      <c r="M477" s="158" t="s">
        <v>422</v>
      </c>
      <c r="N477" s="23" t="s">
        <v>197</v>
      </c>
      <c r="O477" s="151" t="s">
        <v>957</v>
      </c>
      <c r="P477" s="155" t="s">
        <v>348</v>
      </c>
      <c r="Q477" s="53" t="s">
        <v>778</v>
      </c>
      <c r="R477" s="158" t="s">
        <v>208</v>
      </c>
      <c r="S477" s="158" t="str">
        <f>MID(PAA[[#This Row],[Meta Proyecto de Inversión]],1,4)</f>
        <v>8126</v>
      </c>
      <c r="T477" s="158" t="str">
        <f>MID(PAA[[#This Row],[Meta Proyecto de Inversión]],6,1)</f>
        <v>9</v>
      </c>
      <c r="U477" s="159" t="str">
        <f>IFERROR(VLOOKUP(N477,TD!$B$50:$F$54,2,0)," ")</f>
        <v>O230117</v>
      </c>
      <c r="V477" s="159" t="str">
        <f>IFERROR(VLOOKUP(N477,TD!$B$50:$F$54,3,0)," ")</f>
        <v>4599</v>
      </c>
      <c r="W477" s="159">
        <f>IFERROR(VLOOKUP(N477,TD!$B$50:$F$54,4,0)," ")</f>
        <v>20240207</v>
      </c>
      <c r="X477" s="158" t="s">
        <v>174</v>
      </c>
      <c r="Y477" s="159" t="str">
        <f>IFERROR(VLOOKUP(X477,TD!$J$51:$K$64,2,0)," ")</f>
        <v>Infraestructura física, mantenimiento y dotación (Sedes construidas, mantenidas reforzadas)</v>
      </c>
      <c r="Z477" s="160" t="str">
        <f>CONCATENATE(X477,"-",Y477)</f>
        <v>08-Infraestructura física, mantenimiento y dotación (Sedes construidas, mantenidas reforzadas)</v>
      </c>
      <c r="AA477" s="158" t="s">
        <v>227</v>
      </c>
      <c r="AB477" s="159" t="str">
        <f>IFERROR(VLOOKUP(AA477,TD!$N$51:$O$66,2,0)," ")</f>
        <v>Sedes mantenidas</v>
      </c>
      <c r="AC477" s="160" t="str">
        <f>CONCATENATE(AA477,"_",AB477)</f>
        <v>016_Sedes mantenidas</v>
      </c>
      <c r="AD477" s="160" t="str">
        <f>CONCATENATE(Z477," ",AC477)</f>
        <v>08-Infraestructura física, mantenimiento y dotación (Sedes construidas, mantenidas reforzadas) 016_Sedes mantenidas</v>
      </c>
      <c r="AE477" s="159" t="str">
        <f>CONCATENATE(U477,V477,W477,X477,AA477)</f>
        <v>O23011745992024020708016</v>
      </c>
      <c r="AF477" s="159" t="str">
        <f>IFERROR(VLOOKUP(AD477,TD!$J$66:$K$89,2,0)," ")</f>
        <v>PM/0131/0108/45990160207</v>
      </c>
      <c r="AG477" s="118" t="s">
        <v>385</v>
      </c>
      <c r="AH477" s="158" t="s">
        <v>193</v>
      </c>
      <c r="AI477" s="161" t="str">
        <f>CONCATENATE(PAA[[#This Row],[Id Interno]],"-",PAA[[#This Row],[tipo de Contrato (TH talento humano - B/S bienes y/o servicios)]],"-",S477,"-",T477,"-",PAA[[#This Row],[Objeto de la contratación]])</f>
        <v>20260445-TH-8126-9-Prestación de servicios profesionales al área Financiera de la Subdirección de Gestión Corporativa--SGC</v>
      </c>
    </row>
    <row r="478" spans="2:35" ht="56" x14ac:dyDescent="0.35">
      <c r="B478" s="23">
        <v>20260446</v>
      </c>
      <c r="C478" s="99" t="s">
        <v>713</v>
      </c>
      <c r="D478" s="23" t="s">
        <v>105</v>
      </c>
      <c r="E478" s="23" t="s">
        <v>363</v>
      </c>
      <c r="F478" s="155" t="s">
        <v>144</v>
      </c>
      <c r="G478" s="156" t="s">
        <v>373</v>
      </c>
      <c r="H478" s="157">
        <v>11</v>
      </c>
      <c r="I478" s="157">
        <v>0</v>
      </c>
      <c r="J478" s="127">
        <v>66357000</v>
      </c>
      <c r="K478" s="88" t="s">
        <v>398</v>
      </c>
      <c r="L478" s="155" t="s">
        <v>155</v>
      </c>
      <c r="M478" s="158" t="s">
        <v>422</v>
      </c>
      <c r="N478" s="23" t="s">
        <v>197</v>
      </c>
      <c r="O478" s="151" t="s">
        <v>957</v>
      </c>
      <c r="P478" s="155" t="s">
        <v>348</v>
      </c>
      <c r="Q478" s="53" t="s">
        <v>778</v>
      </c>
      <c r="R478" s="158" t="s">
        <v>208</v>
      </c>
      <c r="S478" s="158" t="str">
        <f>MID(PAA[[#This Row],[Meta Proyecto de Inversión]],1,4)</f>
        <v>8126</v>
      </c>
      <c r="T478" s="158" t="str">
        <f>MID(PAA[[#This Row],[Meta Proyecto de Inversión]],6,1)</f>
        <v>9</v>
      </c>
      <c r="U478" s="159" t="str">
        <f>IFERROR(VLOOKUP(N478,TD!$B$50:$F$54,2,0)," ")</f>
        <v>O230117</v>
      </c>
      <c r="V478" s="159" t="str">
        <f>IFERROR(VLOOKUP(N478,TD!$B$50:$F$54,3,0)," ")</f>
        <v>4599</v>
      </c>
      <c r="W478" s="159">
        <f>IFERROR(VLOOKUP(N478,TD!$B$50:$F$54,4,0)," ")</f>
        <v>20240207</v>
      </c>
      <c r="X478" s="158" t="s">
        <v>174</v>
      </c>
      <c r="Y478" s="159" t="str">
        <f>IFERROR(VLOOKUP(X478,TD!$J$51:$K$64,2,0)," ")</f>
        <v>Infraestructura física, mantenimiento y dotación (Sedes construidas, mantenidas reforzadas)</v>
      </c>
      <c r="Z478" s="160" t="str">
        <f>CONCATENATE(X478,"-",Y478)</f>
        <v>08-Infraestructura física, mantenimiento y dotación (Sedes construidas, mantenidas reforzadas)</v>
      </c>
      <c r="AA478" s="158" t="s">
        <v>227</v>
      </c>
      <c r="AB478" s="159" t="str">
        <f>IFERROR(VLOOKUP(AA478,TD!$N$51:$O$66,2,0)," ")</f>
        <v>Sedes mantenidas</v>
      </c>
      <c r="AC478" s="160" t="str">
        <f>CONCATENATE(AA478,"_",AB478)</f>
        <v>016_Sedes mantenidas</v>
      </c>
      <c r="AD478" s="160" t="str">
        <f>CONCATENATE(Z478," ",AC478)</f>
        <v>08-Infraestructura física, mantenimiento y dotación (Sedes construidas, mantenidas reforzadas) 016_Sedes mantenidas</v>
      </c>
      <c r="AE478" s="159" t="str">
        <f>CONCATENATE(U478,V478,W478,X478,AA478)</f>
        <v>O23011745992024020708016</v>
      </c>
      <c r="AF478" s="159" t="str">
        <f>IFERROR(VLOOKUP(AD478,TD!$J$66:$K$89,2,0)," ")</f>
        <v>PM/0131/0108/45990160207</v>
      </c>
      <c r="AG478" s="118" t="s">
        <v>385</v>
      </c>
      <c r="AH478" s="158" t="s">
        <v>193</v>
      </c>
      <c r="AI478" s="161" t="str">
        <f>CONCATENATE(PAA[[#This Row],[Id Interno]],"-",PAA[[#This Row],[tipo de Contrato (TH talento humano - B/S bienes y/o servicios)]],"-",S478,"-",T478,"-",PAA[[#This Row],[Objeto de la contratación]])</f>
        <v>20260446-TH-8126-9-Prestación de servicios profesionales al área Financiera de la Subdirección de Gestión Corporativa--SGC</v>
      </c>
    </row>
    <row r="479" spans="2:35" ht="56" x14ac:dyDescent="0.35">
      <c r="B479" s="23">
        <v>20260447</v>
      </c>
      <c r="C479" s="99" t="s">
        <v>714</v>
      </c>
      <c r="D479" s="23" t="s">
        <v>105</v>
      </c>
      <c r="E479" s="23" t="s">
        <v>363</v>
      </c>
      <c r="F479" s="155" t="s">
        <v>145</v>
      </c>
      <c r="G479" s="156" t="s">
        <v>373</v>
      </c>
      <c r="H479" s="157">
        <v>11</v>
      </c>
      <c r="I479" s="157">
        <v>0</v>
      </c>
      <c r="J479" s="127">
        <v>49399000</v>
      </c>
      <c r="K479" s="88" t="s">
        <v>398</v>
      </c>
      <c r="L479" s="155" t="s">
        <v>155</v>
      </c>
      <c r="M479" s="158" t="s">
        <v>422</v>
      </c>
      <c r="N479" s="23" t="s">
        <v>197</v>
      </c>
      <c r="O479" s="151" t="s">
        <v>957</v>
      </c>
      <c r="P479" s="155" t="s">
        <v>348</v>
      </c>
      <c r="Q479" s="53" t="s">
        <v>778</v>
      </c>
      <c r="R479" s="158" t="s">
        <v>208</v>
      </c>
      <c r="S479" s="158" t="str">
        <f>MID(PAA[[#This Row],[Meta Proyecto de Inversión]],1,4)</f>
        <v>8126</v>
      </c>
      <c r="T479" s="158" t="str">
        <f>MID(PAA[[#This Row],[Meta Proyecto de Inversión]],6,1)</f>
        <v>9</v>
      </c>
      <c r="U479" s="159" t="str">
        <f>IFERROR(VLOOKUP(N479,TD!$B$50:$F$54,2,0)," ")</f>
        <v>O230117</v>
      </c>
      <c r="V479" s="159" t="str">
        <f>IFERROR(VLOOKUP(N479,TD!$B$50:$F$54,3,0)," ")</f>
        <v>4599</v>
      </c>
      <c r="W479" s="159">
        <f>IFERROR(VLOOKUP(N479,TD!$B$50:$F$54,4,0)," ")</f>
        <v>20240207</v>
      </c>
      <c r="X479" s="158" t="s">
        <v>174</v>
      </c>
      <c r="Y479" s="159" t="str">
        <f>IFERROR(VLOOKUP(X479,TD!$J$51:$K$64,2,0)," ")</f>
        <v>Infraestructura física, mantenimiento y dotación (Sedes construidas, mantenidas reforzadas)</v>
      </c>
      <c r="Z479" s="160" t="str">
        <f>CONCATENATE(X479,"-",Y479)</f>
        <v>08-Infraestructura física, mantenimiento y dotación (Sedes construidas, mantenidas reforzadas)</v>
      </c>
      <c r="AA479" s="158" t="s">
        <v>227</v>
      </c>
      <c r="AB479" s="159" t="str">
        <f>IFERROR(VLOOKUP(AA479,TD!$N$51:$O$66,2,0)," ")</f>
        <v>Sedes mantenidas</v>
      </c>
      <c r="AC479" s="160" t="str">
        <f>CONCATENATE(AA479,"_",AB479)</f>
        <v>016_Sedes mantenidas</v>
      </c>
      <c r="AD479" s="160" t="str">
        <f>CONCATENATE(Z479," ",AC479)</f>
        <v>08-Infraestructura física, mantenimiento y dotación (Sedes construidas, mantenidas reforzadas) 016_Sedes mantenidas</v>
      </c>
      <c r="AE479" s="159" t="str">
        <f>CONCATENATE(U479,V479,W479,X479,AA479)</f>
        <v>O23011745992024020708016</v>
      </c>
      <c r="AF479" s="159" t="str">
        <f>IFERROR(VLOOKUP(AD479,TD!$J$66:$K$89,2,0)," ")</f>
        <v>PM/0131/0108/45990160207</v>
      </c>
      <c r="AG479" s="118" t="s">
        <v>385</v>
      </c>
      <c r="AH479" s="158" t="s">
        <v>193</v>
      </c>
      <c r="AI479" s="161" t="str">
        <f>CONCATENATE(PAA[[#This Row],[Id Interno]],"-",PAA[[#This Row],[tipo de Contrato (TH talento humano - B/S bienes y/o servicios)]],"-",S479,"-",T479,"-",PAA[[#This Row],[Objeto de la contratación]])</f>
        <v>20260447-TH-8126-9-Prestación de servicios de apoyo a la gestión del área Financiera de la Subdirección de Gestión Corporativa.-SGC</v>
      </c>
    </row>
    <row r="480" spans="2:35" ht="84" x14ac:dyDescent="0.35">
      <c r="B480" s="23">
        <v>20260448</v>
      </c>
      <c r="C480" s="99" t="s">
        <v>715</v>
      </c>
      <c r="D480" s="23" t="s">
        <v>105</v>
      </c>
      <c r="E480" s="23" t="s">
        <v>363</v>
      </c>
      <c r="F480" s="155" t="s">
        <v>144</v>
      </c>
      <c r="G480" s="156" t="s">
        <v>373</v>
      </c>
      <c r="H480" s="157">
        <v>11</v>
      </c>
      <c r="I480" s="157">
        <v>0</v>
      </c>
      <c r="J480" s="127">
        <v>66357000</v>
      </c>
      <c r="K480" s="88" t="s">
        <v>398</v>
      </c>
      <c r="L480" s="155" t="s">
        <v>155</v>
      </c>
      <c r="M480" s="158" t="s">
        <v>422</v>
      </c>
      <c r="N480" s="23" t="s">
        <v>197</v>
      </c>
      <c r="O480" s="151" t="s">
        <v>957</v>
      </c>
      <c r="P480" s="155" t="s">
        <v>348</v>
      </c>
      <c r="Q480" s="53" t="s">
        <v>778</v>
      </c>
      <c r="R480" s="158" t="s">
        <v>208</v>
      </c>
      <c r="S480" s="158" t="str">
        <f>MID(PAA[[#This Row],[Meta Proyecto de Inversión]],1,4)</f>
        <v>8126</v>
      </c>
      <c r="T480" s="158" t="str">
        <f>MID(PAA[[#This Row],[Meta Proyecto de Inversión]],6,1)</f>
        <v>9</v>
      </c>
      <c r="U480" s="159" t="str">
        <f>IFERROR(VLOOKUP(N480,TD!$B$50:$F$54,2,0)," ")</f>
        <v>O230117</v>
      </c>
      <c r="V480" s="159" t="str">
        <f>IFERROR(VLOOKUP(N480,TD!$B$50:$F$54,3,0)," ")</f>
        <v>4599</v>
      </c>
      <c r="W480" s="159">
        <f>IFERROR(VLOOKUP(N480,TD!$B$50:$F$54,4,0)," ")</f>
        <v>20240207</v>
      </c>
      <c r="X480" s="158" t="s">
        <v>174</v>
      </c>
      <c r="Y480" s="159" t="str">
        <f>IFERROR(VLOOKUP(X480,TD!$J$51:$K$64,2,0)," ")</f>
        <v>Infraestructura física, mantenimiento y dotación (Sedes construidas, mantenidas reforzadas)</v>
      </c>
      <c r="Z480" s="160" t="str">
        <f>CONCATENATE(X480,"-",Y480)</f>
        <v>08-Infraestructura física, mantenimiento y dotación (Sedes construidas, mantenidas reforzadas)</v>
      </c>
      <c r="AA480" s="158" t="s">
        <v>227</v>
      </c>
      <c r="AB480" s="159" t="str">
        <f>IFERROR(VLOOKUP(AA480,TD!$N$51:$O$66,2,0)," ")</f>
        <v>Sedes mantenidas</v>
      </c>
      <c r="AC480" s="160" t="str">
        <f>CONCATENATE(AA480,"_",AB480)</f>
        <v>016_Sedes mantenidas</v>
      </c>
      <c r="AD480" s="160" t="str">
        <f>CONCATENATE(Z480," ",AC480)</f>
        <v>08-Infraestructura física, mantenimiento y dotación (Sedes construidas, mantenidas reforzadas) 016_Sedes mantenidas</v>
      </c>
      <c r="AE480" s="159" t="str">
        <f>CONCATENATE(U480,V480,W480,X480,AA480)</f>
        <v>O23011745992024020708016</v>
      </c>
      <c r="AF480" s="159" t="str">
        <f>IFERROR(VLOOKUP(AD480,TD!$J$66:$K$89,2,0)," ")</f>
        <v>PM/0131/0108/45990160207</v>
      </c>
      <c r="AG480" s="118" t="s">
        <v>385</v>
      </c>
      <c r="AH480" s="158" t="s">
        <v>193</v>
      </c>
      <c r="AI480" s="161" t="str">
        <f>CONCATENATE(PAA[[#This Row],[Id Interno]],"-",PAA[[#This Row],[tipo de Contrato (TH talento humano - B/S bienes y/o servicios)]],"-",S480,"-",T480,"-",PAA[[#This Row],[Objeto de la contratación]])</f>
        <v>20260448-TH-8126-9-Prestación de servicios profesionales para el seguimiento, ejecución de los procesos de gestión de pagos que se desarrollan en el área Financiera de la UAE Cuerpo Oficial de Bomberos asignados. -SGC</v>
      </c>
    </row>
    <row r="481" spans="2:35" ht="56" x14ac:dyDescent="0.35">
      <c r="B481" s="23">
        <v>20260449</v>
      </c>
      <c r="C481" s="99" t="s">
        <v>716</v>
      </c>
      <c r="D481" s="23" t="s">
        <v>105</v>
      </c>
      <c r="E481" s="23" t="s">
        <v>363</v>
      </c>
      <c r="F481" s="155" t="s">
        <v>144</v>
      </c>
      <c r="G481" s="156" t="s">
        <v>373</v>
      </c>
      <c r="H481" s="157">
        <v>11</v>
      </c>
      <c r="I481" s="157">
        <v>0</v>
      </c>
      <c r="J481" s="127">
        <v>102034000</v>
      </c>
      <c r="K481" s="88" t="s">
        <v>398</v>
      </c>
      <c r="L481" s="155" t="s">
        <v>155</v>
      </c>
      <c r="M481" s="158" t="s">
        <v>422</v>
      </c>
      <c r="N481" s="23" t="s">
        <v>197</v>
      </c>
      <c r="O481" s="151" t="s">
        <v>957</v>
      </c>
      <c r="P481" s="155" t="s">
        <v>348</v>
      </c>
      <c r="Q481" s="53" t="s">
        <v>778</v>
      </c>
      <c r="R481" s="158" t="s">
        <v>207</v>
      </c>
      <c r="S481" s="158" t="str">
        <f>MID(PAA[[#This Row],[Meta Proyecto de Inversión]],1,4)</f>
        <v>8126</v>
      </c>
      <c r="T481" s="158" t="str">
        <f>MID(PAA[[#This Row],[Meta Proyecto de Inversión]],6,1)</f>
        <v>8</v>
      </c>
      <c r="U481" s="159" t="str">
        <f>IFERROR(VLOOKUP(N481,TD!$B$50:$F$54,2,0)," ")</f>
        <v>O230117</v>
      </c>
      <c r="V481" s="159" t="str">
        <f>IFERROR(VLOOKUP(N481,TD!$B$50:$F$54,3,0)," ")</f>
        <v>4599</v>
      </c>
      <c r="W481" s="159">
        <f>IFERROR(VLOOKUP(N481,TD!$B$50:$F$54,4,0)," ")</f>
        <v>20240207</v>
      </c>
      <c r="X481" s="158" t="s">
        <v>174</v>
      </c>
      <c r="Y481" s="159" t="str">
        <f>IFERROR(VLOOKUP(X481,TD!$J$51:$K$64,2,0)," ")</f>
        <v>Infraestructura física, mantenimiento y dotación (Sedes construidas, mantenidas reforzadas)</v>
      </c>
      <c r="Z481" s="160" t="str">
        <f>CONCATENATE(X481,"-",Y481)</f>
        <v>08-Infraestructura física, mantenimiento y dotación (Sedes construidas, mantenidas reforzadas)</v>
      </c>
      <c r="AA481" s="158" t="s">
        <v>227</v>
      </c>
      <c r="AB481" s="159" t="str">
        <f>IFERROR(VLOOKUP(AA481,TD!$N$51:$O$66,2,0)," ")</f>
        <v>Sedes mantenidas</v>
      </c>
      <c r="AC481" s="160" t="str">
        <f>CONCATENATE(AA481,"_",AB481)</f>
        <v>016_Sedes mantenidas</v>
      </c>
      <c r="AD481" s="160" t="str">
        <f>CONCATENATE(Z481," ",AC481)</f>
        <v>08-Infraestructura física, mantenimiento y dotación (Sedes construidas, mantenidas reforzadas) 016_Sedes mantenidas</v>
      </c>
      <c r="AE481" s="159" t="str">
        <f>CONCATENATE(U481,V481,W481,X481,AA481)</f>
        <v>O23011745992024020708016</v>
      </c>
      <c r="AF481" s="159" t="str">
        <f>IFERROR(VLOOKUP(AD481,TD!$J$66:$K$89,2,0)," ")</f>
        <v>PM/0131/0108/45990160207</v>
      </c>
      <c r="AG481" s="118" t="s">
        <v>385</v>
      </c>
      <c r="AH481" s="158" t="s">
        <v>193</v>
      </c>
      <c r="AI481" s="161" t="str">
        <f>CONCATENATE(PAA[[#This Row],[Id Interno]],"-",PAA[[#This Row],[tipo de Contrato (TH talento humano - B/S bienes y/o servicios)]],"-",S481,"-",T481,"-",PAA[[#This Row],[Objeto de la contratación]])</f>
        <v>20260449-TH-8126-8-Prestación de servicios profesionales especializados para apoyar las actividades de seguimiento técnico del Área de Infraestructura de la Subdirección de Gestión Corporativa-SGC</v>
      </c>
    </row>
    <row r="482" spans="2:35" ht="56" x14ac:dyDescent="0.35">
      <c r="B482" s="23">
        <v>20260450</v>
      </c>
      <c r="C482" s="99" t="s">
        <v>712</v>
      </c>
      <c r="D482" s="23" t="s">
        <v>105</v>
      </c>
      <c r="E482" s="23" t="s">
        <v>363</v>
      </c>
      <c r="F482" s="155" t="s">
        <v>145</v>
      </c>
      <c r="G482" s="156" t="s">
        <v>373</v>
      </c>
      <c r="H482" s="157">
        <v>11</v>
      </c>
      <c r="I482" s="157">
        <v>0</v>
      </c>
      <c r="J482" s="127">
        <v>36128000</v>
      </c>
      <c r="K482" s="88" t="s">
        <v>398</v>
      </c>
      <c r="L482" s="155" t="s">
        <v>155</v>
      </c>
      <c r="M482" s="158" t="s">
        <v>422</v>
      </c>
      <c r="N482" s="23" t="s">
        <v>197</v>
      </c>
      <c r="O482" s="151" t="s">
        <v>957</v>
      </c>
      <c r="P482" s="155" t="s">
        <v>348</v>
      </c>
      <c r="Q482" s="53" t="s">
        <v>778</v>
      </c>
      <c r="R482" s="158" t="s">
        <v>207</v>
      </c>
      <c r="S482" s="158" t="str">
        <f>MID(PAA[[#This Row],[Meta Proyecto de Inversión]],1,4)</f>
        <v>8126</v>
      </c>
      <c r="T482" s="158" t="str">
        <f>MID(PAA[[#This Row],[Meta Proyecto de Inversión]],6,1)</f>
        <v>8</v>
      </c>
      <c r="U482" s="159" t="str">
        <f>IFERROR(VLOOKUP(N482,TD!$B$50:$F$54,2,0)," ")</f>
        <v>O230117</v>
      </c>
      <c r="V482" s="159" t="str">
        <f>IFERROR(VLOOKUP(N482,TD!$B$50:$F$54,3,0)," ")</f>
        <v>4599</v>
      </c>
      <c r="W482" s="159">
        <f>IFERROR(VLOOKUP(N482,TD!$B$50:$F$54,4,0)," ")</f>
        <v>20240207</v>
      </c>
      <c r="X482" s="158" t="s">
        <v>174</v>
      </c>
      <c r="Y482" s="159" t="str">
        <f>IFERROR(VLOOKUP(X482,TD!$J$51:$K$64,2,0)," ")</f>
        <v>Infraestructura física, mantenimiento y dotación (Sedes construidas, mantenidas reforzadas)</v>
      </c>
      <c r="Z482" s="160" t="str">
        <f>CONCATENATE(X482,"-",Y482)</f>
        <v>08-Infraestructura física, mantenimiento y dotación (Sedes construidas, mantenidas reforzadas)</v>
      </c>
      <c r="AA482" s="158" t="s">
        <v>227</v>
      </c>
      <c r="AB482" s="159" t="str">
        <f>IFERROR(VLOOKUP(AA482,TD!$N$51:$O$66,2,0)," ")</f>
        <v>Sedes mantenidas</v>
      </c>
      <c r="AC482" s="160" t="str">
        <f>CONCATENATE(AA482,"_",AB482)</f>
        <v>016_Sedes mantenidas</v>
      </c>
      <c r="AD482" s="160" t="str">
        <f>CONCATENATE(Z482," ",AC482)</f>
        <v>08-Infraestructura física, mantenimiento y dotación (Sedes construidas, mantenidas reforzadas) 016_Sedes mantenidas</v>
      </c>
      <c r="AE482" s="159" t="str">
        <f>CONCATENATE(U482,V482,W482,X482,AA482)</f>
        <v>O23011745992024020708016</v>
      </c>
      <c r="AF482" s="159" t="str">
        <f>IFERROR(VLOOKUP(AD482,TD!$J$66:$K$89,2,0)," ")</f>
        <v>PM/0131/0108/45990160207</v>
      </c>
      <c r="AG482" s="118" t="s">
        <v>385</v>
      </c>
      <c r="AH482" s="158" t="s">
        <v>193</v>
      </c>
      <c r="AI482" s="161" t="str">
        <f>CONCATENATE(PAA[[#This Row],[Id Interno]],"-",PAA[[#This Row],[tipo de Contrato (TH talento humano - B/S bienes y/o servicios)]],"-",S482,"-",T482,"-",PAA[[#This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483" spans="2:35" ht="56" x14ac:dyDescent="0.35">
      <c r="B483" s="23">
        <v>20260451</v>
      </c>
      <c r="C483" s="99" t="s">
        <v>712</v>
      </c>
      <c r="D483" s="23" t="s">
        <v>105</v>
      </c>
      <c r="E483" s="23" t="s">
        <v>363</v>
      </c>
      <c r="F483" s="155" t="s">
        <v>145</v>
      </c>
      <c r="G483" s="156" t="s">
        <v>373</v>
      </c>
      <c r="H483" s="157">
        <v>11</v>
      </c>
      <c r="I483" s="157">
        <v>0</v>
      </c>
      <c r="J483" s="127">
        <v>36128000</v>
      </c>
      <c r="K483" s="88" t="s">
        <v>398</v>
      </c>
      <c r="L483" s="155" t="s">
        <v>155</v>
      </c>
      <c r="M483" s="158" t="s">
        <v>422</v>
      </c>
      <c r="N483" s="23" t="s">
        <v>197</v>
      </c>
      <c r="O483" s="151" t="s">
        <v>957</v>
      </c>
      <c r="P483" s="155" t="s">
        <v>348</v>
      </c>
      <c r="Q483" s="53" t="s">
        <v>778</v>
      </c>
      <c r="R483" s="158" t="s">
        <v>207</v>
      </c>
      <c r="S483" s="158" t="str">
        <f>MID(PAA[[#This Row],[Meta Proyecto de Inversión]],1,4)</f>
        <v>8126</v>
      </c>
      <c r="T483" s="158" t="str">
        <f>MID(PAA[[#This Row],[Meta Proyecto de Inversión]],6,1)</f>
        <v>8</v>
      </c>
      <c r="U483" s="159" t="str">
        <f>IFERROR(VLOOKUP(N483,TD!$B$50:$F$54,2,0)," ")</f>
        <v>O230117</v>
      </c>
      <c r="V483" s="159" t="str">
        <f>IFERROR(VLOOKUP(N483,TD!$B$50:$F$54,3,0)," ")</f>
        <v>4599</v>
      </c>
      <c r="W483" s="159">
        <f>IFERROR(VLOOKUP(N483,TD!$B$50:$F$54,4,0)," ")</f>
        <v>20240207</v>
      </c>
      <c r="X483" s="158" t="s">
        <v>174</v>
      </c>
      <c r="Y483" s="159" t="str">
        <f>IFERROR(VLOOKUP(X483,TD!$J$51:$K$64,2,0)," ")</f>
        <v>Infraestructura física, mantenimiento y dotación (Sedes construidas, mantenidas reforzadas)</v>
      </c>
      <c r="Z483" s="160" t="str">
        <f>CONCATENATE(X483,"-",Y483)</f>
        <v>08-Infraestructura física, mantenimiento y dotación (Sedes construidas, mantenidas reforzadas)</v>
      </c>
      <c r="AA483" s="158" t="s">
        <v>227</v>
      </c>
      <c r="AB483" s="159" t="str">
        <f>IFERROR(VLOOKUP(AA483,TD!$N$51:$O$66,2,0)," ")</f>
        <v>Sedes mantenidas</v>
      </c>
      <c r="AC483" s="160" t="str">
        <f>CONCATENATE(AA483,"_",AB483)</f>
        <v>016_Sedes mantenidas</v>
      </c>
      <c r="AD483" s="160" t="str">
        <f>CONCATENATE(Z483," ",AC483)</f>
        <v>08-Infraestructura física, mantenimiento y dotación (Sedes construidas, mantenidas reforzadas) 016_Sedes mantenidas</v>
      </c>
      <c r="AE483" s="159" t="str">
        <f>CONCATENATE(U483,V483,W483,X483,AA483)</f>
        <v>O23011745992024020708016</v>
      </c>
      <c r="AF483" s="159" t="str">
        <f>IFERROR(VLOOKUP(AD483,TD!$J$66:$K$89,2,0)," ")</f>
        <v>PM/0131/0108/45990160207</v>
      </c>
      <c r="AG483" s="118" t="s">
        <v>385</v>
      </c>
      <c r="AH483" s="158" t="s">
        <v>193</v>
      </c>
      <c r="AI483" s="161" t="str">
        <f>CONCATENATE(PAA[[#This Row],[Id Interno]],"-",PAA[[#This Row],[tipo de Contrato (TH talento humano - B/S bienes y/o servicios)]],"-",S483,"-",T483,"-",PAA[[#This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484" spans="2:35" ht="56" x14ac:dyDescent="0.35">
      <c r="B484" s="23">
        <v>20260452</v>
      </c>
      <c r="C484" s="99" t="s">
        <v>717</v>
      </c>
      <c r="D484" s="23" t="s">
        <v>105</v>
      </c>
      <c r="E484" s="23" t="s">
        <v>363</v>
      </c>
      <c r="F484" s="155" t="s">
        <v>144</v>
      </c>
      <c r="G484" s="156" t="s">
        <v>373</v>
      </c>
      <c r="H484" s="157">
        <v>11</v>
      </c>
      <c r="I484" s="157">
        <v>0</v>
      </c>
      <c r="J484" s="127">
        <v>57200000</v>
      </c>
      <c r="K484" s="88" t="s">
        <v>398</v>
      </c>
      <c r="L484" s="155" t="s">
        <v>155</v>
      </c>
      <c r="M484" s="158" t="s">
        <v>422</v>
      </c>
      <c r="N484" s="23" t="s">
        <v>198</v>
      </c>
      <c r="O484" s="151" t="s">
        <v>958</v>
      </c>
      <c r="P484" s="155" t="s">
        <v>348</v>
      </c>
      <c r="Q484" s="53" t="s">
        <v>778</v>
      </c>
      <c r="R484" s="158" t="s">
        <v>216</v>
      </c>
      <c r="S484" s="158" t="str">
        <f>MID(PAA[[#This Row],[Meta Proyecto de Inversión]],1,4)</f>
        <v>8173</v>
      </c>
      <c r="T484" s="158" t="str">
        <f>MID(PAA[[#This Row],[Meta Proyecto de Inversión]],6,1)</f>
        <v>7</v>
      </c>
      <c r="U484" s="159" t="str">
        <f>IFERROR(VLOOKUP(N484,TD!$B$50:$F$54,2,0)," ")</f>
        <v>O230117</v>
      </c>
      <c r="V484" s="159" t="str">
        <f>IFERROR(VLOOKUP(N484,TD!$B$50:$F$54,3,0)," ")</f>
        <v>4503</v>
      </c>
      <c r="W484" s="159">
        <f>IFERROR(VLOOKUP(N484,TD!$B$50:$F$54,4,0)," ")</f>
        <v>20240255</v>
      </c>
      <c r="X484" s="158">
        <v>14</v>
      </c>
      <c r="Y484" s="159" t="str">
        <f>IFERROR(VLOOKUP(X484,TD!$J$51:$K$64,2,0)," ")</f>
        <v xml:space="preserve">Infraestructura física misional construida mantenida y dotada </v>
      </c>
      <c r="Z484" s="160" t="str">
        <f>CONCATENATE(X484,"-",Y484)</f>
        <v xml:space="preserve">14-Infraestructura física misional construida mantenida y dotada </v>
      </c>
      <c r="AA484" s="158" t="s">
        <v>225</v>
      </c>
      <c r="AB484" s="159" t="str">
        <f>IFERROR(VLOOKUP(AA484,TD!$N$51:$O$66,2,0)," ")</f>
        <v>Estaciones de bomberos adecuadas</v>
      </c>
      <c r="AC484" s="160" t="str">
        <f>CONCATENATE(AA484,"_",AB484)</f>
        <v>014_Estaciones de bomberos adecuadas</v>
      </c>
      <c r="AD484" s="160" t="str">
        <f>CONCATENATE(Z484," ",AC484)</f>
        <v>14-Infraestructura física misional construida mantenida y dotada  014_Estaciones de bomberos adecuadas</v>
      </c>
      <c r="AE484" s="159" t="str">
        <f>CONCATENATE(U484,V484,W484,X484,AA484)</f>
        <v>O23011745032024025514014</v>
      </c>
      <c r="AF484" s="159" t="str">
        <f>IFERROR(VLOOKUP(AD484,TD!$J$66:$K$89,2,0)," ")</f>
        <v>PM/0131/0114/45030140255</v>
      </c>
      <c r="AG484" s="118" t="s">
        <v>385</v>
      </c>
      <c r="AH484" s="158" t="s">
        <v>193</v>
      </c>
      <c r="AI484" s="161" t="str">
        <f>CONCATENATE(PAA[[#This Row],[Id Interno]],"-",PAA[[#This Row],[tipo de Contrato (TH talento humano - B/S bienes y/o servicios)]],"-",S484,"-",T484,"-",PAA[[#This Row],[Objeto de la contratación]])</f>
        <v>20260452-TH-8173-7-Prestación de servicios profesionales en la proyección y el seguimiento financiero a los proyectos del área de infraestructura de la Subdirección de Gestión Corporativa -SGC</v>
      </c>
    </row>
    <row r="485" spans="2:35" ht="56" x14ac:dyDescent="0.35">
      <c r="B485" s="23">
        <v>20260453</v>
      </c>
      <c r="C485" s="99" t="s">
        <v>718</v>
      </c>
      <c r="D485" s="23" t="s">
        <v>105</v>
      </c>
      <c r="E485" s="23" t="s">
        <v>363</v>
      </c>
      <c r="F485" s="155" t="s">
        <v>144</v>
      </c>
      <c r="G485" s="156" t="s">
        <v>373</v>
      </c>
      <c r="H485" s="157">
        <v>10</v>
      </c>
      <c r="I485" s="157">
        <v>0</v>
      </c>
      <c r="J485" s="127">
        <v>60324000</v>
      </c>
      <c r="K485" s="88" t="s">
        <v>398</v>
      </c>
      <c r="L485" s="155" t="s">
        <v>155</v>
      </c>
      <c r="M485" s="158" t="s">
        <v>422</v>
      </c>
      <c r="N485" s="23" t="s">
        <v>198</v>
      </c>
      <c r="O485" s="151" t="s">
        <v>958</v>
      </c>
      <c r="P485" s="155" t="s">
        <v>348</v>
      </c>
      <c r="Q485" s="53" t="s">
        <v>778</v>
      </c>
      <c r="R485" s="158" t="s">
        <v>216</v>
      </c>
      <c r="S485" s="158" t="str">
        <f>MID(PAA[[#This Row],[Meta Proyecto de Inversión]],1,4)</f>
        <v>8173</v>
      </c>
      <c r="T485" s="158" t="str">
        <f>MID(PAA[[#This Row],[Meta Proyecto de Inversión]],6,1)</f>
        <v>7</v>
      </c>
      <c r="U485" s="159" t="str">
        <f>IFERROR(VLOOKUP(N485,TD!$B$50:$F$54,2,0)," ")</f>
        <v>O230117</v>
      </c>
      <c r="V485" s="159" t="str">
        <f>IFERROR(VLOOKUP(N485,TD!$B$50:$F$54,3,0)," ")</f>
        <v>4503</v>
      </c>
      <c r="W485" s="159">
        <f>IFERROR(VLOOKUP(N485,TD!$B$50:$F$54,4,0)," ")</f>
        <v>20240255</v>
      </c>
      <c r="X485" s="158">
        <v>14</v>
      </c>
      <c r="Y485" s="159" t="str">
        <f>IFERROR(VLOOKUP(X485,TD!$J$51:$K$64,2,0)," ")</f>
        <v xml:space="preserve">Infraestructura física misional construida mantenida y dotada </v>
      </c>
      <c r="Z485" s="160" t="str">
        <f>CONCATENATE(X485,"-",Y485)</f>
        <v xml:space="preserve">14-Infraestructura física misional construida mantenida y dotada </v>
      </c>
      <c r="AA485" s="158" t="s">
        <v>225</v>
      </c>
      <c r="AB485" s="159" t="str">
        <f>IFERROR(VLOOKUP(AA485,TD!$N$51:$O$66,2,0)," ")</f>
        <v>Estaciones de bomberos adecuadas</v>
      </c>
      <c r="AC485" s="160" t="str">
        <f>CONCATENATE(AA485,"_",AB485)</f>
        <v>014_Estaciones de bomberos adecuadas</v>
      </c>
      <c r="AD485" s="160" t="str">
        <f>CONCATENATE(Z485," ",AC485)</f>
        <v>14-Infraestructura física misional construida mantenida y dotada  014_Estaciones de bomberos adecuadas</v>
      </c>
      <c r="AE485" s="159" t="str">
        <f>CONCATENATE(U485,V485,W485,X485,AA485)</f>
        <v>O23011745032024025514014</v>
      </c>
      <c r="AF485" s="159" t="str">
        <f>IFERROR(VLOOKUP(AD485,TD!$J$66:$K$89,2,0)," ")</f>
        <v>PM/0131/0114/45030140255</v>
      </c>
      <c r="AG485" s="118" t="s">
        <v>385</v>
      </c>
      <c r="AH485" s="158" t="s">
        <v>193</v>
      </c>
      <c r="AI485" s="161" t="str">
        <f>CONCATENATE(PAA[[#This Row],[Id Interno]],"-",PAA[[#This Row],[tipo de Contrato (TH talento humano - B/S bienes y/o servicios)]],"-",S485,"-",T485,"-",PAA[[#This Row],[Objeto de la contratación]])</f>
        <v>20260453-TH-8173-7-Prestación de servicios profesionales con el fin de gestionar trámites de carácter técnico, administrativo y operativamente en el desarrollo de los proyectos de inversión  de la entidad-SGC</v>
      </c>
    </row>
    <row r="486" spans="2:35" ht="56" x14ac:dyDescent="0.35">
      <c r="B486" s="23">
        <v>20260454</v>
      </c>
      <c r="C486" s="99" t="s">
        <v>692</v>
      </c>
      <c r="D486" s="23" t="s">
        <v>105</v>
      </c>
      <c r="E486" s="23" t="s">
        <v>363</v>
      </c>
      <c r="F486" s="155" t="s">
        <v>144</v>
      </c>
      <c r="G486" s="156" t="s">
        <v>373</v>
      </c>
      <c r="H486" s="157">
        <v>11</v>
      </c>
      <c r="I486" s="157">
        <v>0</v>
      </c>
      <c r="J486" s="127">
        <v>81103000</v>
      </c>
      <c r="K486" s="88" t="s">
        <v>398</v>
      </c>
      <c r="L486" s="155" t="s">
        <v>155</v>
      </c>
      <c r="M486" s="158" t="s">
        <v>422</v>
      </c>
      <c r="N486" s="23" t="s">
        <v>197</v>
      </c>
      <c r="O486" s="151" t="s">
        <v>957</v>
      </c>
      <c r="P486" s="155" t="s">
        <v>348</v>
      </c>
      <c r="Q486" s="53" t="s">
        <v>778</v>
      </c>
      <c r="R486" s="158" t="s">
        <v>208</v>
      </c>
      <c r="S486" s="158" t="str">
        <f>MID(PAA[[#This Row],[Meta Proyecto de Inversión]],1,4)</f>
        <v>8126</v>
      </c>
      <c r="T486" s="158" t="str">
        <f>MID(PAA[[#This Row],[Meta Proyecto de Inversión]],6,1)</f>
        <v>9</v>
      </c>
      <c r="U486" s="159" t="str">
        <f>IFERROR(VLOOKUP(N486,TD!$B$50:$F$54,2,0)," ")</f>
        <v>O230117</v>
      </c>
      <c r="V486" s="159" t="str">
        <f>IFERROR(VLOOKUP(N486,TD!$B$50:$F$54,3,0)," ")</f>
        <v>4599</v>
      </c>
      <c r="W486" s="159">
        <f>IFERROR(VLOOKUP(N486,TD!$B$50:$F$54,4,0)," ")</f>
        <v>20240207</v>
      </c>
      <c r="X486" s="158" t="s">
        <v>174</v>
      </c>
      <c r="Y486" s="159" t="str">
        <f>IFERROR(VLOOKUP(X486,TD!$J$51:$K$64,2,0)," ")</f>
        <v>Infraestructura física, mantenimiento y dotación (Sedes construidas, mantenidas reforzadas)</v>
      </c>
      <c r="Z486" s="160" t="str">
        <f>CONCATENATE(X486,"-",Y486)</f>
        <v>08-Infraestructura física, mantenimiento y dotación (Sedes construidas, mantenidas reforzadas)</v>
      </c>
      <c r="AA486" s="158" t="s">
        <v>227</v>
      </c>
      <c r="AB486" s="159" t="str">
        <f>IFERROR(VLOOKUP(AA486,TD!$N$51:$O$66,2,0)," ")</f>
        <v>Sedes mantenidas</v>
      </c>
      <c r="AC486" s="160" t="str">
        <f>CONCATENATE(AA486,"_",AB486)</f>
        <v>016_Sedes mantenidas</v>
      </c>
      <c r="AD486" s="160" t="str">
        <f>CONCATENATE(Z486," ",AC486)</f>
        <v>08-Infraestructura física, mantenimiento y dotación (Sedes construidas, mantenidas reforzadas) 016_Sedes mantenidas</v>
      </c>
      <c r="AE486" s="159" t="str">
        <f>CONCATENATE(U486,V486,W486,X486,AA486)</f>
        <v>O23011745992024020708016</v>
      </c>
      <c r="AF486" s="159" t="str">
        <f>IFERROR(VLOOKUP(AD486,TD!$J$66:$K$89,2,0)," ")</f>
        <v>PM/0131/0108/45990160207</v>
      </c>
      <c r="AG486" s="118" t="s">
        <v>385</v>
      </c>
      <c r="AH486" s="158" t="s">
        <v>193</v>
      </c>
      <c r="AI486" s="161" t="str">
        <f>CONCATENATE(PAA[[#This Row],[Id Interno]],"-",PAA[[#This Row],[tipo de Contrato (TH talento humano - B/S bienes y/o servicios)]],"-",S486,"-",T486,"-",PAA[[#This Row],[Objeto de la contratación]])</f>
        <v>20260454-TH-8126-9-Prestar servicios profesionales para realizar acompañamiento juridico en la elaboración de los procesos contractuales adelantados por la Subdirección Gestión Corporativa -SGC</v>
      </c>
    </row>
    <row r="487" spans="2:35" ht="56" x14ac:dyDescent="0.35">
      <c r="B487" s="23">
        <v>20260455</v>
      </c>
      <c r="C487" s="99" t="s">
        <v>704</v>
      </c>
      <c r="D487" s="23" t="s">
        <v>105</v>
      </c>
      <c r="E487" s="23" t="s">
        <v>363</v>
      </c>
      <c r="F487" s="155" t="s">
        <v>144</v>
      </c>
      <c r="G487" s="156" t="s">
        <v>373</v>
      </c>
      <c r="H487" s="157">
        <v>11</v>
      </c>
      <c r="I487" s="157">
        <v>0</v>
      </c>
      <c r="J487" s="127">
        <v>99000000</v>
      </c>
      <c r="K487" s="88" t="s">
        <v>398</v>
      </c>
      <c r="L487" s="155" t="s">
        <v>155</v>
      </c>
      <c r="M487" s="158" t="s">
        <v>422</v>
      </c>
      <c r="N487" s="23" t="s">
        <v>198</v>
      </c>
      <c r="O487" s="151" t="s">
        <v>958</v>
      </c>
      <c r="P487" s="155" t="s">
        <v>348</v>
      </c>
      <c r="Q487" s="53" t="s">
        <v>778</v>
      </c>
      <c r="R487" s="158" t="s">
        <v>216</v>
      </c>
      <c r="S487" s="158" t="str">
        <f>MID(PAA[[#This Row],[Meta Proyecto de Inversión]],1,4)</f>
        <v>8173</v>
      </c>
      <c r="T487" s="158" t="str">
        <f>MID(PAA[[#This Row],[Meta Proyecto de Inversión]],6,1)</f>
        <v>7</v>
      </c>
      <c r="U487" s="159" t="str">
        <f>IFERROR(VLOOKUP(N487,TD!$B$50:$F$54,2,0)," ")</f>
        <v>O230117</v>
      </c>
      <c r="V487" s="159" t="str">
        <f>IFERROR(VLOOKUP(N487,TD!$B$50:$F$54,3,0)," ")</f>
        <v>4503</v>
      </c>
      <c r="W487" s="159">
        <f>IFERROR(VLOOKUP(N487,TD!$B$50:$F$54,4,0)," ")</f>
        <v>20240255</v>
      </c>
      <c r="X487" s="158">
        <v>14</v>
      </c>
      <c r="Y487" s="159" t="str">
        <f>IFERROR(VLOOKUP(X487,TD!$J$51:$K$64,2,0)," ")</f>
        <v xml:space="preserve">Infraestructura física misional construida mantenida y dotada </v>
      </c>
      <c r="Z487" s="160" t="str">
        <f>CONCATENATE(X487,"-",Y487)</f>
        <v xml:space="preserve">14-Infraestructura física misional construida mantenida y dotada </v>
      </c>
      <c r="AA487" s="158" t="s">
        <v>225</v>
      </c>
      <c r="AB487" s="159" t="str">
        <f>IFERROR(VLOOKUP(AA487,TD!$N$51:$O$66,2,0)," ")</f>
        <v>Estaciones de bomberos adecuadas</v>
      </c>
      <c r="AC487" s="160" t="str">
        <f>CONCATENATE(AA487,"_",AB487)</f>
        <v>014_Estaciones de bomberos adecuadas</v>
      </c>
      <c r="AD487" s="160" t="str">
        <f>CONCATENATE(Z487," ",AC487)</f>
        <v>14-Infraestructura física misional construida mantenida y dotada  014_Estaciones de bomberos adecuadas</v>
      </c>
      <c r="AE487" s="159" t="str">
        <f>CONCATENATE(U487,V487,W487,X487,AA487)</f>
        <v>O23011745032024025514014</v>
      </c>
      <c r="AF487" s="159" t="str">
        <f>IFERROR(VLOOKUP(AD487,TD!$J$66:$K$89,2,0)," ")</f>
        <v>PM/0131/0114/45030140255</v>
      </c>
      <c r="AG487" s="118" t="s">
        <v>385</v>
      </c>
      <c r="AH487" s="158" t="s">
        <v>193</v>
      </c>
      <c r="AI487" s="161" t="str">
        <f>CONCATENATE(PAA[[#This Row],[Id Interno]],"-",PAA[[#This Row],[tipo de Contrato (TH talento humano - B/S bienes y/o servicios)]],"-",S487,"-",T487,"-",PAA[[#This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488" spans="2:35" ht="56" x14ac:dyDescent="0.35">
      <c r="B488" s="23">
        <v>20260456</v>
      </c>
      <c r="C488" s="99" t="s">
        <v>712</v>
      </c>
      <c r="D488" s="23" t="s">
        <v>105</v>
      </c>
      <c r="E488" s="23" t="s">
        <v>363</v>
      </c>
      <c r="F488" s="155" t="s">
        <v>145</v>
      </c>
      <c r="G488" s="156" t="s">
        <v>373</v>
      </c>
      <c r="H488" s="157">
        <v>10</v>
      </c>
      <c r="I488" s="157">
        <v>0</v>
      </c>
      <c r="J488" s="127">
        <v>32843000</v>
      </c>
      <c r="K488" s="88" t="s">
        <v>398</v>
      </c>
      <c r="L488" s="155" t="s">
        <v>155</v>
      </c>
      <c r="M488" s="158" t="s">
        <v>422</v>
      </c>
      <c r="N488" s="23" t="s">
        <v>197</v>
      </c>
      <c r="O488" s="151" t="s">
        <v>957</v>
      </c>
      <c r="P488" s="155" t="s">
        <v>348</v>
      </c>
      <c r="Q488" s="53" t="s">
        <v>778</v>
      </c>
      <c r="R488" s="158" t="s">
        <v>207</v>
      </c>
      <c r="S488" s="158" t="str">
        <f>MID(PAA[[#This Row],[Meta Proyecto de Inversión]],1,4)</f>
        <v>8126</v>
      </c>
      <c r="T488" s="158" t="str">
        <f>MID(PAA[[#This Row],[Meta Proyecto de Inversión]],6,1)</f>
        <v>8</v>
      </c>
      <c r="U488" s="159" t="str">
        <f>IFERROR(VLOOKUP(N488,TD!$B$50:$F$54,2,0)," ")</f>
        <v>O230117</v>
      </c>
      <c r="V488" s="159" t="str">
        <f>IFERROR(VLOOKUP(N488,TD!$B$50:$F$54,3,0)," ")</f>
        <v>4599</v>
      </c>
      <c r="W488" s="159">
        <f>IFERROR(VLOOKUP(N488,TD!$B$50:$F$54,4,0)," ")</f>
        <v>20240207</v>
      </c>
      <c r="X488" s="158" t="s">
        <v>174</v>
      </c>
      <c r="Y488" s="159" t="str">
        <f>IFERROR(VLOOKUP(X488,TD!$J$51:$K$64,2,0)," ")</f>
        <v>Infraestructura física, mantenimiento y dotación (Sedes construidas, mantenidas reforzadas)</v>
      </c>
      <c r="Z488" s="160" t="str">
        <f>CONCATENATE(X488,"-",Y488)</f>
        <v>08-Infraestructura física, mantenimiento y dotación (Sedes construidas, mantenidas reforzadas)</v>
      </c>
      <c r="AA488" s="158" t="s">
        <v>227</v>
      </c>
      <c r="AB488" s="159" t="str">
        <f>IFERROR(VLOOKUP(AA488,TD!$N$51:$O$66,2,0)," ")</f>
        <v>Sedes mantenidas</v>
      </c>
      <c r="AC488" s="160" t="str">
        <f>CONCATENATE(AA488,"_",AB488)</f>
        <v>016_Sedes mantenidas</v>
      </c>
      <c r="AD488" s="160" t="str">
        <f>CONCATENATE(Z488," ",AC488)</f>
        <v>08-Infraestructura física, mantenimiento y dotación (Sedes construidas, mantenidas reforzadas) 016_Sedes mantenidas</v>
      </c>
      <c r="AE488" s="159" t="str">
        <f>CONCATENATE(U488,V488,W488,X488,AA488)</f>
        <v>O23011745992024020708016</v>
      </c>
      <c r="AF488" s="159" t="str">
        <f>IFERROR(VLOOKUP(AD488,TD!$J$66:$K$89,2,0)," ")</f>
        <v>PM/0131/0108/45990160207</v>
      </c>
      <c r="AG488" s="118" t="s">
        <v>385</v>
      </c>
      <c r="AH488" s="158" t="s">
        <v>193</v>
      </c>
      <c r="AI488" s="161" t="str">
        <f>CONCATENATE(PAA[[#This Row],[Id Interno]],"-",PAA[[#This Row],[tipo de Contrato (TH talento humano - B/S bienes y/o servicios)]],"-",S488,"-",T488,"-",PAA[[#This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489" spans="2:35" ht="56" x14ac:dyDescent="0.35">
      <c r="B489" s="23">
        <v>20260457</v>
      </c>
      <c r="C489" s="99" t="s">
        <v>712</v>
      </c>
      <c r="D489" s="23" t="s">
        <v>105</v>
      </c>
      <c r="E489" s="23" t="s">
        <v>363</v>
      </c>
      <c r="F489" s="155" t="s">
        <v>145</v>
      </c>
      <c r="G489" s="156" t="s">
        <v>373</v>
      </c>
      <c r="H489" s="157">
        <v>11</v>
      </c>
      <c r="I489" s="157">
        <v>0</v>
      </c>
      <c r="J489" s="127">
        <v>36128000</v>
      </c>
      <c r="K489" s="88" t="s">
        <v>398</v>
      </c>
      <c r="L489" s="155" t="s">
        <v>155</v>
      </c>
      <c r="M489" s="158" t="s">
        <v>422</v>
      </c>
      <c r="N489" s="23" t="s">
        <v>197</v>
      </c>
      <c r="O489" s="151" t="s">
        <v>957</v>
      </c>
      <c r="P489" s="155" t="s">
        <v>348</v>
      </c>
      <c r="Q489" s="53" t="s">
        <v>778</v>
      </c>
      <c r="R489" s="158" t="s">
        <v>207</v>
      </c>
      <c r="S489" s="158" t="str">
        <f>MID(PAA[[#This Row],[Meta Proyecto de Inversión]],1,4)</f>
        <v>8126</v>
      </c>
      <c r="T489" s="158" t="str">
        <f>MID(PAA[[#This Row],[Meta Proyecto de Inversión]],6,1)</f>
        <v>8</v>
      </c>
      <c r="U489" s="159" t="str">
        <f>IFERROR(VLOOKUP(N489,TD!$B$50:$F$54,2,0)," ")</f>
        <v>O230117</v>
      </c>
      <c r="V489" s="159" t="str">
        <f>IFERROR(VLOOKUP(N489,TD!$B$50:$F$54,3,0)," ")</f>
        <v>4599</v>
      </c>
      <c r="W489" s="159">
        <f>IFERROR(VLOOKUP(N489,TD!$B$50:$F$54,4,0)," ")</f>
        <v>20240207</v>
      </c>
      <c r="X489" s="158" t="s">
        <v>174</v>
      </c>
      <c r="Y489" s="159" t="str">
        <f>IFERROR(VLOOKUP(X489,TD!$J$51:$K$64,2,0)," ")</f>
        <v>Infraestructura física, mantenimiento y dotación (Sedes construidas, mantenidas reforzadas)</v>
      </c>
      <c r="Z489" s="160" t="str">
        <f>CONCATENATE(X489,"-",Y489)</f>
        <v>08-Infraestructura física, mantenimiento y dotación (Sedes construidas, mantenidas reforzadas)</v>
      </c>
      <c r="AA489" s="158" t="s">
        <v>227</v>
      </c>
      <c r="AB489" s="159" t="str">
        <f>IFERROR(VLOOKUP(AA489,TD!$N$51:$O$66,2,0)," ")</f>
        <v>Sedes mantenidas</v>
      </c>
      <c r="AC489" s="160" t="str">
        <f>CONCATENATE(AA489,"_",AB489)</f>
        <v>016_Sedes mantenidas</v>
      </c>
      <c r="AD489" s="160" t="str">
        <f>CONCATENATE(Z489," ",AC489)</f>
        <v>08-Infraestructura física, mantenimiento y dotación (Sedes construidas, mantenidas reforzadas) 016_Sedes mantenidas</v>
      </c>
      <c r="AE489" s="159" t="str">
        <f>CONCATENATE(U489,V489,W489,X489,AA489)</f>
        <v>O23011745992024020708016</v>
      </c>
      <c r="AF489" s="159" t="str">
        <f>IFERROR(VLOOKUP(AD489,TD!$J$66:$K$89,2,0)," ")</f>
        <v>PM/0131/0108/45990160207</v>
      </c>
      <c r="AG489" s="118" t="s">
        <v>385</v>
      </c>
      <c r="AH489" s="158" t="s">
        <v>193</v>
      </c>
      <c r="AI489" s="161" t="str">
        <f>CONCATENATE(PAA[[#This Row],[Id Interno]],"-",PAA[[#This Row],[tipo de Contrato (TH talento humano - B/S bienes y/o servicios)]],"-",S489,"-",T489,"-",PAA[[#This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490" spans="2:35" ht="56" x14ac:dyDescent="0.35">
      <c r="B490" s="23">
        <v>20260458</v>
      </c>
      <c r="C490" s="99" t="s">
        <v>719</v>
      </c>
      <c r="D490" s="23" t="s">
        <v>105</v>
      </c>
      <c r="E490" s="23" t="s">
        <v>363</v>
      </c>
      <c r="F490" s="155" t="s">
        <v>144</v>
      </c>
      <c r="G490" s="156" t="s">
        <v>373</v>
      </c>
      <c r="H490" s="157">
        <v>11</v>
      </c>
      <c r="I490" s="157">
        <v>0</v>
      </c>
      <c r="J490" s="127">
        <v>102034000</v>
      </c>
      <c r="K490" s="88" t="s">
        <v>398</v>
      </c>
      <c r="L490" s="155" t="s">
        <v>155</v>
      </c>
      <c r="M490" s="158" t="s">
        <v>422</v>
      </c>
      <c r="N490" s="23" t="s">
        <v>197</v>
      </c>
      <c r="O490" s="151" t="s">
        <v>957</v>
      </c>
      <c r="P490" s="155" t="s">
        <v>348</v>
      </c>
      <c r="Q490" s="53" t="s">
        <v>778</v>
      </c>
      <c r="R490" s="158" t="s">
        <v>208</v>
      </c>
      <c r="S490" s="158" t="str">
        <f>MID(PAA[[#This Row],[Meta Proyecto de Inversión]],1,4)</f>
        <v>8126</v>
      </c>
      <c r="T490" s="158" t="str">
        <f>MID(PAA[[#This Row],[Meta Proyecto de Inversión]],6,1)</f>
        <v>9</v>
      </c>
      <c r="U490" s="159" t="str">
        <f>IFERROR(VLOOKUP(N490,TD!$B$50:$F$54,2,0)," ")</f>
        <v>O230117</v>
      </c>
      <c r="V490" s="159" t="str">
        <f>IFERROR(VLOOKUP(N490,TD!$B$50:$F$54,3,0)," ")</f>
        <v>4599</v>
      </c>
      <c r="W490" s="159">
        <f>IFERROR(VLOOKUP(N490,TD!$B$50:$F$54,4,0)," ")</f>
        <v>20240207</v>
      </c>
      <c r="X490" s="158" t="s">
        <v>174</v>
      </c>
      <c r="Y490" s="159" t="str">
        <f>IFERROR(VLOOKUP(X490,TD!$J$51:$K$64,2,0)," ")</f>
        <v>Infraestructura física, mantenimiento y dotación (Sedes construidas, mantenidas reforzadas)</v>
      </c>
      <c r="Z490" s="160" t="str">
        <f>CONCATENATE(X490,"-",Y490)</f>
        <v>08-Infraestructura física, mantenimiento y dotación (Sedes construidas, mantenidas reforzadas)</v>
      </c>
      <c r="AA490" s="158" t="s">
        <v>227</v>
      </c>
      <c r="AB490" s="159" t="str">
        <f>IFERROR(VLOOKUP(AA490,TD!$N$51:$O$66,2,0)," ")</f>
        <v>Sedes mantenidas</v>
      </c>
      <c r="AC490" s="160" t="str">
        <f>CONCATENATE(AA490,"_",AB490)</f>
        <v>016_Sedes mantenidas</v>
      </c>
      <c r="AD490" s="160" t="str">
        <f>CONCATENATE(Z490," ",AC490)</f>
        <v>08-Infraestructura física, mantenimiento y dotación (Sedes construidas, mantenidas reforzadas) 016_Sedes mantenidas</v>
      </c>
      <c r="AE490" s="159" t="str">
        <f>CONCATENATE(U490,V490,W490,X490,AA490)</f>
        <v>O23011745992024020708016</v>
      </c>
      <c r="AF490" s="159" t="str">
        <f>IFERROR(VLOOKUP(AD490,TD!$J$66:$K$89,2,0)," ")</f>
        <v>PM/0131/0108/45990160207</v>
      </c>
      <c r="AG490" s="118" t="s">
        <v>385</v>
      </c>
      <c r="AH490" s="158" t="s">
        <v>193</v>
      </c>
      <c r="AI490" s="161" t="str">
        <f>CONCATENATE(PAA[[#This Row],[Id Interno]],"-",PAA[[#This Row],[tipo de Contrato (TH talento humano - B/S bienes y/o servicios)]],"-",S490,"-",T490,"-",PAA[[#This Row],[Objeto de la contratación]])</f>
        <v>20260458-TH-8126-9-Prestación de servicios profesionales especializados para articular y revisar los procesos y procedimientos de la gestión administrativa a cargo de la Subdirección de Gestión Corporativa.- SGC</v>
      </c>
    </row>
    <row r="491" spans="2:35" ht="56" x14ac:dyDescent="0.35">
      <c r="B491" s="23">
        <v>20260459</v>
      </c>
      <c r="C491" s="99" t="s">
        <v>720</v>
      </c>
      <c r="D491" s="23" t="s">
        <v>105</v>
      </c>
      <c r="E491" s="23" t="s">
        <v>363</v>
      </c>
      <c r="F491" s="155" t="s">
        <v>144</v>
      </c>
      <c r="G491" s="156" t="s">
        <v>373</v>
      </c>
      <c r="H491" s="157">
        <v>10</v>
      </c>
      <c r="I491" s="157">
        <v>0</v>
      </c>
      <c r="J491" s="127">
        <v>73730000</v>
      </c>
      <c r="K491" s="88" t="s">
        <v>398</v>
      </c>
      <c r="L491" s="155" t="s">
        <v>155</v>
      </c>
      <c r="M491" s="158" t="s">
        <v>422</v>
      </c>
      <c r="N491" s="23" t="s">
        <v>197</v>
      </c>
      <c r="O491" s="151" t="s">
        <v>957</v>
      </c>
      <c r="P491" s="155" t="s">
        <v>348</v>
      </c>
      <c r="Q491" s="53" t="s">
        <v>778</v>
      </c>
      <c r="R491" s="158" t="s">
        <v>208</v>
      </c>
      <c r="S491" s="158" t="str">
        <f>MID(PAA[[#This Row],[Meta Proyecto de Inversión]],1,4)</f>
        <v>8126</v>
      </c>
      <c r="T491" s="158" t="str">
        <f>MID(PAA[[#This Row],[Meta Proyecto de Inversión]],6,1)</f>
        <v>9</v>
      </c>
      <c r="U491" s="159" t="str">
        <f>IFERROR(VLOOKUP(N491,TD!$B$50:$F$54,2,0)," ")</f>
        <v>O230117</v>
      </c>
      <c r="V491" s="159" t="str">
        <f>IFERROR(VLOOKUP(N491,TD!$B$50:$F$54,3,0)," ")</f>
        <v>4599</v>
      </c>
      <c r="W491" s="159">
        <f>IFERROR(VLOOKUP(N491,TD!$B$50:$F$54,4,0)," ")</f>
        <v>20240207</v>
      </c>
      <c r="X491" s="158" t="s">
        <v>174</v>
      </c>
      <c r="Y491" s="159" t="str">
        <f>IFERROR(VLOOKUP(X491,TD!$J$51:$K$64,2,0)," ")</f>
        <v>Infraestructura física, mantenimiento y dotación (Sedes construidas, mantenidas reforzadas)</v>
      </c>
      <c r="Z491" s="160" t="str">
        <f>CONCATENATE(X491,"-",Y491)</f>
        <v>08-Infraestructura física, mantenimiento y dotación (Sedes construidas, mantenidas reforzadas)</v>
      </c>
      <c r="AA491" s="158" t="s">
        <v>227</v>
      </c>
      <c r="AB491" s="159" t="str">
        <f>IFERROR(VLOOKUP(AA491,TD!$N$51:$O$66,2,0)," ")</f>
        <v>Sedes mantenidas</v>
      </c>
      <c r="AC491" s="160" t="str">
        <f>CONCATENATE(AA491,"_",AB491)</f>
        <v>016_Sedes mantenidas</v>
      </c>
      <c r="AD491" s="160" t="str">
        <f>CONCATENATE(Z491," ",AC491)</f>
        <v>08-Infraestructura física, mantenimiento y dotación (Sedes construidas, mantenidas reforzadas) 016_Sedes mantenidas</v>
      </c>
      <c r="AE491" s="159" t="str">
        <f>CONCATENATE(U491,V491,W491,X491,AA491)</f>
        <v>O23011745992024020708016</v>
      </c>
      <c r="AF491" s="159" t="str">
        <f>IFERROR(VLOOKUP(AD491,TD!$J$66:$K$89,2,0)," ")</f>
        <v>PM/0131/0108/45990160207</v>
      </c>
      <c r="AG491" s="118" t="s">
        <v>385</v>
      </c>
      <c r="AH491" s="158" t="s">
        <v>193</v>
      </c>
      <c r="AI491" s="161" t="str">
        <f>CONCATENATE(PAA[[#This Row],[Id Interno]],"-",PAA[[#This Row],[tipo de Contrato (TH talento humano - B/S bienes y/o servicios)]],"-",S491,"-",T491,"-",PAA[[#This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492" spans="2:35" ht="70" x14ac:dyDescent="0.35">
      <c r="B492" s="23">
        <v>20260460</v>
      </c>
      <c r="C492" s="99" t="s">
        <v>721</v>
      </c>
      <c r="D492" s="23" t="s">
        <v>105</v>
      </c>
      <c r="E492" s="23" t="s">
        <v>363</v>
      </c>
      <c r="F492" s="155" t="s">
        <v>144</v>
      </c>
      <c r="G492" s="156" t="s">
        <v>373</v>
      </c>
      <c r="H492" s="157">
        <v>11</v>
      </c>
      <c r="I492" s="157">
        <v>0</v>
      </c>
      <c r="J492" s="127">
        <v>102034000</v>
      </c>
      <c r="K492" s="88" t="s">
        <v>398</v>
      </c>
      <c r="L492" s="155" t="s">
        <v>155</v>
      </c>
      <c r="M492" s="158" t="s">
        <v>422</v>
      </c>
      <c r="N492" s="23" t="s">
        <v>197</v>
      </c>
      <c r="O492" s="151" t="s">
        <v>957</v>
      </c>
      <c r="P492" s="155" t="s">
        <v>348</v>
      </c>
      <c r="Q492" s="53" t="s">
        <v>778</v>
      </c>
      <c r="R492" s="158" t="s">
        <v>208</v>
      </c>
      <c r="S492" s="158" t="str">
        <f>MID(PAA[[#This Row],[Meta Proyecto de Inversión]],1,4)</f>
        <v>8126</v>
      </c>
      <c r="T492" s="158" t="str">
        <f>MID(PAA[[#This Row],[Meta Proyecto de Inversión]],6,1)</f>
        <v>9</v>
      </c>
      <c r="U492" s="159" t="str">
        <f>IFERROR(VLOOKUP(N492,TD!$B$50:$F$54,2,0)," ")</f>
        <v>O230117</v>
      </c>
      <c r="V492" s="159" t="str">
        <f>IFERROR(VLOOKUP(N492,TD!$B$50:$F$54,3,0)," ")</f>
        <v>4599</v>
      </c>
      <c r="W492" s="159">
        <f>IFERROR(VLOOKUP(N492,TD!$B$50:$F$54,4,0)," ")</f>
        <v>20240207</v>
      </c>
      <c r="X492" s="158" t="s">
        <v>174</v>
      </c>
      <c r="Y492" s="159" t="str">
        <f>IFERROR(VLOOKUP(X492,TD!$J$51:$K$64,2,0)," ")</f>
        <v>Infraestructura física, mantenimiento y dotación (Sedes construidas, mantenidas reforzadas)</v>
      </c>
      <c r="Z492" s="160" t="str">
        <f>CONCATENATE(X492,"-",Y492)</f>
        <v>08-Infraestructura física, mantenimiento y dotación (Sedes construidas, mantenidas reforzadas)</v>
      </c>
      <c r="AA492" s="158" t="s">
        <v>227</v>
      </c>
      <c r="AB492" s="159" t="str">
        <f>IFERROR(VLOOKUP(AA492,TD!$N$51:$O$66,2,0)," ")</f>
        <v>Sedes mantenidas</v>
      </c>
      <c r="AC492" s="160" t="str">
        <f>CONCATENATE(AA492,"_",AB492)</f>
        <v>016_Sedes mantenidas</v>
      </c>
      <c r="AD492" s="160" t="str">
        <f>CONCATENATE(Z492," ",AC492)</f>
        <v>08-Infraestructura física, mantenimiento y dotación (Sedes construidas, mantenidas reforzadas) 016_Sedes mantenidas</v>
      </c>
      <c r="AE492" s="159" t="str">
        <f>CONCATENATE(U492,V492,W492,X492,AA492)</f>
        <v>O23011745992024020708016</v>
      </c>
      <c r="AF492" s="159" t="str">
        <f>IFERROR(VLOOKUP(AD492,TD!$J$66:$K$89,2,0)," ")</f>
        <v>PM/0131/0108/45990160207</v>
      </c>
      <c r="AG492" s="118" t="s">
        <v>385</v>
      </c>
      <c r="AH492" s="158" t="s">
        <v>193</v>
      </c>
      <c r="AI492" s="161" t="str">
        <f>CONCATENATE(PAA[[#This Row],[Id Interno]],"-",PAA[[#This Row],[tipo de Contrato (TH talento humano - B/S bienes y/o servicios)]],"-",S492,"-",T492,"-",PAA[[#This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493" spans="2:35" ht="70" x14ac:dyDescent="0.35">
      <c r="B493" s="23">
        <v>20260461</v>
      </c>
      <c r="C493" s="99" t="s">
        <v>722</v>
      </c>
      <c r="D493" s="23" t="s">
        <v>105</v>
      </c>
      <c r="E493" s="23" t="s">
        <v>363</v>
      </c>
      <c r="F493" s="155" t="s">
        <v>145</v>
      </c>
      <c r="G493" s="156" t="s">
        <v>373</v>
      </c>
      <c r="H493" s="157">
        <v>10</v>
      </c>
      <c r="I493" s="157">
        <v>0</v>
      </c>
      <c r="J493" s="127">
        <v>42897000</v>
      </c>
      <c r="K493" s="88" t="s">
        <v>398</v>
      </c>
      <c r="L493" s="155" t="s">
        <v>155</v>
      </c>
      <c r="M493" s="158" t="s">
        <v>422</v>
      </c>
      <c r="N493" s="23" t="s">
        <v>197</v>
      </c>
      <c r="O493" s="151" t="s">
        <v>957</v>
      </c>
      <c r="P493" s="155" t="s">
        <v>348</v>
      </c>
      <c r="Q493" s="53" t="s">
        <v>778</v>
      </c>
      <c r="R493" s="158" t="s">
        <v>208</v>
      </c>
      <c r="S493" s="158" t="str">
        <f>MID(PAA[[#This Row],[Meta Proyecto de Inversión]],1,4)</f>
        <v>8126</v>
      </c>
      <c r="T493" s="158" t="str">
        <f>MID(PAA[[#This Row],[Meta Proyecto de Inversión]],6,1)</f>
        <v>9</v>
      </c>
      <c r="U493" s="159" t="str">
        <f>IFERROR(VLOOKUP(N493,TD!$B$50:$F$54,2,0)," ")</f>
        <v>O230117</v>
      </c>
      <c r="V493" s="159" t="str">
        <f>IFERROR(VLOOKUP(N493,TD!$B$50:$F$54,3,0)," ")</f>
        <v>4599</v>
      </c>
      <c r="W493" s="159">
        <f>IFERROR(VLOOKUP(N493,TD!$B$50:$F$54,4,0)," ")</f>
        <v>20240207</v>
      </c>
      <c r="X493" s="158" t="s">
        <v>174</v>
      </c>
      <c r="Y493" s="159" t="str">
        <f>IFERROR(VLOOKUP(X493,TD!$J$51:$K$64,2,0)," ")</f>
        <v>Infraestructura física, mantenimiento y dotación (Sedes construidas, mantenidas reforzadas)</v>
      </c>
      <c r="Z493" s="160" t="str">
        <f>CONCATENATE(X493,"-",Y493)</f>
        <v>08-Infraestructura física, mantenimiento y dotación (Sedes construidas, mantenidas reforzadas)</v>
      </c>
      <c r="AA493" s="158" t="s">
        <v>227</v>
      </c>
      <c r="AB493" s="159" t="str">
        <f>IFERROR(VLOOKUP(AA493,TD!$N$51:$O$66,2,0)," ")</f>
        <v>Sedes mantenidas</v>
      </c>
      <c r="AC493" s="160" t="str">
        <f>CONCATENATE(AA493,"_",AB493)</f>
        <v>016_Sedes mantenidas</v>
      </c>
      <c r="AD493" s="160" t="str">
        <f>CONCATENATE(Z493," ",AC493)</f>
        <v>08-Infraestructura física, mantenimiento y dotación (Sedes construidas, mantenidas reforzadas) 016_Sedes mantenidas</v>
      </c>
      <c r="AE493" s="159" t="str">
        <f>CONCATENATE(U493,V493,W493,X493,AA493)</f>
        <v>O23011745992024020708016</v>
      </c>
      <c r="AF493" s="159" t="str">
        <f>IFERROR(VLOOKUP(AD493,TD!$J$66:$K$89,2,0)," ")</f>
        <v>PM/0131/0108/45990160207</v>
      </c>
      <c r="AG493" s="118" t="s">
        <v>385</v>
      </c>
      <c r="AH493" s="158" t="s">
        <v>193</v>
      </c>
      <c r="AI493" s="161" t="str">
        <f>CONCATENATE(PAA[[#This Row],[Id Interno]],"-",PAA[[#This Row],[tipo de Contrato (TH talento humano - B/S bienes y/o servicios)]],"-",S493,"-",T493,"-",PAA[[#This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494" spans="2:35" ht="70" x14ac:dyDescent="0.35">
      <c r="B494" s="23">
        <v>20260462</v>
      </c>
      <c r="C494" s="99" t="s">
        <v>723</v>
      </c>
      <c r="D494" s="23" t="s">
        <v>105</v>
      </c>
      <c r="E494" s="23" t="s">
        <v>363</v>
      </c>
      <c r="F494" s="155" t="s">
        <v>144</v>
      </c>
      <c r="G494" s="156" t="s">
        <v>373</v>
      </c>
      <c r="H494" s="157">
        <v>11</v>
      </c>
      <c r="I494" s="157">
        <v>0</v>
      </c>
      <c r="J494" s="127">
        <v>100272000</v>
      </c>
      <c r="K494" s="88" t="s">
        <v>398</v>
      </c>
      <c r="L494" s="155" t="s">
        <v>155</v>
      </c>
      <c r="M494" s="158" t="s">
        <v>422</v>
      </c>
      <c r="N494" s="23" t="s">
        <v>198</v>
      </c>
      <c r="O494" s="151" t="s">
        <v>958</v>
      </c>
      <c r="P494" s="155" t="s">
        <v>348</v>
      </c>
      <c r="Q494" s="53" t="s">
        <v>778</v>
      </c>
      <c r="R494" s="158" t="s">
        <v>217</v>
      </c>
      <c r="S494" s="158" t="str">
        <f>MID(PAA[[#This Row],[Meta Proyecto de Inversión]],1,4)</f>
        <v>8173</v>
      </c>
      <c r="T494" s="158" t="str">
        <f>MID(PAA[[#This Row],[Meta Proyecto de Inversión]],6,1)</f>
        <v>8</v>
      </c>
      <c r="U494" s="159" t="str">
        <f>IFERROR(VLOOKUP(N494,TD!$B$50:$F$54,2,0)," ")</f>
        <v>O230117</v>
      </c>
      <c r="V494" s="159" t="str">
        <f>IFERROR(VLOOKUP(N494,TD!$B$50:$F$54,3,0)," ")</f>
        <v>4503</v>
      </c>
      <c r="W494" s="159">
        <f>IFERROR(VLOOKUP(N494,TD!$B$50:$F$54,4,0)," ")</f>
        <v>20240255</v>
      </c>
      <c r="X494" s="158">
        <v>14</v>
      </c>
      <c r="Y494" s="159" t="str">
        <f>IFERROR(VLOOKUP(X494,TD!$J$51:$K$64,2,0)," ")</f>
        <v xml:space="preserve">Infraestructura física misional construida mantenida y dotada </v>
      </c>
      <c r="Z494" s="160" t="str">
        <f>CONCATENATE(X494,"-",Y494)</f>
        <v xml:space="preserve">14-Infraestructura física misional construida mantenida y dotada </v>
      </c>
      <c r="AA494" s="158" t="s">
        <v>226</v>
      </c>
      <c r="AB494" s="159" t="str">
        <f>IFERROR(VLOOKUP(AA494,TD!$N$51:$O$66,2,0)," ")</f>
        <v>Estaciones de bomberos construidas</v>
      </c>
      <c r="AC494" s="160" t="str">
        <f>CONCATENATE(AA494,"_",AB494)</f>
        <v>015_Estaciones de bomberos construidas</v>
      </c>
      <c r="AD494" s="160" t="str">
        <f>CONCATENATE(Z494," ",AC494)</f>
        <v>14-Infraestructura física misional construida mantenida y dotada  015_Estaciones de bomberos construidas</v>
      </c>
      <c r="AE494" s="159" t="str">
        <f>CONCATENATE(U494,V494,W494,X494,AA494)</f>
        <v>O23011745032024025514015</v>
      </c>
      <c r="AF494" s="159" t="str">
        <f>IFERROR(VLOOKUP(AD494,TD!$J$66:$K$89,2,0)," ")</f>
        <v>PM/0131/0114/45030150255</v>
      </c>
      <c r="AG494" s="118" t="s">
        <v>385</v>
      </c>
      <c r="AH494" s="158" t="s">
        <v>193</v>
      </c>
      <c r="AI494" s="161" t="str">
        <f>CONCATENATE(PAA[[#This Row],[Id Interno]],"-",PAA[[#This Row],[tipo de Contrato (TH talento humano - B/S bienes y/o servicios)]],"-",S494,"-",T494,"-",PAA[[#This Row],[Objeto de la contratación]])</f>
        <v>20260462-TH-8173-8-Prestación de servicios profesionales especializados para apoyar las actividades técnicas y gestión predial del Área de Infraestructura de la Subdirección de Gestión Corporativa-SGC</v>
      </c>
    </row>
    <row r="495" spans="2:35" ht="56" x14ac:dyDescent="0.35">
      <c r="B495" s="23">
        <v>20260463</v>
      </c>
      <c r="C495" s="99" t="s">
        <v>724</v>
      </c>
      <c r="D495" s="23" t="s">
        <v>105</v>
      </c>
      <c r="E495" s="23" t="s">
        <v>363</v>
      </c>
      <c r="F495" s="155" t="s">
        <v>145</v>
      </c>
      <c r="G495" s="156" t="s">
        <v>373</v>
      </c>
      <c r="H495" s="157">
        <v>11</v>
      </c>
      <c r="I495" s="157">
        <v>0</v>
      </c>
      <c r="J495" s="127">
        <v>36128000</v>
      </c>
      <c r="K495" s="88" t="s">
        <v>398</v>
      </c>
      <c r="L495" s="155" t="s">
        <v>155</v>
      </c>
      <c r="M495" s="158" t="s">
        <v>422</v>
      </c>
      <c r="N495" s="23" t="s">
        <v>197</v>
      </c>
      <c r="O495" s="151" t="s">
        <v>957</v>
      </c>
      <c r="P495" s="155" t="s">
        <v>348</v>
      </c>
      <c r="Q495" s="53" t="s">
        <v>778</v>
      </c>
      <c r="R495" s="158" t="s">
        <v>208</v>
      </c>
      <c r="S495" s="158" t="str">
        <f>MID(PAA[[#This Row],[Meta Proyecto de Inversión]],1,4)</f>
        <v>8126</v>
      </c>
      <c r="T495" s="158" t="str">
        <f>MID(PAA[[#This Row],[Meta Proyecto de Inversión]],6,1)</f>
        <v>9</v>
      </c>
      <c r="U495" s="159" t="str">
        <f>IFERROR(VLOOKUP(N495,TD!$B$50:$F$54,2,0)," ")</f>
        <v>O230117</v>
      </c>
      <c r="V495" s="159" t="str">
        <f>IFERROR(VLOOKUP(N495,TD!$B$50:$F$54,3,0)," ")</f>
        <v>4599</v>
      </c>
      <c r="W495" s="159">
        <f>IFERROR(VLOOKUP(N495,TD!$B$50:$F$54,4,0)," ")</f>
        <v>20240207</v>
      </c>
      <c r="X495" s="158" t="s">
        <v>174</v>
      </c>
      <c r="Y495" s="159" t="str">
        <f>IFERROR(VLOOKUP(X495,TD!$J$51:$K$64,2,0)," ")</f>
        <v>Infraestructura física, mantenimiento y dotación (Sedes construidas, mantenidas reforzadas)</v>
      </c>
      <c r="Z495" s="160" t="str">
        <f>CONCATENATE(X495,"-",Y495)</f>
        <v>08-Infraestructura física, mantenimiento y dotación (Sedes construidas, mantenidas reforzadas)</v>
      </c>
      <c r="AA495" s="158" t="s">
        <v>227</v>
      </c>
      <c r="AB495" s="159" t="str">
        <f>IFERROR(VLOOKUP(AA495,TD!$N$51:$O$66,2,0)," ")</f>
        <v>Sedes mantenidas</v>
      </c>
      <c r="AC495" s="160" t="str">
        <f>CONCATENATE(AA495,"_",AB495)</f>
        <v>016_Sedes mantenidas</v>
      </c>
      <c r="AD495" s="160" t="str">
        <f>CONCATENATE(Z495," ",AC495)</f>
        <v>08-Infraestructura física, mantenimiento y dotación (Sedes construidas, mantenidas reforzadas) 016_Sedes mantenidas</v>
      </c>
      <c r="AE495" s="159" t="str">
        <f>CONCATENATE(U495,V495,W495,X495,AA495)</f>
        <v>O23011745992024020708016</v>
      </c>
      <c r="AF495" s="159" t="str">
        <f>IFERROR(VLOOKUP(AD495,TD!$J$66:$K$89,2,0)," ")</f>
        <v>PM/0131/0108/45990160207</v>
      </c>
      <c r="AG495" s="118" t="s">
        <v>385</v>
      </c>
      <c r="AH495" s="158" t="s">
        <v>193</v>
      </c>
      <c r="AI495" s="161" t="str">
        <f>CONCATENATE(PAA[[#This Row],[Id Interno]],"-",PAA[[#This Row],[tipo de Contrato (TH talento humano - B/S bienes y/o servicios)]],"-",S495,"-",T495,"-",PAA[[#This Row],[Objeto de la contratación]])</f>
        <v>20260463-TH-8126-9-Prestación de servicios de apoyo en las actividades asociadas a los procesos de almacén de la Subdirección de Gestión Corporativa SGC</v>
      </c>
    </row>
    <row r="496" spans="2:35" ht="56" x14ac:dyDescent="0.35">
      <c r="B496" s="23">
        <v>20260464</v>
      </c>
      <c r="C496" s="99" t="s">
        <v>725</v>
      </c>
      <c r="D496" s="23" t="s">
        <v>105</v>
      </c>
      <c r="E496" s="23" t="s">
        <v>363</v>
      </c>
      <c r="F496" s="155" t="s">
        <v>144</v>
      </c>
      <c r="G496" s="156" t="s">
        <v>373</v>
      </c>
      <c r="H496" s="157">
        <v>10</v>
      </c>
      <c r="I496" s="157">
        <v>0</v>
      </c>
      <c r="J496" s="127">
        <v>60324000</v>
      </c>
      <c r="K496" s="88" t="s">
        <v>398</v>
      </c>
      <c r="L496" s="155" t="s">
        <v>155</v>
      </c>
      <c r="M496" s="158" t="s">
        <v>422</v>
      </c>
      <c r="N496" s="23" t="s">
        <v>197</v>
      </c>
      <c r="O496" s="151" t="s">
        <v>957</v>
      </c>
      <c r="P496" s="155" t="s">
        <v>348</v>
      </c>
      <c r="Q496" s="53" t="s">
        <v>778</v>
      </c>
      <c r="R496" s="158" t="s">
        <v>208</v>
      </c>
      <c r="S496" s="158" t="str">
        <f>MID(PAA[[#This Row],[Meta Proyecto de Inversión]],1,4)</f>
        <v>8126</v>
      </c>
      <c r="T496" s="158" t="str">
        <f>MID(PAA[[#This Row],[Meta Proyecto de Inversión]],6,1)</f>
        <v>9</v>
      </c>
      <c r="U496" s="159" t="str">
        <f>IFERROR(VLOOKUP(N496,TD!$B$50:$F$54,2,0)," ")</f>
        <v>O230117</v>
      </c>
      <c r="V496" s="159" t="str">
        <f>IFERROR(VLOOKUP(N496,TD!$B$50:$F$54,3,0)," ")</f>
        <v>4599</v>
      </c>
      <c r="W496" s="159">
        <f>IFERROR(VLOOKUP(N496,TD!$B$50:$F$54,4,0)," ")</f>
        <v>20240207</v>
      </c>
      <c r="X496" s="158" t="s">
        <v>174</v>
      </c>
      <c r="Y496" s="159" t="str">
        <f>IFERROR(VLOOKUP(X496,TD!$J$51:$K$64,2,0)," ")</f>
        <v>Infraestructura física, mantenimiento y dotación (Sedes construidas, mantenidas reforzadas)</v>
      </c>
      <c r="Z496" s="160" t="str">
        <f>CONCATENATE(X496,"-",Y496)</f>
        <v>08-Infraestructura física, mantenimiento y dotación (Sedes construidas, mantenidas reforzadas)</v>
      </c>
      <c r="AA496" s="158" t="s">
        <v>227</v>
      </c>
      <c r="AB496" s="159" t="str">
        <f>IFERROR(VLOOKUP(AA496,TD!$N$51:$O$66,2,0)," ")</f>
        <v>Sedes mantenidas</v>
      </c>
      <c r="AC496" s="160" t="str">
        <f>CONCATENATE(AA496,"_",AB496)</f>
        <v>016_Sedes mantenidas</v>
      </c>
      <c r="AD496" s="160" t="str">
        <f>CONCATENATE(Z496," ",AC496)</f>
        <v>08-Infraestructura física, mantenimiento y dotación (Sedes construidas, mantenidas reforzadas) 016_Sedes mantenidas</v>
      </c>
      <c r="AE496" s="159" t="str">
        <f>CONCATENATE(U496,V496,W496,X496,AA496)</f>
        <v>O23011745992024020708016</v>
      </c>
      <c r="AF496" s="159" t="str">
        <f>IFERROR(VLOOKUP(AD496,TD!$J$66:$K$89,2,0)," ")</f>
        <v>PM/0131/0108/45990160207</v>
      </c>
      <c r="AG496" s="118" t="s">
        <v>385</v>
      </c>
      <c r="AH496" s="158" t="s">
        <v>193</v>
      </c>
      <c r="AI496" s="161" t="str">
        <f>CONCATENATE(PAA[[#This Row],[Id Interno]],"-",PAA[[#This Row],[tipo de Contrato (TH talento humano - B/S bienes y/o servicios)]],"-",S496,"-",T496,"-",PAA[[#This Row],[Objeto de la contratación]])</f>
        <v>20260464-TH-8126-9-Prestación de servicios profesionales para atender las actividades financieras, a cargo de la Subdirección de Gestión Corporativa-SGC</v>
      </c>
    </row>
    <row r="497" spans="2:35" ht="56" x14ac:dyDescent="0.35">
      <c r="B497" s="23">
        <v>20260465</v>
      </c>
      <c r="C497" s="99" t="s">
        <v>726</v>
      </c>
      <c r="D497" s="23" t="s">
        <v>105</v>
      </c>
      <c r="E497" s="23" t="s">
        <v>363</v>
      </c>
      <c r="F497" s="155" t="s">
        <v>145</v>
      </c>
      <c r="G497" s="156" t="s">
        <v>373</v>
      </c>
      <c r="H497" s="157">
        <v>11</v>
      </c>
      <c r="I497" s="157">
        <v>0</v>
      </c>
      <c r="J497" s="127">
        <v>47187000</v>
      </c>
      <c r="K497" s="88" t="s">
        <v>398</v>
      </c>
      <c r="L497" s="155" t="s">
        <v>155</v>
      </c>
      <c r="M497" s="158" t="s">
        <v>422</v>
      </c>
      <c r="N497" s="23" t="s">
        <v>197</v>
      </c>
      <c r="O497" s="151" t="s">
        <v>957</v>
      </c>
      <c r="P497" s="155" t="s">
        <v>348</v>
      </c>
      <c r="Q497" s="53" t="s">
        <v>778</v>
      </c>
      <c r="R497" s="158" t="s">
        <v>208</v>
      </c>
      <c r="S497" s="158" t="str">
        <f>MID(PAA[[#This Row],[Meta Proyecto de Inversión]],1,4)</f>
        <v>8126</v>
      </c>
      <c r="T497" s="158" t="str">
        <f>MID(PAA[[#This Row],[Meta Proyecto de Inversión]],6,1)</f>
        <v>9</v>
      </c>
      <c r="U497" s="159" t="str">
        <f>IFERROR(VLOOKUP(N497,TD!$B$50:$F$54,2,0)," ")</f>
        <v>O230117</v>
      </c>
      <c r="V497" s="159" t="str">
        <f>IFERROR(VLOOKUP(N497,TD!$B$50:$F$54,3,0)," ")</f>
        <v>4599</v>
      </c>
      <c r="W497" s="159">
        <f>IFERROR(VLOOKUP(N497,TD!$B$50:$F$54,4,0)," ")</f>
        <v>20240207</v>
      </c>
      <c r="X497" s="158" t="s">
        <v>174</v>
      </c>
      <c r="Y497" s="159" t="str">
        <f>IFERROR(VLOOKUP(X497,TD!$J$51:$K$64,2,0)," ")</f>
        <v>Infraestructura física, mantenimiento y dotación (Sedes construidas, mantenidas reforzadas)</v>
      </c>
      <c r="Z497" s="160" t="str">
        <f>CONCATENATE(X497,"-",Y497)</f>
        <v>08-Infraestructura física, mantenimiento y dotación (Sedes construidas, mantenidas reforzadas)</v>
      </c>
      <c r="AA497" s="158" t="s">
        <v>227</v>
      </c>
      <c r="AB497" s="159" t="str">
        <f>IFERROR(VLOOKUP(AA497,TD!$N$51:$O$66,2,0)," ")</f>
        <v>Sedes mantenidas</v>
      </c>
      <c r="AC497" s="160" t="str">
        <f>CONCATENATE(AA497,"_",AB497)</f>
        <v>016_Sedes mantenidas</v>
      </c>
      <c r="AD497" s="160" t="str">
        <f>CONCATENATE(Z497," ",AC497)</f>
        <v>08-Infraestructura física, mantenimiento y dotación (Sedes construidas, mantenidas reforzadas) 016_Sedes mantenidas</v>
      </c>
      <c r="AE497" s="159" t="str">
        <f>CONCATENATE(U497,V497,W497,X497,AA497)</f>
        <v>O23011745992024020708016</v>
      </c>
      <c r="AF497" s="159" t="str">
        <f>IFERROR(VLOOKUP(AD497,TD!$J$66:$K$89,2,0)," ")</f>
        <v>PM/0131/0108/45990160207</v>
      </c>
      <c r="AG497" s="118" t="s">
        <v>385</v>
      </c>
      <c r="AH497" s="158" t="s">
        <v>193</v>
      </c>
      <c r="AI497" s="161" t="str">
        <f>CONCATENATE(PAA[[#This Row],[Id Interno]],"-",PAA[[#This Row],[tipo de Contrato (TH talento humano - B/S bienes y/o servicios)]],"-",S497,"-",T497,"-",PAA[[#This Row],[Objeto de la contratación]])</f>
        <v>20260465-TH-8126-9-Prestación de servicios de apoyo a la gestión de los procesos contractuales en la plataforma SECOP II a cargo de la Subdirección de Gestión Corporativa-SGC</v>
      </c>
    </row>
    <row r="498" spans="2:35" ht="56" x14ac:dyDescent="0.35">
      <c r="B498" s="23">
        <v>20260466</v>
      </c>
      <c r="C498" s="99" t="s">
        <v>727</v>
      </c>
      <c r="D498" s="23" t="s">
        <v>105</v>
      </c>
      <c r="E498" s="23" t="s">
        <v>363</v>
      </c>
      <c r="F498" s="155" t="s">
        <v>144</v>
      </c>
      <c r="G498" s="156" t="s">
        <v>373</v>
      </c>
      <c r="H498" s="157">
        <v>10</v>
      </c>
      <c r="I498" s="157">
        <v>0</v>
      </c>
      <c r="J498" s="127">
        <v>73730000</v>
      </c>
      <c r="K498" s="88" t="s">
        <v>398</v>
      </c>
      <c r="L498" s="155" t="s">
        <v>155</v>
      </c>
      <c r="M498" s="158" t="s">
        <v>422</v>
      </c>
      <c r="N498" s="23" t="s">
        <v>197</v>
      </c>
      <c r="O498" s="151" t="s">
        <v>957</v>
      </c>
      <c r="P498" s="155" t="s">
        <v>348</v>
      </c>
      <c r="Q498" s="53" t="s">
        <v>778</v>
      </c>
      <c r="R498" s="158" t="s">
        <v>208</v>
      </c>
      <c r="S498" s="158" t="str">
        <f>MID(PAA[[#This Row],[Meta Proyecto de Inversión]],1,4)</f>
        <v>8126</v>
      </c>
      <c r="T498" s="158" t="str">
        <f>MID(PAA[[#This Row],[Meta Proyecto de Inversión]],6,1)</f>
        <v>9</v>
      </c>
      <c r="U498" s="159" t="str">
        <f>IFERROR(VLOOKUP(N498,TD!$B$50:$F$54,2,0)," ")</f>
        <v>O230117</v>
      </c>
      <c r="V498" s="159" t="str">
        <f>IFERROR(VLOOKUP(N498,TD!$B$50:$F$54,3,0)," ")</f>
        <v>4599</v>
      </c>
      <c r="W498" s="159">
        <f>IFERROR(VLOOKUP(N498,TD!$B$50:$F$54,4,0)," ")</f>
        <v>20240207</v>
      </c>
      <c r="X498" s="158" t="s">
        <v>174</v>
      </c>
      <c r="Y498" s="159" t="str">
        <f>IFERROR(VLOOKUP(X498,TD!$J$51:$K$64,2,0)," ")</f>
        <v>Infraestructura física, mantenimiento y dotación (Sedes construidas, mantenidas reforzadas)</v>
      </c>
      <c r="Z498" s="160" t="str">
        <f>CONCATENATE(X498,"-",Y498)</f>
        <v>08-Infraestructura física, mantenimiento y dotación (Sedes construidas, mantenidas reforzadas)</v>
      </c>
      <c r="AA498" s="158" t="s">
        <v>227</v>
      </c>
      <c r="AB498" s="159" t="str">
        <f>IFERROR(VLOOKUP(AA498,TD!$N$51:$O$66,2,0)," ")</f>
        <v>Sedes mantenidas</v>
      </c>
      <c r="AC498" s="160" t="str">
        <f>CONCATENATE(AA498,"_",AB498)</f>
        <v>016_Sedes mantenidas</v>
      </c>
      <c r="AD498" s="160" t="str">
        <f>CONCATENATE(Z498," ",AC498)</f>
        <v>08-Infraestructura física, mantenimiento y dotación (Sedes construidas, mantenidas reforzadas) 016_Sedes mantenidas</v>
      </c>
      <c r="AE498" s="159" t="str">
        <f>CONCATENATE(U498,V498,W498,X498,AA498)</f>
        <v>O23011745992024020708016</v>
      </c>
      <c r="AF498" s="159" t="str">
        <f>IFERROR(VLOOKUP(AD498,TD!$J$66:$K$89,2,0)," ")</f>
        <v>PM/0131/0108/45990160207</v>
      </c>
      <c r="AG498" s="118" t="s">
        <v>385</v>
      </c>
      <c r="AH498" s="158" t="s">
        <v>193</v>
      </c>
      <c r="AI498" s="161" t="str">
        <f>CONCATENATE(PAA[[#This Row],[Id Interno]],"-",PAA[[#This Row],[tipo de Contrato (TH talento humano - B/S bienes y/o servicios)]],"-",S498,"-",T498,"-",PAA[[#This Row],[Objeto de la contratación]])</f>
        <v>20260466-TH-8126-9-Prestación de servicios profesionales en el marco de las actividades administrativas de la Subdirección de Gestión Corporativa--SGC</v>
      </c>
    </row>
    <row r="499" spans="2:35" ht="84" x14ac:dyDescent="0.35">
      <c r="B499" s="23">
        <v>20260467</v>
      </c>
      <c r="C499" s="99" t="s">
        <v>728</v>
      </c>
      <c r="D499" s="23" t="s">
        <v>105</v>
      </c>
      <c r="E499" s="23" t="s">
        <v>363</v>
      </c>
      <c r="F499" s="155" t="s">
        <v>144</v>
      </c>
      <c r="G499" s="156" t="s">
        <v>373</v>
      </c>
      <c r="H499" s="157">
        <v>11</v>
      </c>
      <c r="I499" s="157">
        <v>0</v>
      </c>
      <c r="J499" s="127">
        <v>56772000</v>
      </c>
      <c r="K499" s="88" t="s">
        <v>398</v>
      </c>
      <c r="L499" s="155" t="s">
        <v>155</v>
      </c>
      <c r="M499" s="158" t="s">
        <v>422</v>
      </c>
      <c r="N499" s="23" t="s">
        <v>197</v>
      </c>
      <c r="O499" s="151" t="s">
        <v>957</v>
      </c>
      <c r="P499" s="155" t="s">
        <v>348</v>
      </c>
      <c r="Q499" s="53" t="s">
        <v>778</v>
      </c>
      <c r="R499" s="158" t="s">
        <v>208</v>
      </c>
      <c r="S499" s="158" t="str">
        <f>MID(PAA[[#This Row],[Meta Proyecto de Inversión]],1,4)</f>
        <v>8126</v>
      </c>
      <c r="T499" s="158" t="str">
        <f>MID(PAA[[#This Row],[Meta Proyecto de Inversión]],6,1)</f>
        <v>9</v>
      </c>
      <c r="U499" s="159" t="str">
        <f>IFERROR(VLOOKUP(N499,TD!$B$50:$F$54,2,0)," ")</f>
        <v>O230117</v>
      </c>
      <c r="V499" s="159" t="str">
        <f>IFERROR(VLOOKUP(N499,TD!$B$50:$F$54,3,0)," ")</f>
        <v>4599</v>
      </c>
      <c r="W499" s="159">
        <f>IFERROR(VLOOKUP(N499,TD!$B$50:$F$54,4,0)," ")</f>
        <v>20240207</v>
      </c>
      <c r="X499" s="158" t="s">
        <v>174</v>
      </c>
      <c r="Y499" s="159" t="str">
        <f>IFERROR(VLOOKUP(X499,TD!$J$51:$K$64,2,0)," ")</f>
        <v>Infraestructura física, mantenimiento y dotación (Sedes construidas, mantenidas reforzadas)</v>
      </c>
      <c r="Z499" s="160" t="str">
        <f>CONCATENATE(X499,"-",Y499)</f>
        <v>08-Infraestructura física, mantenimiento y dotación (Sedes construidas, mantenidas reforzadas)</v>
      </c>
      <c r="AA499" s="158" t="s">
        <v>227</v>
      </c>
      <c r="AB499" s="159" t="str">
        <f>IFERROR(VLOOKUP(AA499,TD!$N$51:$O$66,2,0)," ")</f>
        <v>Sedes mantenidas</v>
      </c>
      <c r="AC499" s="160" t="str">
        <f>CONCATENATE(AA499,"_",AB499)</f>
        <v>016_Sedes mantenidas</v>
      </c>
      <c r="AD499" s="160" t="str">
        <f>CONCATENATE(Z499," ",AC499)</f>
        <v>08-Infraestructura física, mantenimiento y dotación (Sedes construidas, mantenidas reforzadas) 016_Sedes mantenidas</v>
      </c>
      <c r="AE499" s="159" t="str">
        <f>CONCATENATE(U499,V499,W499,X499,AA499)</f>
        <v>O23011745992024020708016</v>
      </c>
      <c r="AF499" s="159" t="str">
        <f>IFERROR(VLOOKUP(AD499,TD!$J$66:$K$89,2,0)," ")</f>
        <v>PM/0131/0108/45990160207</v>
      </c>
      <c r="AG499" s="118" t="s">
        <v>385</v>
      </c>
      <c r="AH499" s="158" t="s">
        <v>193</v>
      </c>
      <c r="AI499" s="161" t="str">
        <f>CONCATENATE(PAA[[#This Row],[Id Interno]],"-",PAA[[#This Row],[tipo de Contrato (TH talento humano - B/S bienes y/o servicios)]],"-",S499,"-",T499,"-",PAA[[#This Row],[Objeto de la contratación]])</f>
        <v>20260467-TH-8126-9-Prestar los servicios profesionales de la gestión administrativa, así como la adquisición de bienes y servicios de la Subdirección de Gestión Corporativa  SGC</v>
      </c>
    </row>
    <row r="500" spans="2:35" ht="56" x14ac:dyDescent="0.35">
      <c r="B500" s="23">
        <v>20260468</v>
      </c>
      <c r="C500" s="99" t="s">
        <v>729</v>
      </c>
      <c r="D500" s="23" t="s">
        <v>105</v>
      </c>
      <c r="E500" s="23" t="s">
        <v>363</v>
      </c>
      <c r="F500" s="155" t="s">
        <v>144</v>
      </c>
      <c r="G500" s="156" t="s">
        <v>373</v>
      </c>
      <c r="H500" s="157">
        <v>11</v>
      </c>
      <c r="I500" s="157">
        <v>0</v>
      </c>
      <c r="J500" s="127">
        <v>75204000</v>
      </c>
      <c r="K500" s="88" t="s">
        <v>398</v>
      </c>
      <c r="L500" s="155" t="s">
        <v>155</v>
      </c>
      <c r="M500" s="158" t="s">
        <v>422</v>
      </c>
      <c r="N500" s="23" t="s">
        <v>198</v>
      </c>
      <c r="O500" s="151" t="s">
        <v>958</v>
      </c>
      <c r="P500" s="155" t="s">
        <v>348</v>
      </c>
      <c r="Q500" s="53" t="s">
        <v>778</v>
      </c>
      <c r="R500" s="158" t="s">
        <v>216</v>
      </c>
      <c r="S500" s="158" t="str">
        <f>MID(PAA[[#This Row],[Meta Proyecto de Inversión]],1,4)</f>
        <v>8173</v>
      </c>
      <c r="T500" s="158" t="str">
        <f>MID(PAA[[#This Row],[Meta Proyecto de Inversión]],6,1)</f>
        <v>7</v>
      </c>
      <c r="U500" s="159" t="str">
        <f>IFERROR(VLOOKUP(N500,TD!$B$50:$F$54,2,0)," ")</f>
        <v>O230117</v>
      </c>
      <c r="V500" s="159" t="str">
        <f>IFERROR(VLOOKUP(N500,TD!$B$50:$F$54,3,0)," ")</f>
        <v>4503</v>
      </c>
      <c r="W500" s="159">
        <f>IFERROR(VLOOKUP(N500,TD!$B$50:$F$54,4,0)," ")</f>
        <v>20240255</v>
      </c>
      <c r="X500" s="158">
        <v>14</v>
      </c>
      <c r="Y500" s="159" t="str">
        <f>IFERROR(VLOOKUP(X500,TD!$J$51:$K$64,2,0)," ")</f>
        <v xml:space="preserve">Infraestructura física misional construida mantenida y dotada </v>
      </c>
      <c r="Z500" s="160" t="str">
        <f>CONCATENATE(X500,"-",Y500)</f>
        <v xml:space="preserve">14-Infraestructura física misional construida mantenida y dotada </v>
      </c>
      <c r="AA500" s="158" t="s">
        <v>225</v>
      </c>
      <c r="AB500" s="159" t="str">
        <f>IFERROR(VLOOKUP(AA500,TD!$N$51:$O$66,2,0)," ")</f>
        <v>Estaciones de bomberos adecuadas</v>
      </c>
      <c r="AC500" s="160" t="str">
        <f>CONCATENATE(AA500,"_",AB500)</f>
        <v>014_Estaciones de bomberos adecuadas</v>
      </c>
      <c r="AD500" s="160" t="str">
        <f>CONCATENATE(Z500," ",AC500)</f>
        <v>14-Infraestructura física misional construida mantenida y dotada  014_Estaciones de bomberos adecuadas</v>
      </c>
      <c r="AE500" s="159" t="str">
        <f>CONCATENATE(U500,V500,W500,X500,AA500)</f>
        <v>O23011745032024025514014</v>
      </c>
      <c r="AF500" s="159" t="str">
        <f>IFERROR(VLOOKUP(AD500,TD!$J$66:$K$89,2,0)," ")</f>
        <v>PM/0131/0114/45030140255</v>
      </c>
      <c r="AG500" s="118" t="s">
        <v>385</v>
      </c>
      <c r="AH500" s="158" t="s">
        <v>193</v>
      </c>
      <c r="AI500" s="161" t="str">
        <f>CONCATENATE(PAA[[#This Row],[Id Interno]],"-",PAA[[#This Row],[tipo de Contrato (TH talento humano - B/S bienes y/o servicios)]],"-",S500,"-",T500,"-",PAA[[#This Row],[Objeto de la contratación]])</f>
        <v>20260468-TH-8173-7-Prestar servicios profesionales para realizar acompañamiento en los procesos contractuales adelantados por la Subdirección Gestión Corporativa -SGC</v>
      </c>
    </row>
    <row r="501" spans="2:35" ht="56" x14ac:dyDescent="0.35">
      <c r="B501" s="23">
        <v>20260469</v>
      </c>
      <c r="C501" s="99" t="s">
        <v>730</v>
      </c>
      <c r="D501" s="23" t="s">
        <v>105</v>
      </c>
      <c r="E501" s="23" t="s">
        <v>363</v>
      </c>
      <c r="F501" s="155" t="s">
        <v>144</v>
      </c>
      <c r="G501" s="156" t="s">
        <v>373</v>
      </c>
      <c r="H501" s="157">
        <v>11</v>
      </c>
      <c r="I501" s="157">
        <v>0</v>
      </c>
      <c r="J501" s="127">
        <v>75204000</v>
      </c>
      <c r="K501" s="88" t="s">
        <v>398</v>
      </c>
      <c r="L501" s="155" t="s">
        <v>155</v>
      </c>
      <c r="M501" s="158" t="s">
        <v>422</v>
      </c>
      <c r="N501" s="23" t="s">
        <v>198</v>
      </c>
      <c r="O501" s="151" t="s">
        <v>958</v>
      </c>
      <c r="P501" s="155" t="s">
        <v>348</v>
      </c>
      <c r="Q501" s="53" t="s">
        <v>778</v>
      </c>
      <c r="R501" s="158" t="s">
        <v>217</v>
      </c>
      <c r="S501" s="158" t="str">
        <f>MID(PAA[[#This Row],[Meta Proyecto de Inversión]],1,4)</f>
        <v>8173</v>
      </c>
      <c r="T501" s="158" t="str">
        <f>MID(PAA[[#This Row],[Meta Proyecto de Inversión]],6,1)</f>
        <v>8</v>
      </c>
      <c r="U501" s="159" t="str">
        <f>IFERROR(VLOOKUP(N501,TD!$B$50:$F$54,2,0)," ")</f>
        <v>O230117</v>
      </c>
      <c r="V501" s="159" t="str">
        <f>IFERROR(VLOOKUP(N501,TD!$B$50:$F$54,3,0)," ")</f>
        <v>4503</v>
      </c>
      <c r="W501" s="159">
        <f>IFERROR(VLOOKUP(N501,TD!$B$50:$F$54,4,0)," ")</f>
        <v>20240255</v>
      </c>
      <c r="X501" s="158">
        <v>14</v>
      </c>
      <c r="Y501" s="159" t="str">
        <f>IFERROR(VLOOKUP(X501,TD!$J$51:$K$64,2,0)," ")</f>
        <v xml:space="preserve">Infraestructura física misional construida mantenida y dotada </v>
      </c>
      <c r="Z501" s="160" t="str">
        <f>CONCATENATE(X501,"-",Y501)</f>
        <v xml:space="preserve">14-Infraestructura física misional construida mantenida y dotada </v>
      </c>
      <c r="AA501" s="158" t="s">
        <v>226</v>
      </c>
      <c r="AB501" s="159" t="str">
        <f>IFERROR(VLOOKUP(AA501,TD!$N$51:$O$66,2,0)," ")</f>
        <v>Estaciones de bomberos construidas</v>
      </c>
      <c r="AC501" s="160" t="str">
        <f>CONCATENATE(AA501,"_",AB501)</f>
        <v>015_Estaciones de bomberos construidas</v>
      </c>
      <c r="AD501" s="160" t="str">
        <f>CONCATENATE(Z501," ",AC501)</f>
        <v>14-Infraestructura física misional construida mantenida y dotada  015_Estaciones de bomberos construidas</v>
      </c>
      <c r="AE501" s="159" t="str">
        <f>CONCATENATE(U501,V501,W501,X501,AA501)</f>
        <v>O23011745032024025514015</v>
      </c>
      <c r="AF501" s="159" t="str">
        <f>IFERROR(VLOOKUP(AD501,TD!$J$66:$K$89,2,0)," ")</f>
        <v>PM/0131/0114/45030150255</v>
      </c>
      <c r="AG501" s="118" t="s">
        <v>385</v>
      </c>
      <c r="AH501" s="158" t="s">
        <v>193</v>
      </c>
      <c r="AI501" s="161" t="str">
        <f>CONCATENATE(PAA[[#This Row],[Id Interno]],"-",PAA[[#This Row],[tipo de Contrato (TH talento humano - B/S bienes y/o servicios)]],"-",S501,"-",T501,"-",PAA[[#This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502" spans="2:35" ht="56" x14ac:dyDescent="0.35">
      <c r="B502" s="23">
        <v>20260470</v>
      </c>
      <c r="C502" s="99" t="s">
        <v>731</v>
      </c>
      <c r="D502" s="23" t="s">
        <v>105</v>
      </c>
      <c r="E502" s="23" t="s">
        <v>363</v>
      </c>
      <c r="F502" s="155" t="s">
        <v>144</v>
      </c>
      <c r="G502" s="156" t="s">
        <v>373</v>
      </c>
      <c r="H502" s="157">
        <v>11</v>
      </c>
      <c r="I502" s="157">
        <v>0</v>
      </c>
      <c r="J502" s="127">
        <v>75204000</v>
      </c>
      <c r="K502" s="88" t="s">
        <v>398</v>
      </c>
      <c r="L502" s="155" t="s">
        <v>155</v>
      </c>
      <c r="M502" s="158" t="s">
        <v>422</v>
      </c>
      <c r="N502" s="23" t="s">
        <v>198</v>
      </c>
      <c r="O502" s="151" t="s">
        <v>958</v>
      </c>
      <c r="P502" s="155" t="s">
        <v>348</v>
      </c>
      <c r="Q502" s="53" t="s">
        <v>778</v>
      </c>
      <c r="R502" s="158" t="s">
        <v>219</v>
      </c>
      <c r="S502" s="158" t="str">
        <f>MID(PAA[[#This Row],[Meta Proyecto de Inversión]],1,4)</f>
        <v>8173</v>
      </c>
      <c r="T502" s="158" t="str">
        <f>MID(PAA[[#This Row],[Meta Proyecto de Inversión]],6,1)</f>
        <v>1</v>
      </c>
      <c r="U502" s="159" t="str">
        <f>IFERROR(VLOOKUP(N502,TD!$B$50:$F$54,2,0)," ")</f>
        <v>O230117</v>
      </c>
      <c r="V502" s="159" t="str">
        <f>IFERROR(VLOOKUP(N502,TD!$B$50:$F$54,3,0)," ")</f>
        <v>4503</v>
      </c>
      <c r="W502" s="159">
        <f>IFERROR(VLOOKUP(N502,TD!$B$50:$F$54,4,0)," ")</f>
        <v>20240255</v>
      </c>
      <c r="X502" s="158" t="s">
        <v>174</v>
      </c>
      <c r="Y502" s="159" t="str">
        <f>IFERROR(VLOOKUP(X502,TD!$J$51:$K$64,2,0)," ")</f>
        <v>Infraestructura física, mantenimiento y dotación (Sedes construidas, mantenidas reforzadas)</v>
      </c>
      <c r="Z502" s="160" t="str">
        <f>CONCATENATE(X502,"-",Y502)</f>
        <v>08-Infraestructura física, mantenimiento y dotación (Sedes construidas, mantenidas reforzadas)</v>
      </c>
      <c r="AA502" s="158" t="s">
        <v>282</v>
      </c>
      <c r="AB502" s="159" t="str">
        <f>IFERROR(VLOOKUP(AA502,TD!$N$51:$O$66,2,0)," ")</f>
        <v>Documentos de lineamientos técnicos</v>
      </c>
      <c r="AC502" s="160" t="str">
        <f>CONCATENATE(AA502,"_",AB502)</f>
        <v>031__Documentos de lineamientos técnicos</v>
      </c>
      <c r="AD502" s="160" t="str">
        <f>CONCATENATE(Z502," ",AC502)</f>
        <v>08-Infraestructura física, mantenimiento y dotación (Sedes construidas, mantenidas reforzadas) 031__Documentos de lineamientos técnicos</v>
      </c>
      <c r="AE502" s="159" t="str">
        <f>CONCATENATE(U502,V502,W502,X502,AA502)</f>
        <v>O23011745032024025508031_</v>
      </c>
      <c r="AF502" s="159" t="str">
        <f>IFERROR(VLOOKUP(AD502,TD!$J$66:$K$89,2,0)," ")</f>
        <v>PM/0131/0108/45030310255</v>
      </c>
      <c r="AG502" s="118" t="s">
        <v>385</v>
      </c>
      <c r="AH502" s="158" t="s">
        <v>193</v>
      </c>
      <c r="AI502" s="161" t="str">
        <f>CONCATENATE(PAA[[#This Row],[Id Interno]],"-",PAA[[#This Row],[tipo de Contrato (TH talento humano - B/S bienes y/o servicios)]],"-",S502,"-",T502,"-",PAA[[#This Row],[Objeto de la contratación]])</f>
        <v>20260470-TH-8173-1-Prestar los servicios profesionales técnicos para apoyar las actividades propias que contribuyan al desarrollo de la infraestructura requerida por la entidad para la adecuada prestación del servicio-SGC</v>
      </c>
    </row>
    <row r="503" spans="2:35" ht="56" x14ac:dyDescent="0.35">
      <c r="B503" s="23">
        <v>20260471</v>
      </c>
      <c r="C503" s="99" t="s">
        <v>732</v>
      </c>
      <c r="D503" s="23" t="s">
        <v>105</v>
      </c>
      <c r="E503" s="23" t="s">
        <v>363</v>
      </c>
      <c r="F503" s="155" t="s">
        <v>144</v>
      </c>
      <c r="G503" s="156" t="s">
        <v>373</v>
      </c>
      <c r="H503" s="157">
        <v>11</v>
      </c>
      <c r="I503" s="157">
        <v>0</v>
      </c>
      <c r="J503" s="127">
        <v>66357000</v>
      </c>
      <c r="K503" s="88" t="s">
        <v>398</v>
      </c>
      <c r="L503" s="155" t="s">
        <v>155</v>
      </c>
      <c r="M503" s="158" t="s">
        <v>422</v>
      </c>
      <c r="N503" s="23" t="s">
        <v>198</v>
      </c>
      <c r="O503" s="151" t="s">
        <v>958</v>
      </c>
      <c r="P503" s="155" t="s">
        <v>348</v>
      </c>
      <c r="Q503" s="53" t="s">
        <v>778</v>
      </c>
      <c r="R503" s="158" t="s">
        <v>216</v>
      </c>
      <c r="S503" s="158" t="str">
        <f>MID(PAA[[#This Row],[Meta Proyecto de Inversión]],1,4)</f>
        <v>8173</v>
      </c>
      <c r="T503" s="158" t="str">
        <f>MID(PAA[[#This Row],[Meta Proyecto de Inversión]],6,1)</f>
        <v>7</v>
      </c>
      <c r="U503" s="159" t="str">
        <f>IFERROR(VLOOKUP(N503,TD!$B$50:$F$54,2,0)," ")</f>
        <v>O230117</v>
      </c>
      <c r="V503" s="159" t="str">
        <f>IFERROR(VLOOKUP(N503,TD!$B$50:$F$54,3,0)," ")</f>
        <v>4503</v>
      </c>
      <c r="W503" s="159">
        <f>IFERROR(VLOOKUP(N503,TD!$B$50:$F$54,4,0)," ")</f>
        <v>20240255</v>
      </c>
      <c r="X503" s="158">
        <v>14</v>
      </c>
      <c r="Y503" s="159" t="str">
        <f>IFERROR(VLOOKUP(X503,TD!$J$51:$K$64,2,0)," ")</f>
        <v xml:space="preserve">Infraestructura física misional construida mantenida y dotada </v>
      </c>
      <c r="Z503" s="160" t="str">
        <f>CONCATENATE(X503,"-",Y503)</f>
        <v xml:space="preserve">14-Infraestructura física misional construida mantenida y dotada </v>
      </c>
      <c r="AA503" s="158" t="s">
        <v>225</v>
      </c>
      <c r="AB503" s="159" t="str">
        <f>IFERROR(VLOOKUP(AA503,TD!$N$51:$O$66,2,0)," ")</f>
        <v>Estaciones de bomberos adecuadas</v>
      </c>
      <c r="AC503" s="160" t="str">
        <f>CONCATENATE(AA503,"_",AB503)</f>
        <v>014_Estaciones de bomberos adecuadas</v>
      </c>
      <c r="AD503" s="160" t="str">
        <f>CONCATENATE(Z503," ",AC503)</f>
        <v>14-Infraestructura física misional construida mantenida y dotada  014_Estaciones de bomberos adecuadas</v>
      </c>
      <c r="AE503" s="159" t="str">
        <f>CONCATENATE(U503,V503,W503,X503,AA503)</f>
        <v>O23011745032024025514014</v>
      </c>
      <c r="AF503" s="159" t="str">
        <f>IFERROR(VLOOKUP(AD503,TD!$J$66:$K$89,2,0)," ")</f>
        <v>PM/0131/0114/45030140255</v>
      </c>
      <c r="AG503" s="118" t="s">
        <v>385</v>
      </c>
      <c r="AH503" s="158" t="s">
        <v>193</v>
      </c>
      <c r="AI503" s="161" t="str">
        <f>CONCATENATE(PAA[[#This Row],[Id Interno]],"-",PAA[[#This Row],[tipo de Contrato (TH talento humano - B/S bienes y/o servicios)]],"-",S503,"-",T503,"-",PAA[[#This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04" spans="2:35" ht="56" x14ac:dyDescent="0.35">
      <c r="B504" s="23">
        <v>20260472</v>
      </c>
      <c r="C504" s="99" t="s">
        <v>733</v>
      </c>
      <c r="D504" s="23" t="s">
        <v>105</v>
      </c>
      <c r="E504" s="23" t="s">
        <v>363</v>
      </c>
      <c r="F504" s="155" t="s">
        <v>144</v>
      </c>
      <c r="G504" s="156" t="s">
        <v>373</v>
      </c>
      <c r="H504" s="157">
        <v>11</v>
      </c>
      <c r="I504" s="157">
        <v>0</v>
      </c>
      <c r="J504" s="127">
        <v>82500000</v>
      </c>
      <c r="K504" s="88" t="s">
        <v>398</v>
      </c>
      <c r="L504" s="155" t="s">
        <v>155</v>
      </c>
      <c r="M504" s="158" t="s">
        <v>422</v>
      </c>
      <c r="N504" s="23" t="s">
        <v>198</v>
      </c>
      <c r="O504" s="151" t="s">
        <v>958</v>
      </c>
      <c r="P504" s="155" t="s">
        <v>348</v>
      </c>
      <c r="Q504" s="53" t="s">
        <v>778</v>
      </c>
      <c r="R504" s="158" t="s">
        <v>216</v>
      </c>
      <c r="S504" s="158" t="str">
        <f>MID(PAA[[#This Row],[Meta Proyecto de Inversión]],1,4)</f>
        <v>8173</v>
      </c>
      <c r="T504" s="158" t="str">
        <f>MID(PAA[[#This Row],[Meta Proyecto de Inversión]],6,1)</f>
        <v>7</v>
      </c>
      <c r="U504" s="159" t="str">
        <f>IFERROR(VLOOKUP(N504,TD!$B$50:$F$54,2,0)," ")</f>
        <v>O230117</v>
      </c>
      <c r="V504" s="159" t="str">
        <f>IFERROR(VLOOKUP(N504,TD!$B$50:$F$54,3,0)," ")</f>
        <v>4503</v>
      </c>
      <c r="W504" s="159">
        <f>IFERROR(VLOOKUP(N504,TD!$B$50:$F$54,4,0)," ")</f>
        <v>20240255</v>
      </c>
      <c r="X504" s="158">
        <v>14</v>
      </c>
      <c r="Y504" s="159" t="str">
        <f>IFERROR(VLOOKUP(X504,TD!$J$51:$K$64,2,0)," ")</f>
        <v xml:space="preserve">Infraestructura física misional construida mantenida y dotada </v>
      </c>
      <c r="Z504" s="160" t="str">
        <f>CONCATENATE(X504,"-",Y504)</f>
        <v xml:space="preserve">14-Infraestructura física misional construida mantenida y dotada </v>
      </c>
      <c r="AA504" s="158" t="s">
        <v>225</v>
      </c>
      <c r="AB504" s="159" t="str">
        <f>IFERROR(VLOOKUP(AA504,TD!$N$51:$O$66,2,0)," ")</f>
        <v>Estaciones de bomberos adecuadas</v>
      </c>
      <c r="AC504" s="160" t="str">
        <f>CONCATENATE(AA504,"_",AB504)</f>
        <v>014_Estaciones de bomberos adecuadas</v>
      </c>
      <c r="AD504" s="160" t="str">
        <f>CONCATENATE(Z504," ",AC504)</f>
        <v>14-Infraestructura física misional construida mantenida y dotada  014_Estaciones de bomberos adecuadas</v>
      </c>
      <c r="AE504" s="159" t="str">
        <f>CONCATENATE(U504,V504,W504,X504,AA504)</f>
        <v>O23011745032024025514014</v>
      </c>
      <c r="AF504" s="159" t="str">
        <f>IFERROR(VLOOKUP(AD504,TD!$J$66:$K$89,2,0)," ")</f>
        <v>PM/0131/0114/45030140255</v>
      </c>
      <c r="AG504" s="118" t="s">
        <v>385</v>
      </c>
      <c r="AH504" s="158" t="s">
        <v>193</v>
      </c>
      <c r="AI504" s="161" t="str">
        <f>CONCATENATE(PAA[[#This Row],[Id Interno]],"-",PAA[[#This Row],[tipo de Contrato (TH talento humano - B/S bienes y/o servicios)]],"-",S504,"-",T504,"-",PAA[[#This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505" spans="2:35" ht="56" x14ac:dyDescent="0.35">
      <c r="B505" s="23">
        <v>20260473</v>
      </c>
      <c r="C505" s="99" t="s">
        <v>693</v>
      </c>
      <c r="D505" s="23" t="s">
        <v>105</v>
      </c>
      <c r="E505" s="23" t="s">
        <v>363</v>
      </c>
      <c r="F505" s="155" t="s">
        <v>145</v>
      </c>
      <c r="G505" s="156" t="s">
        <v>373</v>
      </c>
      <c r="H505" s="157">
        <v>11</v>
      </c>
      <c r="I505" s="157">
        <v>0</v>
      </c>
      <c r="J505" s="127">
        <v>30966000</v>
      </c>
      <c r="K505" s="88" t="s">
        <v>398</v>
      </c>
      <c r="L505" s="155" t="s">
        <v>155</v>
      </c>
      <c r="M505" s="158" t="s">
        <v>422</v>
      </c>
      <c r="N505" s="23" t="s">
        <v>197</v>
      </c>
      <c r="O505" s="151" t="s">
        <v>957</v>
      </c>
      <c r="P505" s="155" t="s">
        <v>348</v>
      </c>
      <c r="Q505" s="53" t="s">
        <v>778</v>
      </c>
      <c r="R505" s="158" t="s">
        <v>208</v>
      </c>
      <c r="S505" s="158" t="str">
        <f>MID(PAA[[#This Row],[Meta Proyecto de Inversión]],1,4)</f>
        <v>8126</v>
      </c>
      <c r="T505" s="158" t="str">
        <f>MID(PAA[[#This Row],[Meta Proyecto de Inversión]],6,1)</f>
        <v>9</v>
      </c>
      <c r="U505" s="159" t="str">
        <f>IFERROR(VLOOKUP(N505,TD!$B$50:$F$54,2,0)," ")</f>
        <v>O230117</v>
      </c>
      <c r="V505" s="159" t="str">
        <f>IFERROR(VLOOKUP(N505,TD!$B$50:$F$54,3,0)," ")</f>
        <v>4599</v>
      </c>
      <c r="W505" s="159">
        <f>IFERROR(VLOOKUP(N505,TD!$B$50:$F$54,4,0)," ")</f>
        <v>20240207</v>
      </c>
      <c r="X505" s="158" t="s">
        <v>174</v>
      </c>
      <c r="Y505" s="159" t="str">
        <f>IFERROR(VLOOKUP(X505,TD!$J$51:$K$64,2,0)," ")</f>
        <v>Infraestructura física, mantenimiento y dotación (Sedes construidas, mantenidas reforzadas)</v>
      </c>
      <c r="Z505" s="160" t="str">
        <f>CONCATENATE(X505,"-",Y505)</f>
        <v>08-Infraestructura física, mantenimiento y dotación (Sedes construidas, mantenidas reforzadas)</v>
      </c>
      <c r="AA505" s="158" t="s">
        <v>227</v>
      </c>
      <c r="AB505" s="159" t="str">
        <f>IFERROR(VLOOKUP(AA505,TD!$N$51:$O$66,2,0)," ")</f>
        <v>Sedes mantenidas</v>
      </c>
      <c r="AC505" s="160" t="str">
        <f>CONCATENATE(AA505,"_",AB505)</f>
        <v>016_Sedes mantenidas</v>
      </c>
      <c r="AD505" s="160" t="str">
        <f>CONCATENATE(Z505," ",AC505)</f>
        <v>08-Infraestructura física, mantenimiento y dotación (Sedes construidas, mantenidas reforzadas) 016_Sedes mantenidas</v>
      </c>
      <c r="AE505" s="159" t="str">
        <f>CONCATENATE(U505,V505,W505,X505,AA505)</f>
        <v>O23011745992024020708016</v>
      </c>
      <c r="AF505" s="159" t="str">
        <f>IFERROR(VLOOKUP(AD505,TD!$J$66:$K$89,2,0)," ")</f>
        <v>PM/0131/0108/45990160207</v>
      </c>
      <c r="AG505" s="118" t="s">
        <v>385</v>
      </c>
      <c r="AH505" s="158" t="s">
        <v>193</v>
      </c>
      <c r="AI505" s="161" t="str">
        <f>CONCATENATE(PAA[[#This Row],[Id Interno]],"-",PAA[[#This Row],[tipo de Contrato (TH talento humano - B/S bienes y/o servicios)]],"-",S505,"-",T505,"-",PAA[[#This Row],[Objeto de la contratación]])</f>
        <v>20260473-TH-8126-9-Prestación de servicios de apoyo a la gestión del proceso de inventarios de la Subdirección de Gestión Corporativa.-SGC</v>
      </c>
    </row>
    <row r="506" spans="2:35" ht="70" x14ac:dyDescent="0.35">
      <c r="B506" s="23">
        <v>20260474</v>
      </c>
      <c r="C506" s="99" t="s">
        <v>693</v>
      </c>
      <c r="D506" s="23" t="s">
        <v>105</v>
      </c>
      <c r="E506" s="23" t="s">
        <v>363</v>
      </c>
      <c r="F506" s="155" t="s">
        <v>145</v>
      </c>
      <c r="G506" s="156" t="s">
        <v>373</v>
      </c>
      <c r="H506" s="157">
        <v>10</v>
      </c>
      <c r="I506" s="157">
        <v>0</v>
      </c>
      <c r="J506" s="127">
        <v>28151000</v>
      </c>
      <c r="K506" s="88" t="s">
        <v>398</v>
      </c>
      <c r="L506" s="155" t="s">
        <v>155</v>
      </c>
      <c r="M506" s="158" t="s">
        <v>422</v>
      </c>
      <c r="N506" s="23" t="s">
        <v>197</v>
      </c>
      <c r="O506" s="151" t="s">
        <v>957</v>
      </c>
      <c r="P506" s="155" t="s">
        <v>348</v>
      </c>
      <c r="Q506" s="53" t="s">
        <v>778</v>
      </c>
      <c r="R506" s="158" t="s">
        <v>208</v>
      </c>
      <c r="S506" s="158" t="str">
        <f>MID(PAA[[#This Row],[Meta Proyecto de Inversión]],1,4)</f>
        <v>8126</v>
      </c>
      <c r="T506" s="158" t="str">
        <f>MID(PAA[[#This Row],[Meta Proyecto de Inversión]],6,1)</f>
        <v>9</v>
      </c>
      <c r="U506" s="159" t="str">
        <f>IFERROR(VLOOKUP(N506,TD!$B$50:$F$54,2,0)," ")</f>
        <v>O230117</v>
      </c>
      <c r="V506" s="159" t="str">
        <f>IFERROR(VLOOKUP(N506,TD!$B$50:$F$54,3,0)," ")</f>
        <v>4599</v>
      </c>
      <c r="W506" s="159">
        <f>IFERROR(VLOOKUP(N506,TD!$B$50:$F$54,4,0)," ")</f>
        <v>20240207</v>
      </c>
      <c r="X506" s="158" t="s">
        <v>174</v>
      </c>
      <c r="Y506" s="159" t="str">
        <f>IFERROR(VLOOKUP(X506,TD!$J$51:$K$64,2,0)," ")</f>
        <v>Infraestructura física, mantenimiento y dotación (Sedes construidas, mantenidas reforzadas)</v>
      </c>
      <c r="Z506" s="160" t="str">
        <f>CONCATENATE(X506,"-",Y506)</f>
        <v>08-Infraestructura física, mantenimiento y dotación (Sedes construidas, mantenidas reforzadas)</v>
      </c>
      <c r="AA506" s="158" t="s">
        <v>227</v>
      </c>
      <c r="AB506" s="159" t="str">
        <f>IFERROR(VLOOKUP(AA506,TD!$N$51:$O$66,2,0)," ")</f>
        <v>Sedes mantenidas</v>
      </c>
      <c r="AC506" s="160" t="str">
        <f>CONCATENATE(AA506,"_",AB506)</f>
        <v>016_Sedes mantenidas</v>
      </c>
      <c r="AD506" s="160" t="str">
        <f>CONCATENATE(Z506," ",AC506)</f>
        <v>08-Infraestructura física, mantenimiento y dotación (Sedes construidas, mantenidas reforzadas) 016_Sedes mantenidas</v>
      </c>
      <c r="AE506" s="159" t="str">
        <f>CONCATENATE(U506,V506,W506,X506,AA506)</f>
        <v>O23011745992024020708016</v>
      </c>
      <c r="AF506" s="159" t="str">
        <f>IFERROR(VLOOKUP(AD506,TD!$J$66:$K$89,2,0)," ")</f>
        <v>PM/0131/0108/45990160207</v>
      </c>
      <c r="AG506" s="118" t="s">
        <v>385</v>
      </c>
      <c r="AH506" s="158" t="s">
        <v>193</v>
      </c>
      <c r="AI506" s="161" t="str">
        <f>CONCATENATE(PAA[[#This Row],[Id Interno]],"-",PAA[[#This Row],[tipo de Contrato (TH talento humano - B/S bienes y/o servicios)]],"-",S506,"-",T506,"-",PAA[[#This Row],[Objeto de la contratación]])</f>
        <v>20260474-TH-8126-9-Prestación de servicios de apoyo a la gestión del proceso de inventarios de la Subdirección de Gestión Corporativa.-SGC</v>
      </c>
    </row>
    <row r="507" spans="2:35" ht="56" x14ac:dyDescent="0.35">
      <c r="B507" s="23">
        <v>20260475</v>
      </c>
      <c r="C507" s="99" t="s">
        <v>698</v>
      </c>
      <c r="D507" s="23" t="s">
        <v>105</v>
      </c>
      <c r="E507" s="23" t="s">
        <v>363</v>
      </c>
      <c r="F507" s="155" t="s">
        <v>145</v>
      </c>
      <c r="G507" s="156" t="s">
        <v>373</v>
      </c>
      <c r="H507" s="157">
        <v>11</v>
      </c>
      <c r="I507" s="157">
        <v>0</v>
      </c>
      <c r="J507" s="127">
        <v>30966000</v>
      </c>
      <c r="K507" s="88" t="s">
        <v>398</v>
      </c>
      <c r="L507" s="155" t="s">
        <v>155</v>
      </c>
      <c r="M507" s="158" t="s">
        <v>422</v>
      </c>
      <c r="N507" s="23" t="s">
        <v>197</v>
      </c>
      <c r="O507" s="151" t="s">
        <v>957</v>
      </c>
      <c r="P507" s="155" t="s">
        <v>348</v>
      </c>
      <c r="Q507" s="53" t="s">
        <v>778</v>
      </c>
      <c r="R507" s="158" t="s">
        <v>208</v>
      </c>
      <c r="S507" s="158" t="str">
        <f>MID(PAA[[#This Row],[Meta Proyecto de Inversión]],1,4)</f>
        <v>8126</v>
      </c>
      <c r="T507" s="158" t="str">
        <f>MID(PAA[[#This Row],[Meta Proyecto de Inversión]],6,1)</f>
        <v>9</v>
      </c>
      <c r="U507" s="159" t="str">
        <f>IFERROR(VLOOKUP(N507,TD!$B$50:$F$54,2,0)," ")</f>
        <v>O230117</v>
      </c>
      <c r="V507" s="159" t="str">
        <f>IFERROR(VLOOKUP(N507,TD!$B$50:$F$54,3,0)," ")</f>
        <v>4599</v>
      </c>
      <c r="W507" s="159">
        <f>IFERROR(VLOOKUP(N507,TD!$B$50:$F$54,4,0)," ")</f>
        <v>20240207</v>
      </c>
      <c r="X507" s="158" t="s">
        <v>174</v>
      </c>
      <c r="Y507" s="159" t="str">
        <f>IFERROR(VLOOKUP(X507,TD!$J$51:$K$64,2,0)," ")</f>
        <v>Infraestructura física, mantenimiento y dotación (Sedes construidas, mantenidas reforzadas)</v>
      </c>
      <c r="Z507" s="160" t="str">
        <f>CONCATENATE(X507,"-",Y507)</f>
        <v>08-Infraestructura física, mantenimiento y dotación (Sedes construidas, mantenidas reforzadas)</v>
      </c>
      <c r="AA507" s="158" t="s">
        <v>227</v>
      </c>
      <c r="AB507" s="159" t="str">
        <f>IFERROR(VLOOKUP(AA507,TD!$N$51:$O$66,2,0)," ")</f>
        <v>Sedes mantenidas</v>
      </c>
      <c r="AC507" s="160" t="str">
        <f>CONCATENATE(AA507,"_",AB507)</f>
        <v>016_Sedes mantenidas</v>
      </c>
      <c r="AD507" s="160" t="str">
        <f>CONCATENATE(Z507," ",AC507)</f>
        <v>08-Infraestructura física, mantenimiento y dotación (Sedes construidas, mantenidas reforzadas) 016_Sedes mantenidas</v>
      </c>
      <c r="AE507" s="159" t="str">
        <f>CONCATENATE(U507,V507,W507,X507,AA507)</f>
        <v>O23011745992024020708016</v>
      </c>
      <c r="AF507" s="159" t="str">
        <f>IFERROR(VLOOKUP(AD507,TD!$J$66:$K$89,2,0)," ")</f>
        <v>PM/0131/0108/45990160207</v>
      </c>
      <c r="AG507" s="118" t="s">
        <v>385</v>
      </c>
      <c r="AH507" s="158" t="s">
        <v>193</v>
      </c>
      <c r="AI507" s="161" t="str">
        <f>CONCATENATE(PAA[[#This Row],[Id Interno]],"-",PAA[[#This Row],[tipo de Contrato (TH talento humano - B/S bienes y/o servicios)]],"-",S507,"-",T507,"-",PAA[[#This Row],[Objeto de la contratación]])</f>
        <v>20260475-TH-8126-9-Prestación de servicios de apoyo a la gestión documental de la Subdirección de Gestión Corporativa de la Unidad.-SGC</v>
      </c>
    </row>
    <row r="508" spans="2:35" ht="112" x14ac:dyDescent="0.35">
      <c r="B508" s="23">
        <v>20260476</v>
      </c>
      <c r="C508" s="99" t="s">
        <v>698</v>
      </c>
      <c r="D508" s="23" t="s">
        <v>105</v>
      </c>
      <c r="E508" s="23" t="s">
        <v>363</v>
      </c>
      <c r="F508" s="155" t="s">
        <v>145</v>
      </c>
      <c r="G508" s="156" t="s">
        <v>373</v>
      </c>
      <c r="H508" s="157">
        <v>11</v>
      </c>
      <c r="I508" s="157">
        <v>0</v>
      </c>
      <c r="J508" s="127">
        <v>42026000</v>
      </c>
      <c r="K508" s="88" t="s">
        <v>398</v>
      </c>
      <c r="L508" s="155" t="s">
        <v>155</v>
      </c>
      <c r="M508" s="158" t="s">
        <v>422</v>
      </c>
      <c r="N508" s="23" t="s">
        <v>197</v>
      </c>
      <c r="O508" s="151" t="s">
        <v>957</v>
      </c>
      <c r="P508" s="155" t="s">
        <v>348</v>
      </c>
      <c r="Q508" s="53" t="s">
        <v>778</v>
      </c>
      <c r="R508" s="158" t="s">
        <v>208</v>
      </c>
      <c r="S508" s="158" t="str">
        <f>MID(PAA[[#This Row],[Meta Proyecto de Inversión]],1,4)</f>
        <v>8126</v>
      </c>
      <c r="T508" s="158" t="str">
        <f>MID(PAA[[#This Row],[Meta Proyecto de Inversión]],6,1)</f>
        <v>9</v>
      </c>
      <c r="U508" s="159" t="str">
        <f>IFERROR(VLOOKUP(N508,TD!$B$50:$F$54,2,0)," ")</f>
        <v>O230117</v>
      </c>
      <c r="V508" s="159" t="str">
        <f>IFERROR(VLOOKUP(N508,TD!$B$50:$F$54,3,0)," ")</f>
        <v>4599</v>
      </c>
      <c r="W508" s="159">
        <f>IFERROR(VLOOKUP(N508,TD!$B$50:$F$54,4,0)," ")</f>
        <v>20240207</v>
      </c>
      <c r="X508" s="158" t="s">
        <v>174</v>
      </c>
      <c r="Y508" s="159" t="str">
        <f>IFERROR(VLOOKUP(X508,TD!$J$51:$K$64,2,0)," ")</f>
        <v>Infraestructura física, mantenimiento y dotación (Sedes construidas, mantenidas reforzadas)</v>
      </c>
      <c r="Z508" s="160" t="str">
        <f>CONCATENATE(X508,"-",Y508)</f>
        <v>08-Infraestructura física, mantenimiento y dotación (Sedes construidas, mantenidas reforzadas)</v>
      </c>
      <c r="AA508" s="158" t="s">
        <v>227</v>
      </c>
      <c r="AB508" s="159" t="str">
        <f>IFERROR(VLOOKUP(AA508,TD!$N$51:$O$66,2,0)," ")</f>
        <v>Sedes mantenidas</v>
      </c>
      <c r="AC508" s="160" t="str">
        <f>CONCATENATE(AA508,"_",AB508)</f>
        <v>016_Sedes mantenidas</v>
      </c>
      <c r="AD508" s="160" t="str">
        <f>CONCATENATE(Z508," ",AC508)</f>
        <v>08-Infraestructura física, mantenimiento y dotación (Sedes construidas, mantenidas reforzadas) 016_Sedes mantenidas</v>
      </c>
      <c r="AE508" s="159" t="str">
        <f>CONCATENATE(U508,V508,W508,X508,AA508)</f>
        <v>O23011745992024020708016</v>
      </c>
      <c r="AF508" s="159" t="str">
        <f>IFERROR(VLOOKUP(AD508,TD!$J$66:$K$89,2,0)," ")</f>
        <v>PM/0131/0108/45990160207</v>
      </c>
      <c r="AG508" s="118" t="s">
        <v>385</v>
      </c>
      <c r="AH508" s="158" t="s">
        <v>193</v>
      </c>
      <c r="AI508" s="161" t="str">
        <f>CONCATENATE(PAA[[#This Row],[Id Interno]],"-",PAA[[#This Row],[tipo de Contrato (TH talento humano - B/S bienes y/o servicios)]],"-",S508,"-",T508,"-",PAA[[#This Row],[Objeto de la contratación]])</f>
        <v>20260476-TH-8126-9-Prestación de servicios de apoyo a la gestión documental de la Subdirección de Gestión Corporativa de la Unidad.-SGC</v>
      </c>
    </row>
    <row r="509" spans="2:35" ht="56" x14ac:dyDescent="0.35">
      <c r="B509" s="23">
        <v>20260477</v>
      </c>
      <c r="C509" s="99" t="s">
        <v>734</v>
      </c>
      <c r="D509" s="23" t="s">
        <v>105</v>
      </c>
      <c r="E509" s="23" t="s">
        <v>363</v>
      </c>
      <c r="F509" s="155" t="s">
        <v>145</v>
      </c>
      <c r="G509" s="156" t="s">
        <v>373</v>
      </c>
      <c r="H509" s="157">
        <v>11</v>
      </c>
      <c r="I509" s="157">
        <v>0</v>
      </c>
      <c r="J509" s="127">
        <v>30967000</v>
      </c>
      <c r="K509" s="88" t="s">
        <v>398</v>
      </c>
      <c r="L509" s="155" t="s">
        <v>155</v>
      </c>
      <c r="M509" s="158" t="s">
        <v>422</v>
      </c>
      <c r="N509" s="23" t="s">
        <v>197</v>
      </c>
      <c r="O509" s="151" t="s">
        <v>957</v>
      </c>
      <c r="P509" s="155" t="s">
        <v>348</v>
      </c>
      <c r="Q509" s="53" t="s">
        <v>778</v>
      </c>
      <c r="R509" s="158" t="s">
        <v>208</v>
      </c>
      <c r="S509" s="158" t="str">
        <f>MID(PAA[[#This Row],[Meta Proyecto de Inversión]],1,4)</f>
        <v>8126</v>
      </c>
      <c r="T509" s="158" t="str">
        <f>MID(PAA[[#This Row],[Meta Proyecto de Inversión]],6,1)</f>
        <v>9</v>
      </c>
      <c r="U509" s="159" t="str">
        <f>IFERROR(VLOOKUP(N509,TD!$B$50:$F$54,2,0)," ")</f>
        <v>O230117</v>
      </c>
      <c r="V509" s="159" t="str">
        <f>IFERROR(VLOOKUP(N509,TD!$B$50:$F$54,3,0)," ")</f>
        <v>4599</v>
      </c>
      <c r="W509" s="159">
        <f>IFERROR(VLOOKUP(N509,TD!$B$50:$F$54,4,0)," ")</f>
        <v>20240207</v>
      </c>
      <c r="X509" s="158" t="s">
        <v>174</v>
      </c>
      <c r="Y509" s="159" t="str">
        <f>IFERROR(VLOOKUP(X509,TD!$J$51:$K$64,2,0)," ")</f>
        <v>Infraestructura física, mantenimiento y dotación (Sedes construidas, mantenidas reforzadas)</v>
      </c>
      <c r="Z509" s="160" t="str">
        <f>CONCATENATE(X509,"-",Y509)</f>
        <v>08-Infraestructura física, mantenimiento y dotación (Sedes construidas, mantenidas reforzadas)</v>
      </c>
      <c r="AA509" s="158" t="s">
        <v>227</v>
      </c>
      <c r="AB509" s="159" t="str">
        <f>IFERROR(VLOOKUP(AA509,TD!$N$51:$O$66,2,0)," ")</f>
        <v>Sedes mantenidas</v>
      </c>
      <c r="AC509" s="160" t="str">
        <f>CONCATENATE(AA509,"_",AB509)</f>
        <v>016_Sedes mantenidas</v>
      </c>
      <c r="AD509" s="160" t="str">
        <f>CONCATENATE(Z509," ",AC509)</f>
        <v>08-Infraestructura física, mantenimiento y dotación (Sedes construidas, mantenidas reforzadas) 016_Sedes mantenidas</v>
      </c>
      <c r="AE509" s="159" t="str">
        <f>CONCATENATE(U509,V509,W509,X509,AA509)</f>
        <v>O23011745992024020708016</v>
      </c>
      <c r="AF509" s="159" t="str">
        <f>IFERROR(VLOOKUP(AD509,TD!$J$66:$K$89,2,0)," ")</f>
        <v>PM/0131/0108/45990160207</v>
      </c>
      <c r="AG509" s="118" t="s">
        <v>385</v>
      </c>
      <c r="AH509" s="158" t="s">
        <v>193</v>
      </c>
      <c r="AI509" s="161" t="str">
        <f>CONCATENATE(PAA[[#This Row],[Id Interno]],"-",PAA[[#This Row],[tipo de Contrato (TH talento humano - B/S bienes y/o servicios)]],"-",S509,"-",T509,"-",PAA[[#This Row],[Objeto de la contratación]])</f>
        <v>20260477-TH-8126-9-Prestación de servicios de apoyo en las actividades asociadas a los procesos de gestión de inventarios de la Subdirección de Gestión Corporativa.-SGC</v>
      </c>
    </row>
    <row r="510" spans="2:35" ht="56" x14ac:dyDescent="0.35">
      <c r="B510" s="23">
        <v>20260478</v>
      </c>
      <c r="C510" s="99" t="s">
        <v>735</v>
      </c>
      <c r="D510" s="23" t="s">
        <v>105</v>
      </c>
      <c r="E510" s="23" t="s">
        <v>363</v>
      </c>
      <c r="F510" s="155" t="s">
        <v>145</v>
      </c>
      <c r="G510" s="156" t="s">
        <v>373</v>
      </c>
      <c r="H510" s="157">
        <v>11</v>
      </c>
      <c r="I510" s="157">
        <v>0</v>
      </c>
      <c r="J510" s="127">
        <v>47187000</v>
      </c>
      <c r="K510" s="88" t="s">
        <v>398</v>
      </c>
      <c r="L510" s="155" t="s">
        <v>155</v>
      </c>
      <c r="M510" s="158" t="s">
        <v>422</v>
      </c>
      <c r="N510" s="23" t="s">
        <v>197</v>
      </c>
      <c r="O510" s="151" t="s">
        <v>957</v>
      </c>
      <c r="P510" s="155" t="s">
        <v>348</v>
      </c>
      <c r="Q510" s="53" t="s">
        <v>778</v>
      </c>
      <c r="R510" s="158" t="s">
        <v>208</v>
      </c>
      <c r="S510" s="158" t="str">
        <f>MID(PAA[[#This Row],[Meta Proyecto de Inversión]],1,4)</f>
        <v>8126</v>
      </c>
      <c r="T510" s="158" t="str">
        <f>MID(PAA[[#This Row],[Meta Proyecto de Inversión]],6,1)</f>
        <v>9</v>
      </c>
      <c r="U510" s="159" t="str">
        <f>IFERROR(VLOOKUP(N510,TD!$B$50:$F$54,2,0)," ")</f>
        <v>O230117</v>
      </c>
      <c r="V510" s="159" t="str">
        <f>IFERROR(VLOOKUP(N510,TD!$B$50:$F$54,3,0)," ")</f>
        <v>4599</v>
      </c>
      <c r="W510" s="159">
        <f>IFERROR(VLOOKUP(N510,TD!$B$50:$F$54,4,0)," ")</f>
        <v>20240207</v>
      </c>
      <c r="X510" s="158" t="s">
        <v>174</v>
      </c>
      <c r="Y510" s="159" t="str">
        <f>IFERROR(VLOOKUP(X510,TD!$J$51:$K$64,2,0)," ")</f>
        <v>Infraestructura física, mantenimiento y dotación (Sedes construidas, mantenidas reforzadas)</v>
      </c>
      <c r="Z510" s="160" t="str">
        <f>CONCATENATE(X510,"-",Y510)</f>
        <v>08-Infraestructura física, mantenimiento y dotación (Sedes construidas, mantenidas reforzadas)</v>
      </c>
      <c r="AA510" s="158" t="s">
        <v>227</v>
      </c>
      <c r="AB510" s="159" t="str">
        <f>IFERROR(VLOOKUP(AA510,TD!$N$51:$O$66,2,0)," ")</f>
        <v>Sedes mantenidas</v>
      </c>
      <c r="AC510" s="160" t="str">
        <f>CONCATENATE(AA510,"_",AB510)</f>
        <v>016_Sedes mantenidas</v>
      </c>
      <c r="AD510" s="160" t="str">
        <f>CONCATENATE(Z510," ",AC510)</f>
        <v>08-Infraestructura física, mantenimiento y dotación (Sedes construidas, mantenidas reforzadas) 016_Sedes mantenidas</v>
      </c>
      <c r="AE510" s="159" t="str">
        <f>CONCATENATE(U510,V510,W510,X510,AA510)</f>
        <v>O23011745992024020708016</v>
      </c>
      <c r="AF510" s="159" t="str">
        <f>IFERROR(VLOOKUP(AD510,TD!$J$66:$K$89,2,0)," ")</f>
        <v>PM/0131/0108/45990160207</v>
      </c>
      <c r="AG510" s="118" t="s">
        <v>385</v>
      </c>
      <c r="AH510" s="158" t="s">
        <v>193</v>
      </c>
      <c r="AI510" s="161" t="str">
        <f>CONCATENATE(PAA[[#This Row],[Id Interno]],"-",PAA[[#This Row],[tipo de Contrato (TH talento humano - B/S bienes y/o servicios)]],"-",S510,"-",T510,"-",PAA[[#This Row],[Objeto de la contratación]])</f>
        <v>20260478-TH-8126-9-Prestación de servicios de apoyo técnico en la gestión documental de la Subdirección de Gestión Corporativa de la Unidad-SGC</v>
      </c>
    </row>
    <row r="511" spans="2:35" ht="84" x14ac:dyDescent="0.35">
      <c r="B511" s="23">
        <v>20260479</v>
      </c>
      <c r="C511" s="99" t="s">
        <v>685</v>
      </c>
      <c r="D511" s="23" t="s">
        <v>105</v>
      </c>
      <c r="E511" s="23" t="s">
        <v>363</v>
      </c>
      <c r="F511" s="155" t="s">
        <v>145</v>
      </c>
      <c r="G511" s="156" t="s">
        <v>373</v>
      </c>
      <c r="H511" s="157">
        <v>11</v>
      </c>
      <c r="I511" s="157">
        <v>0</v>
      </c>
      <c r="J511" s="127">
        <v>36128000</v>
      </c>
      <c r="K511" s="88" t="s">
        <v>398</v>
      </c>
      <c r="L511" s="155" t="s">
        <v>155</v>
      </c>
      <c r="M511" s="158" t="s">
        <v>422</v>
      </c>
      <c r="N511" s="23" t="s">
        <v>197</v>
      </c>
      <c r="O511" s="151" t="s">
        <v>957</v>
      </c>
      <c r="P511" s="155" t="s">
        <v>348</v>
      </c>
      <c r="Q511" s="53" t="s">
        <v>778</v>
      </c>
      <c r="R511" s="158" t="s">
        <v>208</v>
      </c>
      <c r="S511" s="158" t="str">
        <f>MID(PAA[[#This Row],[Meta Proyecto de Inversión]],1,4)</f>
        <v>8126</v>
      </c>
      <c r="T511" s="158" t="str">
        <f>MID(PAA[[#This Row],[Meta Proyecto de Inversión]],6,1)</f>
        <v>9</v>
      </c>
      <c r="U511" s="159" t="str">
        <f>IFERROR(VLOOKUP(N511,TD!$B$50:$F$54,2,0)," ")</f>
        <v>O230117</v>
      </c>
      <c r="V511" s="159" t="str">
        <f>IFERROR(VLOOKUP(N511,TD!$B$50:$F$54,3,0)," ")</f>
        <v>4599</v>
      </c>
      <c r="W511" s="159">
        <f>IFERROR(VLOOKUP(N511,TD!$B$50:$F$54,4,0)," ")</f>
        <v>20240207</v>
      </c>
      <c r="X511" s="158" t="s">
        <v>174</v>
      </c>
      <c r="Y511" s="159" t="str">
        <f>IFERROR(VLOOKUP(X511,TD!$J$51:$K$64,2,0)," ")</f>
        <v>Infraestructura física, mantenimiento y dotación (Sedes construidas, mantenidas reforzadas)</v>
      </c>
      <c r="Z511" s="160" t="str">
        <f>CONCATENATE(X511,"-",Y511)</f>
        <v>08-Infraestructura física, mantenimiento y dotación (Sedes construidas, mantenidas reforzadas)</v>
      </c>
      <c r="AA511" s="158" t="s">
        <v>227</v>
      </c>
      <c r="AB511" s="159" t="str">
        <f>IFERROR(VLOOKUP(AA511,TD!$N$51:$O$66,2,0)," ")</f>
        <v>Sedes mantenidas</v>
      </c>
      <c r="AC511" s="160" t="str">
        <f>CONCATENATE(AA511,"_",AB511)</f>
        <v>016_Sedes mantenidas</v>
      </c>
      <c r="AD511" s="160" t="str">
        <f>CONCATENATE(Z511," ",AC511)</f>
        <v>08-Infraestructura física, mantenimiento y dotación (Sedes construidas, mantenidas reforzadas) 016_Sedes mantenidas</v>
      </c>
      <c r="AE511" s="159" t="str">
        <f>CONCATENATE(U511,V511,W511,X511,AA511)</f>
        <v>O23011745992024020708016</v>
      </c>
      <c r="AF511" s="159" t="str">
        <f>IFERROR(VLOOKUP(AD511,TD!$J$66:$K$89,2,0)," ")</f>
        <v>PM/0131/0108/45990160207</v>
      </c>
      <c r="AG511" s="118" t="s">
        <v>385</v>
      </c>
      <c r="AH511" s="158" t="s">
        <v>193</v>
      </c>
      <c r="AI511" s="161" t="str">
        <f>CONCATENATE(PAA[[#This Row],[Id Interno]],"-",PAA[[#This Row],[tipo de Contrato (TH talento humano - B/S bienes y/o servicios)]],"-",S511,"-",T511,"-",PAA[[#This Row],[Objeto de la contratación]])</f>
        <v>20260479-TH-8126-9-Prestación de servicios de apoyo a la gestión en la ejecución de los planes y programas de servicio al ciudadano a cargo de la Subdirección de Gestión Corporativa.-SGC</v>
      </c>
    </row>
    <row r="512" spans="2:35" ht="132.5" customHeight="1" x14ac:dyDescent="0.35">
      <c r="B512" s="23">
        <v>20260480</v>
      </c>
      <c r="C512" s="99" t="s">
        <v>685</v>
      </c>
      <c r="D512" s="23" t="s">
        <v>105</v>
      </c>
      <c r="E512" s="23" t="s">
        <v>363</v>
      </c>
      <c r="F512" s="155" t="s">
        <v>145</v>
      </c>
      <c r="G512" s="156" t="s">
        <v>373</v>
      </c>
      <c r="H512" s="157">
        <v>11</v>
      </c>
      <c r="I512" s="157">
        <v>0</v>
      </c>
      <c r="J512" s="127">
        <v>36128000</v>
      </c>
      <c r="K512" s="88" t="s">
        <v>398</v>
      </c>
      <c r="L512" s="155" t="s">
        <v>155</v>
      </c>
      <c r="M512" s="158" t="s">
        <v>422</v>
      </c>
      <c r="N512" s="23" t="s">
        <v>197</v>
      </c>
      <c r="O512" s="151" t="s">
        <v>957</v>
      </c>
      <c r="P512" s="155" t="s">
        <v>348</v>
      </c>
      <c r="Q512" s="53" t="s">
        <v>778</v>
      </c>
      <c r="R512" s="158" t="s">
        <v>208</v>
      </c>
      <c r="S512" s="158" t="str">
        <f>MID(PAA[[#This Row],[Meta Proyecto de Inversión]],1,4)</f>
        <v>8126</v>
      </c>
      <c r="T512" s="158" t="str">
        <f>MID(PAA[[#This Row],[Meta Proyecto de Inversión]],6,1)</f>
        <v>9</v>
      </c>
      <c r="U512" s="159" t="str">
        <f>IFERROR(VLOOKUP(N512,TD!$B$50:$F$54,2,0)," ")</f>
        <v>O230117</v>
      </c>
      <c r="V512" s="159" t="str">
        <f>IFERROR(VLOOKUP(N512,TD!$B$50:$F$54,3,0)," ")</f>
        <v>4599</v>
      </c>
      <c r="W512" s="159">
        <f>IFERROR(VLOOKUP(N512,TD!$B$50:$F$54,4,0)," ")</f>
        <v>20240207</v>
      </c>
      <c r="X512" s="158" t="s">
        <v>174</v>
      </c>
      <c r="Y512" s="159" t="str">
        <f>IFERROR(VLOOKUP(X512,TD!$J$51:$K$64,2,0)," ")</f>
        <v>Infraestructura física, mantenimiento y dotación (Sedes construidas, mantenidas reforzadas)</v>
      </c>
      <c r="Z512" s="160" t="str">
        <f>CONCATENATE(X512,"-",Y512)</f>
        <v>08-Infraestructura física, mantenimiento y dotación (Sedes construidas, mantenidas reforzadas)</v>
      </c>
      <c r="AA512" s="158" t="s">
        <v>227</v>
      </c>
      <c r="AB512" s="159" t="str">
        <f>IFERROR(VLOOKUP(AA512,TD!$N$51:$O$66,2,0)," ")</f>
        <v>Sedes mantenidas</v>
      </c>
      <c r="AC512" s="160" t="str">
        <f>CONCATENATE(AA512,"_",AB512)</f>
        <v>016_Sedes mantenidas</v>
      </c>
      <c r="AD512" s="160" t="str">
        <f>CONCATENATE(Z512," ",AC512)</f>
        <v>08-Infraestructura física, mantenimiento y dotación (Sedes construidas, mantenidas reforzadas) 016_Sedes mantenidas</v>
      </c>
      <c r="AE512" s="159" t="str">
        <f>CONCATENATE(U512,V512,W512,X512,AA512)</f>
        <v>O23011745992024020708016</v>
      </c>
      <c r="AF512" s="159" t="str">
        <f>IFERROR(VLOOKUP(AD512,TD!$J$66:$K$89,2,0)," ")</f>
        <v>PM/0131/0108/45990160207</v>
      </c>
      <c r="AG512" s="118" t="s">
        <v>385</v>
      </c>
      <c r="AH512" s="158" t="s">
        <v>193</v>
      </c>
      <c r="AI512" s="161" t="str">
        <f>CONCATENATE(PAA[[#This Row],[Id Interno]],"-",PAA[[#This Row],[tipo de Contrato (TH talento humano - B/S bienes y/o servicios)]],"-",S512,"-",T512,"-",PAA[[#This Row],[Objeto de la contratación]])</f>
        <v>20260480-TH-8126-9-Prestación de servicios de apoyo a la gestión en la ejecución de los planes y programas de servicio al ciudadano a cargo de la Subdirección de Gestión Corporativa.-SGC</v>
      </c>
    </row>
    <row r="513" spans="2:35" ht="83.5" customHeight="1" x14ac:dyDescent="0.35">
      <c r="B513" s="23">
        <v>20260481</v>
      </c>
      <c r="C513" s="99" t="s">
        <v>685</v>
      </c>
      <c r="D513" s="23" t="s">
        <v>105</v>
      </c>
      <c r="E513" s="23" t="s">
        <v>363</v>
      </c>
      <c r="F513" s="155" t="s">
        <v>145</v>
      </c>
      <c r="G513" s="156" t="s">
        <v>373</v>
      </c>
      <c r="H513" s="157">
        <v>11</v>
      </c>
      <c r="I513" s="157">
        <v>0</v>
      </c>
      <c r="J513" s="127">
        <v>36128000</v>
      </c>
      <c r="K513" s="88" t="s">
        <v>398</v>
      </c>
      <c r="L513" s="155" t="s">
        <v>155</v>
      </c>
      <c r="M513" s="158" t="s">
        <v>422</v>
      </c>
      <c r="N513" s="23" t="s">
        <v>197</v>
      </c>
      <c r="O513" s="151" t="s">
        <v>957</v>
      </c>
      <c r="P513" s="156" t="s">
        <v>348</v>
      </c>
      <c r="Q513" s="53" t="s">
        <v>778</v>
      </c>
      <c r="R513" s="158" t="s">
        <v>208</v>
      </c>
      <c r="S513" s="158" t="str">
        <f>MID(PAA[[#This Row],[Meta Proyecto de Inversión]],1,4)</f>
        <v>8126</v>
      </c>
      <c r="T513" s="158" t="str">
        <f>MID(PAA[[#This Row],[Meta Proyecto de Inversión]],6,1)</f>
        <v>9</v>
      </c>
      <c r="U513" s="159" t="str">
        <f>IFERROR(VLOOKUP(N513,TD!$B$50:$F$54,2,0)," ")</f>
        <v>O230117</v>
      </c>
      <c r="V513" s="159" t="str">
        <f>IFERROR(VLOOKUP(N513,TD!$B$50:$F$54,3,0)," ")</f>
        <v>4599</v>
      </c>
      <c r="W513" s="159">
        <f>IFERROR(VLOOKUP(N513,TD!$B$50:$F$54,4,0)," ")</f>
        <v>20240207</v>
      </c>
      <c r="X513" s="158" t="s">
        <v>174</v>
      </c>
      <c r="Y513" s="159" t="str">
        <f>IFERROR(VLOOKUP(X513,TD!$J$51:$K$64,2,0)," ")</f>
        <v>Infraestructura física, mantenimiento y dotación (Sedes construidas, mantenidas reforzadas)</v>
      </c>
      <c r="Z513" s="160" t="str">
        <f>CONCATENATE(X513,"-",Y513)</f>
        <v>08-Infraestructura física, mantenimiento y dotación (Sedes construidas, mantenidas reforzadas)</v>
      </c>
      <c r="AA513" s="158" t="s">
        <v>227</v>
      </c>
      <c r="AB513" s="159" t="str">
        <f>IFERROR(VLOOKUP(AA513,TD!$N$51:$O$66,2,0)," ")</f>
        <v>Sedes mantenidas</v>
      </c>
      <c r="AC513" s="160" t="str">
        <f>CONCATENATE(AA513,"_",AB513)</f>
        <v>016_Sedes mantenidas</v>
      </c>
      <c r="AD513" s="160" t="str">
        <f>CONCATENATE(Z513," ",AC513)</f>
        <v>08-Infraestructura física, mantenimiento y dotación (Sedes construidas, mantenidas reforzadas) 016_Sedes mantenidas</v>
      </c>
      <c r="AE513" s="159" t="str">
        <f>CONCATENATE(U513,V513,W513,X513,AA513)</f>
        <v>O23011745992024020708016</v>
      </c>
      <c r="AF513" s="159" t="str">
        <f>IFERROR(VLOOKUP(AD513,TD!$J$66:$K$89,2,0)," ")</f>
        <v>PM/0131/0108/45990160207</v>
      </c>
      <c r="AG513" s="118" t="s">
        <v>385</v>
      </c>
      <c r="AH513" s="167" t="s">
        <v>193</v>
      </c>
      <c r="AI513" s="161" t="str">
        <f>CONCATENATE(PAA[[#This Row],[Id Interno]],"-",PAA[[#This Row],[tipo de Contrato (TH talento humano - B/S bienes y/o servicios)]],"-",S513,"-",T513,"-",PAA[[#This Row],[Objeto de la contratación]])</f>
        <v>20260481-TH-8126-9-Prestación de servicios de apoyo a la gestión en la ejecución de los planes y programas de servicio al ciudadano a cargo de la Subdirección de Gestión Corporativa.-SGC</v>
      </c>
    </row>
    <row r="514" spans="2:35" ht="56" x14ac:dyDescent="0.35">
      <c r="B514" s="23">
        <v>20260482</v>
      </c>
      <c r="C514" s="121" t="s">
        <v>685</v>
      </c>
      <c r="D514" s="130" t="s">
        <v>105</v>
      </c>
      <c r="E514" s="130" t="s">
        <v>363</v>
      </c>
      <c r="F514" s="172" t="s">
        <v>145</v>
      </c>
      <c r="G514" s="168" t="s">
        <v>373</v>
      </c>
      <c r="H514" s="230">
        <v>11</v>
      </c>
      <c r="I514" s="157">
        <v>0</v>
      </c>
      <c r="J514" s="132">
        <v>36128000</v>
      </c>
      <c r="K514" s="133" t="s">
        <v>398</v>
      </c>
      <c r="L514" s="172" t="s">
        <v>155</v>
      </c>
      <c r="M514" s="170" t="s">
        <v>422</v>
      </c>
      <c r="N514" s="130" t="s">
        <v>197</v>
      </c>
      <c r="O514" s="151" t="s">
        <v>957</v>
      </c>
      <c r="P514" s="172" t="s">
        <v>348</v>
      </c>
      <c r="Q514" s="134" t="s">
        <v>778</v>
      </c>
      <c r="R514" s="170" t="s">
        <v>208</v>
      </c>
      <c r="S514" s="170" t="str">
        <f>MID(PAA[[#This Row],[Meta Proyecto de Inversión]],1,4)</f>
        <v>8126</v>
      </c>
      <c r="T514" s="170" t="str">
        <f>MID(PAA[[#This Row],[Meta Proyecto de Inversión]],6,1)</f>
        <v>9</v>
      </c>
      <c r="U514" s="173" t="str">
        <f>IFERROR(VLOOKUP(N514,TD!$B$50:$F$54,2,0)," ")</f>
        <v>O230117</v>
      </c>
      <c r="V514" s="173" t="str">
        <f>IFERROR(VLOOKUP(N514,TD!$B$50:$F$54,3,0)," ")</f>
        <v>4599</v>
      </c>
      <c r="W514" s="173">
        <f>IFERROR(VLOOKUP(N514,TD!$B$50:$F$54,4,0)," ")</f>
        <v>20240207</v>
      </c>
      <c r="X514" s="170" t="s">
        <v>174</v>
      </c>
      <c r="Y514" s="159" t="str">
        <f>IFERROR(VLOOKUP(X514,TD!$J$51:$K$64,2,0)," ")</f>
        <v>Infraestructura física, mantenimiento y dotación (Sedes construidas, mantenidas reforzadas)</v>
      </c>
      <c r="Z514" s="171" t="str">
        <f>CONCATENATE(X514,"-",Y514)</f>
        <v>08-Infraestructura física, mantenimiento y dotación (Sedes construidas, mantenidas reforzadas)</v>
      </c>
      <c r="AA514" s="170" t="s">
        <v>227</v>
      </c>
      <c r="AB514" s="159" t="str">
        <f>IFERROR(VLOOKUP(AA514,TD!$N$51:$O$66,2,0)," ")</f>
        <v>Sedes mantenidas</v>
      </c>
      <c r="AC514" s="171" t="str">
        <f>CONCATENATE(AA514,"_",AB514)</f>
        <v>016_Sedes mantenidas</v>
      </c>
      <c r="AD514" s="171" t="str">
        <f>CONCATENATE(Z514," ",AC514)</f>
        <v>08-Infraestructura física, mantenimiento y dotación (Sedes construidas, mantenidas reforzadas) 016_Sedes mantenidas</v>
      </c>
      <c r="AE514" s="173" t="str">
        <f>CONCATENATE(U514,V514,W514,X514,AA514)</f>
        <v>O23011745992024020708016</v>
      </c>
      <c r="AF514" s="159" t="str">
        <f>IFERROR(VLOOKUP(AD514,TD!$J$66:$K$89,2,0)," ")</f>
        <v>PM/0131/0108/45990160207</v>
      </c>
      <c r="AG514" s="135" t="s">
        <v>385</v>
      </c>
      <c r="AH514" s="175" t="s">
        <v>193</v>
      </c>
      <c r="AI514" s="161" t="str">
        <f>CONCATENATE(PAA[[#This Row],[Id Interno]],"-",PAA[[#This Row],[tipo de Contrato (TH talento humano - B/S bienes y/o servicios)]],"-",S514,"-",T514,"-",PAA[[#This Row],[Objeto de la contratación]])</f>
        <v>20260482-TH-8126-9-Prestación de servicios de apoyo a la gestión en la ejecución de los planes y programas de servicio al ciudadano a cargo de la Subdirección de Gestión Corporativa.-SGC</v>
      </c>
    </row>
    <row r="515" spans="2:35" ht="56" x14ac:dyDescent="0.35">
      <c r="B515" s="23">
        <v>20260483</v>
      </c>
      <c r="C515" s="121" t="s">
        <v>712</v>
      </c>
      <c r="D515" s="130" t="s">
        <v>105</v>
      </c>
      <c r="E515" s="130" t="s">
        <v>363</v>
      </c>
      <c r="F515" s="172" t="s">
        <v>145</v>
      </c>
      <c r="G515" s="168" t="s">
        <v>373</v>
      </c>
      <c r="H515" s="230">
        <v>11</v>
      </c>
      <c r="I515" s="157">
        <v>0</v>
      </c>
      <c r="J515" s="132">
        <v>36128000</v>
      </c>
      <c r="K515" s="133" t="s">
        <v>398</v>
      </c>
      <c r="L515" s="172" t="s">
        <v>155</v>
      </c>
      <c r="M515" s="170" t="s">
        <v>422</v>
      </c>
      <c r="N515" s="130" t="s">
        <v>197</v>
      </c>
      <c r="O515" s="151" t="s">
        <v>957</v>
      </c>
      <c r="P515" s="172" t="s">
        <v>348</v>
      </c>
      <c r="Q515" s="231" t="s">
        <v>778</v>
      </c>
      <c r="R515" s="170" t="s">
        <v>207</v>
      </c>
      <c r="S515" s="170" t="str">
        <f>MID(PAA[[#This Row],[Meta Proyecto de Inversión]],1,4)</f>
        <v>8126</v>
      </c>
      <c r="T515" s="170" t="str">
        <f>MID(PAA[[#This Row],[Meta Proyecto de Inversión]],6,1)</f>
        <v>8</v>
      </c>
      <c r="U515" s="173" t="str">
        <f>IFERROR(VLOOKUP(N515,TD!$B$50:$F$54,2,0)," ")</f>
        <v>O230117</v>
      </c>
      <c r="V515" s="173" t="str">
        <f>IFERROR(VLOOKUP(N515,TD!$B$50:$F$54,3,0)," ")</f>
        <v>4599</v>
      </c>
      <c r="W515" s="173">
        <f>IFERROR(VLOOKUP(N515,TD!$B$50:$F$54,4,0)," ")</f>
        <v>20240207</v>
      </c>
      <c r="X515" s="170" t="s">
        <v>174</v>
      </c>
      <c r="Y515" s="159" t="str">
        <f>IFERROR(VLOOKUP(X515,TD!$J$51:$K$64,2,0)," ")</f>
        <v>Infraestructura física, mantenimiento y dotación (Sedes construidas, mantenidas reforzadas)</v>
      </c>
      <c r="Z515" s="171" t="str">
        <f>CONCATENATE(X515,"-",Y515)</f>
        <v>08-Infraestructura física, mantenimiento y dotación (Sedes construidas, mantenidas reforzadas)</v>
      </c>
      <c r="AA515" s="170" t="s">
        <v>227</v>
      </c>
      <c r="AB515" s="159" t="str">
        <f>IFERROR(VLOOKUP(AA515,TD!$N$51:$O$66,2,0)," ")</f>
        <v>Sedes mantenidas</v>
      </c>
      <c r="AC515" s="171" t="str">
        <f>CONCATENATE(AA515,"_",AB515)</f>
        <v>016_Sedes mantenidas</v>
      </c>
      <c r="AD515" s="171" t="str">
        <f>CONCATENATE(Z515," ",AC515)</f>
        <v>08-Infraestructura física, mantenimiento y dotación (Sedes construidas, mantenidas reforzadas) 016_Sedes mantenidas</v>
      </c>
      <c r="AE515" s="173" t="str">
        <f>CONCATENATE(U515,V515,W515,X515,AA515)</f>
        <v>O23011745992024020708016</v>
      </c>
      <c r="AF515" s="159" t="str">
        <f>IFERROR(VLOOKUP(AD515,TD!$J$66:$K$89,2,0)," ")</f>
        <v>PM/0131/0108/45990160207</v>
      </c>
      <c r="AG515" s="135" t="s">
        <v>385</v>
      </c>
      <c r="AH515" s="158" t="s">
        <v>193</v>
      </c>
      <c r="AI515" s="161" t="str">
        <f>CONCATENATE(PAA[[#This Row],[Id Interno]],"-",PAA[[#This Row],[tipo de Contrato (TH talento humano - B/S bienes y/o servicios)]],"-",S515,"-",T515,"-",PAA[[#This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516" spans="2:35" ht="70" x14ac:dyDescent="0.35">
      <c r="B516" s="23">
        <v>20260484</v>
      </c>
      <c r="C516" s="99" t="s">
        <v>712</v>
      </c>
      <c r="D516" s="23" t="s">
        <v>105</v>
      </c>
      <c r="E516" s="23" t="s">
        <v>363</v>
      </c>
      <c r="F516" s="155" t="s">
        <v>145</v>
      </c>
      <c r="G516" s="156" t="s">
        <v>373</v>
      </c>
      <c r="H516" s="157">
        <v>11</v>
      </c>
      <c r="I516" s="157">
        <v>0</v>
      </c>
      <c r="J516" s="127">
        <v>36128000</v>
      </c>
      <c r="K516" s="88" t="s">
        <v>398</v>
      </c>
      <c r="L516" s="155" t="s">
        <v>155</v>
      </c>
      <c r="M516" s="158" t="s">
        <v>422</v>
      </c>
      <c r="N516" s="23" t="s">
        <v>197</v>
      </c>
      <c r="O516" s="151" t="s">
        <v>957</v>
      </c>
      <c r="P516" s="155" t="s">
        <v>348</v>
      </c>
      <c r="Q516" s="53" t="s">
        <v>778</v>
      </c>
      <c r="R516" s="158" t="s">
        <v>207</v>
      </c>
      <c r="S516" s="158" t="str">
        <f>MID(PAA[[#This Row],[Meta Proyecto de Inversión]],1,4)</f>
        <v>8126</v>
      </c>
      <c r="T516" s="158" t="str">
        <f>MID(PAA[[#This Row],[Meta Proyecto de Inversión]],6,1)</f>
        <v>8</v>
      </c>
      <c r="U516" s="159" t="str">
        <f>IFERROR(VLOOKUP(N516,TD!$B$50:$F$54,2,0)," ")</f>
        <v>O230117</v>
      </c>
      <c r="V516" s="159" t="str">
        <f>IFERROR(VLOOKUP(N516,TD!$B$50:$F$54,3,0)," ")</f>
        <v>4599</v>
      </c>
      <c r="W516" s="159">
        <f>IFERROR(VLOOKUP(N516,TD!$B$50:$F$54,4,0)," ")</f>
        <v>20240207</v>
      </c>
      <c r="X516" s="158" t="s">
        <v>174</v>
      </c>
      <c r="Y516" s="159" t="str">
        <f>IFERROR(VLOOKUP(X516,TD!$J$51:$K$64,2,0)," ")</f>
        <v>Infraestructura física, mantenimiento y dotación (Sedes construidas, mantenidas reforzadas)</v>
      </c>
      <c r="Z516" s="160" t="str">
        <f>CONCATENATE(X516,"-",Y516)</f>
        <v>08-Infraestructura física, mantenimiento y dotación (Sedes construidas, mantenidas reforzadas)</v>
      </c>
      <c r="AA516" s="158" t="s">
        <v>227</v>
      </c>
      <c r="AB516" s="159" t="str">
        <f>IFERROR(VLOOKUP(AA516,TD!$N$51:$O$66,2,0)," ")</f>
        <v>Sedes mantenidas</v>
      </c>
      <c r="AC516" s="160" t="str">
        <f>CONCATENATE(AA516,"_",AB516)</f>
        <v>016_Sedes mantenidas</v>
      </c>
      <c r="AD516" s="160" t="str">
        <f>CONCATENATE(Z516," ",AC516)</f>
        <v>08-Infraestructura física, mantenimiento y dotación (Sedes construidas, mantenidas reforzadas) 016_Sedes mantenidas</v>
      </c>
      <c r="AE516" s="159" t="str">
        <f>CONCATENATE(U516,V516,W516,X516,AA516)</f>
        <v>O23011745992024020708016</v>
      </c>
      <c r="AF516" s="159" t="str">
        <f>IFERROR(VLOOKUP(AD516,TD!$J$66:$K$89,2,0)," ")</f>
        <v>PM/0131/0108/45990160207</v>
      </c>
      <c r="AG516" s="118" t="s">
        <v>385</v>
      </c>
      <c r="AH516" s="167" t="s">
        <v>193</v>
      </c>
      <c r="AI516" s="161" t="str">
        <f>CONCATENATE(PAA[[#This Row],[Id Interno]],"-",PAA[[#This Row],[tipo de Contrato (TH talento humano - B/S bienes y/o servicios)]],"-",S516,"-",T516,"-",PAA[[#This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517" spans="2:35" ht="56" x14ac:dyDescent="0.35">
      <c r="B517" s="23">
        <v>20260485</v>
      </c>
      <c r="C517" s="99" t="s">
        <v>712</v>
      </c>
      <c r="D517" s="23" t="s">
        <v>105</v>
      </c>
      <c r="E517" s="23" t="s">
        <v>363</v>
      </c>
      <c r="F517" s="155" t="s">
        <v>145</v>
      </c>
      <c r="G517" s="156" t="s">
        <v>373</v>
      </c>
      <c r="H517" s="157">
        <v>11</v>
      </c>
      <c r="I517" s="157">
        <v>0</v>
      </c>
      <c r="J517" s="127">
        <v>36128000</v>
      </c>
      <c r="K517" s="88" t="s">
        <v>398</v>
      </c>
      <c r="L517" s="155" t="s">
        <v>155</v>
      </c>
      <c r="M517" s="158" t="s">
        <v>422</v>
      </c>
      <c r="N517" s="23" t="s">
        <v>197</v>
      </c>
      <c r="O517" s="151" t="s">
        <v>957</v>
      </c>
      <c r="P517" s="155" t="s">
        <v>348</v>
      </c>
      <c r="Q517" s="53" t="s">
        <v>778</v>
      </c>
      <c r="R517" s="158" t="s">
        <v>207</v>
      </c>
      <c r="S517" s="158" t="str">
        <f>MID(PAA[[#This Row],[Meta Proyecto de Inversión]],1,4)</f>
        <v>8126</v>
      </c>
      <c r="T517" s="158" t="str">
        <f>MID(PAA[[#This Row],[Meta Proyecto de Inversión]],6,1)</f>
        <v>8</v>
      </c>
      <c r="U517" s="159" t="str">
        <f>IFERROR(VLOOKUP(N517,TD!$B$50:$F$54,2,0)," ")</f>
        <v>O230117</v>
      </c>
      <c r="V517" s="159" t="str">
        <f>IFERROR(VLOOKUP(N517,TD!$B$50:$F$54,3,0)," ")</f>
        <v>4599</v>
      </c>
      <c r="W517" s="159">
        <f>IFERROR(VLOOKUP(N517,TD!$B$50:$F$54,4,0)," ")</f>
        <v>20240207</v>
      </c>
      <c r="X517" s="158" t="s">
        <v>174</v>
      </c>
      <c r="Y517" s="159" t="str">
        <f>IFERROR(VLOOKUP(X517,TD!$J$51:$K$64,2,0)," ")</f>
        <v>Infraestructura física, mantenimiento y dotación (Sedes construidas, mantenidas reforzadas)</v>
      </c>
      <c r="Z517" s="160" t="str">
        <f>CONCATENATE(X517,"-",Y517)</f>
        <v>08-Infraestructura física, mantenimiento y dotación (Sedes construidas, mantenidas reforzadas)</v>
      </c>
      <c r="AA517" s="158" t="s">
        <v>227</v>
      </c>
      <c r="AB517" s="159" t="str">
        <f>IFERROR(VLOOKUP(AA517,TD!$N$51:$O$66,2,0)," ")</f>
        <v>Sedes mantenidas</v>
      </c>
      <c r="AC517" s="160" t="str">
        <f>CONCATENATE(AA517,"_",AB517)</f>
        <v>016_Sedes mantenidas</v>
      </c>
      <c r="AD517" s="160" t="str">
        <f>CONCATENATE(Z517," ",AC517)</f>
        <v>08-Infraestructura física, mantenimiento y dotación (Sedes construidas, mantenidas reforzadas) 016_Sedes mantenidas</v>
      </c>
      <c r="AE517" s="159" t="str">
        <f>CONCATENATE(U517,V517,W517,X517,AA517)</f>
        <v>O23011745992024020708016</v>
      </c>
      <c r="AF517" s="159" t="str">
        <f>IFERROR(VLOOKUP(AD517,TD!$J$66:$K$89,2,0)," ")</f>
        <v>PM/0131/0108/45990160207</v>
      </c>
      <c r="AG517" s="118" t="s">
        <v>385</v>
      </c>
      <c r="AH517" s="167" t="s">
        <v>193</v>
      </c>
      <c r="AI517" s="161" t="str">
        <f>CONCATENATE(PAA[[#This Row],[Id Interno]],"-",PAA[[#This Row],[tipo de Contrato (TH talento humano - B/S bienes y/o servicios)]],"-",S517,"-",T517,"-",PAA[[#This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518" spans="2:35" ht="42" x14ac:dyDescent="0.35">
      <c r="B518" s="23">
        <v>20260486</v>
      </c>
      <c r="C518" s="99" t="s">
        <v>736</v>
      </c>
      <c r="D518" s="23" t="s">
        <v>105</v>
      </c>
      <c r="E518" s="23" t="s">
        <v>363</v>
      </c>
      <c r="F518" s="155" t="s">
        <v>144</v>
      </c>
      <c r="G518" s="156" t="s">
        <v>373</v>
      </c>
      <c r="H518" s="157">
        <v>11</v>
      </c>
      <c r="I518" s="157">
        <v>0</v>
      </c>
      <c r="J518" s="127">
        <v>100273000</v>
      </c>
      <c r="K518" s="88" t="s">
        <v>398</v>
      </c>
      <c r="L518" s="155" t="s">
        <v>155</v>
      </c>
      <c r="M518" s="158" t="s">
        <v>422</v>
      </c>
      <c r="N518" s="23" t="s">
        <v>197</v>
      </c>
      <c r="O518" s="151" t="s">
        <v>957</v>
      </c>
      <c r="P518" s="155" t="s">
        <v>348</v>
      </c>
      <c r="Q518" s="53" t="s">
        <v>778</v>
      </c>
      <c r="R518" s="158" t="s">
        <v>208</v>
      </c>
      <c r="S518" s="158" t="str">
        <f>MID(PAA[[#This Row],[Meta Proyecto de Inversión]],1,4)</f>
        <v>8126</v>
      </c>
      <c r="T518" s="158" t="str">
        <f>MID(PAA[[#This Row],[Meta Proyecto de Inversión]],6,1)</f>
        <v>9</v>
      </c>
      <c r="U518" s="159" t="str">
        <f>IFERROR(VLOOKUP(N518,TD!$B$50:$F$54,2,0)," ")</f>
        <v>O230117</v>
      </c>
      <c r="V518" s="159" t="str">
        <f>IFERROR(VLOOKUP(N518,TD!$B$50:$F$54,3,0)," ")</f>
        <v>4599</v>
      </c>
      <c r="W518" s="159">
        <f>IFERROR(VLOOKUP(N518,TD!$B$50:$F$54,4,0)," ")</f>
        <v>20240207</v>
      </c>
      <c r="X518" s="158" t="s">
        <v>174</v>
      </c>
      <c r="Y518" s="159" t="str">
        <f>IFERROR(VLOOKUP(X518,TD!$J$51:$K$64,2,0)," ")</f>
        <v>Infraestructura física, mantenimiento y dotación (Sedes construidas, mantenidas reforzadas)</v>
      </c>
      <c r="Z518" s="160" t="str">
        <f>CONCATENATE(X518,"-",Y518)</f>
        <v>08-Infraestructura física, mantenimiento y dotación (Sedes construidas, mantenidas reforzadas)</v>
      </c>
      <c r="AA518" s="158" t="s">
        <v>227</v>
      </c>
      <c r="AB518" s="159" t="str">
        <f>IFERROR(VLOOKUP(AA518,TD!$N$51:$O$66,2,0)," ")</f>
        <v>Sedes mantenidas</v>
      </c>
      <c r="AC518" s="160" t="str">
        <f>CONCATENATE(AA518,"_",AB518)</f>
        <v>016_Sedes mantenidas</v>
      </c>
      <c r="AD518" s="160" t="str">
        <f>CONCATENATE(Z518," ",AC518)</f>
        <v>08-Infraestructura física, mantenimiento y dotación (Sedes construidas, mantenidas reforzadas) 016_Sedes mantenidas</v>
      </c>
      <c r="AE518" s="159" t="str">
        <f>CONCATENATE(U518,V518,W518,X518,AA518)</f>
        <v>O23011745992024020708016</v>
      </c>
      <c r="AF518" s="159" t="str">
        <f>IFERROR(VLOOKUP(AD518,TD!$J$66:$K$89,2,0)," ")</f>
        <v>PM/0131/0108/45990160207</v>
      </c>
      <c r="AG518" s="118" t="s">
        <v>385</v>
      </c>
      <c r="AH518" s="167" t="s">
        <v>193</v>
      </c>
      <c r="AI518" s="161" t="str">
        <f>CONCATENATE(PAA[[#This Row],[Id Interno]],"-",PAA[[#This Row],[tipo de Contrato (TH talento humano - B/S bienes y/o servicios)]],"-",S518,"-",T518,"-",PAA[[#This Row],[Objeto de la contratación]])</f>
        <v>20260486-TH-8126-9-Prestar los servicios profesionales para el acompañamiento y seguimiento de los planes y proyectos del area de inventarios de la Subdireccion de Gestión Corporativa-SGC</v>
      </c>
    </row>
    <row r="519" spans="2:35" ht="42" x14ac:dyDescent="0.35">
      <c r="B519" s="23">
        <v>20260487</v>
      </c>
      <c r="C519" s="99" t="s">
        <v>737</v>
      </c>
      <c r="D519" s="23" t="s">
        <v>105</v>
      </c>
      <c r="E519" s="23" t="s">
        <v>363</v>
      </c>
      <c r="F519" s="155" t="s">
        <v>144</v>
      </c>
      <c r="G519" s="156" t="s">
        <v>373</v>
      </c>
      <c r="H519" s="157">
        <v>11</v>
      </c>
      <c r="I519" s="157">
        <v>0</v>
      </c>
      <c r="J519" s="127">
        <v>56772000</v>
      </c>
      <c r="K519" s="88" t="s">
        <v>398</v>
      </c>
      <c r="L519" s="155" t="s">
        <v>155</v>
      </c>
      <c r="M519" s="158" t="s">
        <v>422</v>
      </c>
      <c r="N519" s="23" t="s">
        <v>197</v>
      </c>
      <c r="O519" s="151" t="s">
        <v>957</v>
      </c>
      <c r="P519" s="155" t="s">
        <v>348</v>
      </c>
      <c r="Q519" s="53" t="s">
        <v>778</v>
      </c>
      <c r="R519" s="158" t="s">
        <v>208</v>
      </c>
      <c r="S519" s="158" t="str">
        <f>MID(PAA[[#This Row],[Meta Proyecto de Inversión]],1,4)</f>
        <v>8126</v>
      </c>
      <c r="T519" s="158" t="str">
        <f>MID(PAA[[#This Row],[Meta Proyecto de Inversión]],6,1)</f>
        <v>9</v>
      </c>
      <c r="U519" s="159" t="str">
        <f>IFERROR(VLOOKUP(N519,TD!$B$50:$F$54,2,0)," ")</f>
        <v>O230117</v>
      </c>
      <c r="V519" s="159" t="str">
        <f>IFERROR(VLOOKUP(N519,TD!$B$50:$F$54,3,0)," ")</f>
        <v>4599</v>
      </c>
      <c r="W519" s="159">
        <f>IFERROR(VLOOKUP(N519,TD!$B$50:$F$54,4,0)," ")</f>
        <v>20240207</v>
      </c>
      <c r="X519" s="158" t="s">
        <v>174</v>
      </c>
      <c r="Y519" s="159" t="str">
        <f>IFERROR(VLOOKUP(X519,TD!$J$51:$K$64,2,0)," ")</f>
        <v>Infraestructura física, mantenimiento y dotación (Sedes construidas, mantenidas reforzadas)</v>
      </c>
      <c r="Z519" s="160" t="str">
        <f>CONCATENATE(X519,"-",Y519)</f>
        <v>08-Infraestructura física, mantenimiento y dotación (Sedes construidas, mantenidas reforzadas)</v>
      </c>
      <c r="AA519" s="158" t="s">
        <v>227</v>
      </c>
      <c r="AB519" s="159" t="str">
        <f>IFERROR(VLOOKUP(AA519,TD!$N$51:$O$66,2,0)," ")</f>
        <v>Sedes mantenidas</v>
      </c>
      <c r="AC519" s="160" t="str">
        <f>CONCATENATE(AA519,"_",AB519)</f>
        <v>016_Sedes mantenidas</v>
      </c>
      <c r="AD519" s="160" t="str">
        <f>CONCATENATE(Z519," ",AC519)</f>
        <v>08-Infraestructura física, mantenimiento y dotación (Sedes construidas, mantenidas reforzadas) 016_Sedes mantenidas</v>
      </c>
      <c r="AE519" s="159" t="str">
        <f>CONCATENATE(U519,V519,W519,X519,AA519)</f>
        <v>O23011745992024020708016</v>
      </c>
      <c r="AF519" s="159" t="str">
        <f>IFERROR(VLOOKUP(AD519,TD!$J$66:$K$89,2,0)," ")</f>
        <v>PM/0131/0108/45990160207</v>
      </c>
      <c r="AG519" s="118" t="s">
        <v>385</v>
      </c>
      <c r="AH519" s="167" t="s">
        <v>193</v>
      </c>
      <c r="AI519" s="161" t="str">
        <f>CONCATENATE(PAA[[#This Row],[Id Interno]],"-",PAA[[#This Row],[tipo de Contrato (TH talento humano - B/S bienes y/o servicios)]],"-",S519,"-",T519,"-",PAA[[#This Row],[Objeto de la contratación]])</f>
        <v>20260487-TH-8126-9-Prestar los servicios profesionales en el area de inventarios de la Subdireccion de Gestión Corporativa-SGC</v>
      </c>
    </row>
    <row r="520" spans="2:35" ht="56" x14ac:dyDescent="0.35">
      <c r="B520" s="23">
        <v>20260488</v>
      </c>
      <c r="C520" s="99" t="s">
        <v>738</v>
      </c>
      <c r="D520" s="23" t="s">
        <v>105</v>
      </c>
      <c r="E520" s="23" t="s">
        <v>363</v>
      </c>
      <c r="F520" s="155" t="s">
        <v>145</v>
      </c>
      <c r="G520" s="156" t="s">
        <v>373</v>
      </c>
      <c r="H520" s="157">
        <v>10</v>
      </c>
      <c r="I520" s="157">
        <v>0</v>
      </c>
      <c r="J520" s="127">
        <v>38205000</v>
      </c>
      <c r="K520" s="88" t="s">
        <v>398</v>
      </c>
      <c r="L520" s="155" t="s">
        <v>155</v>
      </c>
      <c r="M520" s="158" t="s">
        <v>422</v>
      </c>
      <c r="N520" s="23" t="s">
        <v>197</v>
      </c>
      <c r="O520" s="151" t="s">
        <v>957</v>
      </c>
      <c r="P520" s="155" t="s">
        <v>348</v>
      </c>
      <c r="Q520" s="53" t="s">
        <v>778</v>
      </c>
      <c r="R520" s="158" t="s">
        <v>208</v>
      </c>
      <c r="S520" s="158" t="str">
        <f>MID(PAA[[#This Row],[Meta Proyecto de Inversión]],1,4)</f>
        <v>8126</v>
      </c>
      <c r="T520" s="158" t="str">
        <f>MID(PAA[[#This Row],[Meta Proyecto de Inversión]],6,1)</f>
        <v>9</v>
      </c>
      <c r="U520" s="159" t="str">
        <f>IFERROR(VLOOKUP(N520,TD!$B$50:$F$54,2,0)," ")</f>
        <v>O230117</v>
      </c>
      <c r="V520" s="159" t="str">
        <f>IFERROR(VLOOKUP(N520,TD!$B$50:$F$54,3,0)," ")</f>
        <v>4599</v>
      </c>
      <c r="W520" s="159">
        <f>IFERROR(VLOOKUP(N520,TD!$B$50:$F$54,4,0)," ")</f>
        <v>20240207</v>
      </c>
      <c r="X520" s="158" t="s">
        <v>174</v>
      </c>
      <c r="Y520" s="159" t="str">
        <f>IFERROR(VLOOKUP(X520,TD!$J$51:$K$64,2,0)," ")</f>
        <v>Infraestructura física, mantenimiento y dotación (Sedes construidas, mantenidas reforzadas)</v>
      </c>
      <c r="Z520" s="160" t="str">
        <f>CONCATENATE(X520,"-",Y520)</f>
        <v>08-Infraestructura física, mantenimiento y dotación (Sedes construidas, mantenidas reforzadas)</v>
      </c>
      <c r="AA520" s="158" t="s">
        <v>227</v>
      </c>
      <c r="AB520" s="159" t="str">
        <f>IFERROR(VLOOKUP(AA520,TD!$N$51:$O$66,2,0)," ")</f>
        <v>Sedes mantenidas</v>
      </c>
      <c r="AC520" s="160" t="str">
        <f>CONCATENATE(AA520,"_",AB520)</f>
        <v>016_Sedes mantenidas</v>
      </c>
      <c r="AD520" s="160" t="str">
        <f>CONCATENATE(Z520," ",AC520)</f>
        <v>08-Infraestructura física, mantenimiento y dotación (Sedes construidas, mantenidas reforzadas) 016_Sedes mantenidas</v>
      </c>
      <c r="AE520" s="159" t="str">
        <f>CONCATENATE(U520,V520,W520,X520,AA520)</f>
        <v>O23011745992024020708016</v>
      </c>
      <c r="AF520" s="159" t="str">
        <f>IFERROR(VLOOKUP(AD520,TD!$J$66:$K$89,2,0)," ")</f>
        <v>PM/0131/0108/45990160207</v>
      </c>
      <c r="AG520" s="118" t="s">
        <v>385</v>
      </c>
      <c r="AH520" s="167" t="s">
        <v>193</v>
      </c>
      <c r="AI520" s="161" t="str">
        <f>CONCATENATE(PAA[[#This Row],[Id Interno]],"-",PAA[[#This Row],[tipo de Contrato (TH talento humano - B/S bienes y/o servicios)]],"-",S520,"-",T520,"-",PAA[[#This Row],[Objeto de la contratación]])</f>
        <v>20260488-TH-8126-9-Prestación de servicios de apoyo en las actividades asociadas a los procesos administrativo de la Subdirección de Gestión Corporativa- SGC</v>
      </c>
    </row>
    <row r="521" spans="2:35" ht="42" x14ac:dyDescent="0.35">
      <c r="B521" s="23">
        <v>20260489</v>
      </c>
      <c r="C521" s="99" t="s">
        <v>739</v>
      </c>
      <c r="D521" s="23" t="s">
        <v>105</v>
      </c>
      <c r="E521" s="23" t="s">
        <v>363</v>
      </c>
      <c r="F521" s="155" t="s">
        <v>144</v>
      </c>
      <c r="G521" s="156" t="s">
        <v>373</v>
      </c>
      <c r="H521" s="157">
        <v>11</v>
      </c>
      <c r="I521" s="157">
        <v>0</v>
      </c>
      <c r="J521" s="127">
        <v>77000000</v>
      </c>
      <c r="K521" s="88" t="s">
        <v>398</v>
      </c>
      <c r="L521" s="155" t="s">
        <v>155</v>
      </c>
      <c r="M521" s="158" t="s">
        <v>422</v>
      </c>
      <c r="N521" s="23" t="s">
        <v>197</v>
      </c>
      <c r="O521" s="151" t="s">
        <v>957</v>
      </c>
      <c r="P521" s="155" t="s">
        <v>348</v>
      </c>
      <c r="Q521" s="53" t="s">
        <v>778</v>
      </c>
      <c r="R521" s="158" t="s">
        <v>208</v>
      </c>
      <c r="S521" s="158" t="str">
        <f>MID(PAA[[#This Row],[Meta Proyecto de Inversión]],1,4)</f>
        <v>8126</v>
      </c>
      <c r="T521" s="158" t="str">
        <f>MID(PAA[[#This Row],[Meta Proyecto de Inversión]],6,1)</f>
        <v>9</v>
      </c>
      <c r="U521" s="159" t="str">
        <f>IFERROR(VLOOKUP(N521,TD!$B$50:$F$54,2,0)," ")</f>
        <v>O230117</v>
      </c>
      <c r="V521" s="159" t="str">
        <f>IFERROR(VLOOKUP(N521,TD!$B$50:$F$54,3,0)," ")</f>
        <v>4599</v>
      </c>
      <c r="W521" s="159">
        <f>IFERROR(VLOOKUP(N521,TD!$B$50:$F$54,4,0)," ")</f>
        <v>20240207</v>
      </c>
      <c r="X521" s="158" t="s">
        <v>174</v>
      </c>
      <c r="Y521" s="159" t="str">
        <f>IFERROR(VLOOKUP(X521,TD!$J$51:$K$64,2,0)," ")</f>
        <v>Infraestructura física, mantenimiento y dotación (Sedes construidas, mantenidas reforzadas)</v>
      </c>
      <c r="Z521" s="160" t="str">
        <f>CONCATENATE(X521,"-",Y521)</f>
        <v>08-Infraestructura física, mantenimiento y dotación (Sedes construidas, mantenidas reforzadas)</v>
      </c>
      <c r="AA521" s="158" t="s">
        <v>227</v>
      </c>
      <c r="AB521" s="159" t="str">
        <f>IFERROR(VLOOKUP(AA521,TD!$N$51:$O$66,2,0)," ")</f>
        <v>Sedes mantenidas</v>
      </c>
      <c r="AC521" s="160" t="str">
        <f>CONCATENATE(AA521,"_",AB521)</f>
        <v>016_Sedes mantenidas</v>
      </c>
      <c r="AD521" s="160" t="str">
        <f>CONCATENATE(Z521," ",AC521)</f>
        <v>08-Infraestructura física, mantenimiento y dotación (Sedes construidas, mantenidas reforzadas) 016_Sedes mantenidas</v>
      </c>
      <c r="AE521" s="159" t="str">
        <f>CONCATENATE(U521,V521,W521,X521,AA521)</f>
        <v>O23011745992024020708016</v>
      </c>
      <c r="AF521" s="159" t="str">
        <f>IFERROR(VLOOKUP(AD521,TD!$J$66:$K$89,2,0)," ")</f>
        <v>PM/0131/0108/45990160207</v>
      </c>
      <c r="AG521" s="118" t="s">
        <v>385</v>
      </c>
      <c r="AH521" s="167" t="s">
        <v>193</v>
      </c>
      <c r="AI521" s="161" t="str">
        <f>CONCATENATE(PAA[[#This Row],[Id Interno]],"-",PAA[[#This Row],[tipo de Contrato (TH talento humano - B/S bienes y/o servicios)]],"-",S521,"-",T521,"-",PAA[[#This Row],[Objeto de la contratación]])</f>
        <v>20260489-TH-8126-9-Prestar los servicios profesionales para el acompañamiento y seguimiento de los planes y proyectos del grupo del almacén de la Subdireccion de Gestión Corporativa-SGC</v>
      </c>
    </row>
    <row r="522" spans="2:35" ht="56" x14ac:dyDescent="0.35">
      <c r="B522" s="23">
        <v>20260490</v>
      </c>
      <c r="C522" s="99" t="s">
        <v>732</v>
      </c>
      <c r="D522" s="23" t="s">
        <v>105</v>
      </c>
      <c r="E522" s="23" t="s">
        <v>363</v>
      </c>
      <c r="F522" s="155" t="s">
        <v>144</v>
      </c>
      <c r="G522" s="156" t="s">
        <v>373</v>
      </c>
      <c r="H522" s="157">
        <v>11</v>
      </c>
      <c r="I522" s="157">
        <v>0</v>
      </c>
      <c r="J522" s="127">
        <v>56772000</v>
      </c>
      <c r="K522" s="88" t="s">
        <v>398</v>
      </c>
      <c r="L522" s="155" t="s">
        <v>155</v>
      </c>
      <c r="M522" s="158" t="s">
        <v>422</v>
      </c>
      <c r="N522" s="23" t="s">
        <v>197</v>
      </c>
      <c r="O522" s="151" t="s">
        <v>957</v>
      </c>
      <c r="P522" s="155" t="s">
        <v>348</v>
      </c>
      <c r="Q522" s="53" t="s">
        <v>778</v>
      </c>
      <c r="R522" s="158" t="s">
        <v>207</v>
      </c>
      <c r="S522" s="158" t="str">
        <f>MID(PAA[[#This Row],[Meta Proyecto de Inversión]],1,4)</f>
        <v>8126</v>
      </c>
      <c r="T522" s="158" t="str">
        <f>MID(PAA[[#This Row],[Meta Proyecto de Inversión]],6,1)</f>
        <v>8</v>
      </c>
      <c r="U522" s="159" t="str">
        <f>IFERROR(VLOOKUP(N522,TD!$B$50:$F$54,2,0)," ")</f>
        <v>O230117</v>
      </c>
      <c r="V522" s="159" t="str">
        <f>IFERROR(VLOOKUP(N522,TD!$B$50:$F$54,3,0)," ")</f>
        <v>4599</v>
      </c>
      <c r="W522" s="159">
        <f>IFERROR(VLOOKUP(N522,TD!$B$50:$F$54,4,0)," ")</f>
        <v>20240207</v>
      </c>
      <c r="X522" s="158" t="s">
        <v>174</v>
      </c>
      <c r="Y522" s="159" t="str">
        <f>IFERROR(VLOOKUP(X522,TD!$J$51:$K$64,2,0)," ")</f>
        <v>Infraestructura física, mantenimiento y dotación (Sedes construidas, mantenidas reforzadas)</v>
      </c>
      <c r="Z522" s="160" t="str">
        <f>CONCATENATE(X522,"-",Y522)</f>
        <v>08-Infraestructura física, mantenimiento y dotación (Sedes construidas, mantenidas reforzadas)</v>
      </c>
      <c r="AA522" s="158" t="s">
        <v>227</v>
      </c>
      <c r="AB522" s="159" t="str">
        <f>IFERROR(VLOOKUP(AA522,TD!$N$51:$O$66,2,0)," ")</f>
        <v>Sedes mantenidas</v>
      </c>
      <c r="AC522" s="160" t="str">
        <f>CONCATENATE(AA522,"_",AB522)</f>
        <v>016_Sedes mantenidas</v>
      </c>
      <c r="AD522" s="160" t="str">
        <f>CONCATENATE(Z522," ",AC522)</f>
        <v>08-Infraestructura física, mantenimiento y dotación (Sedes construidas, mantenidas reforzadas) 016_Sedes mantenidas</v>
      </c>
      <c r="AE522" s="159" t="str">
        <f>CONCATENATE(U522,V522,W522,X522,AA522)</f>
        <v>O23011745992024020708016</v>
      </c>
      <c r="AF522" s="159" t="str">
        <f>IFERROR(VLOOKUP(AD522,TD!$J$66:$K$89,2,0)," ")</f>
        <v>PM/0131/0108/45990160207</v>
      </c>
      <c r="AG522" s="118" t="s">
        <v>385</v>
      </c>
      <c r="AH522" s="167" t="s">
        <v>193</v>
      </c>
      <c r="AI522" s="161" t="str">
        <f>CONCATENATE(PAA[[#This Row],[Id Interno]],"-",PAA[[#This Row],[tipo de Contrato (TH talento humano - B/S bienes y/o servicios)]],"-",S522,"-",T522,"-",PAA[[#This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23" spans="2:35" ht="42" x14ac:dyDescent="0.35">
      <c r="B523" s="23">
        <v>20260491</v>
      </c>
      <c r="C523" s="99" t="s">
        <v>740</v>
      </c>
      <c r="D523" s="23" t="s">
        <v>105</v>
      </c>
      <c r="E523" s="23" t="s">
        <v>363</v>
      </c>
      <c r="F523" s="155" t="s">
        <v>144</v>
      </c>
      <c r="G523" s="156" t="s">
        <v>373</v>
      </c>
      <c r="H523" s="157">
        <v>6</v>
      </c>
      <c r="I523" s="157">
        <v>0</v>
      </c>
      <c r="J523" s="127">
        <v>42000000</v>
      </c>
      <c r="K523" s="88" t="s">
        <v>398</v>
      </c>
      <c r="L523" s="155" t="s">
        <v>155</v>
      </c>
      <c r="M523" s="158" t="s">
        <v>422</v>
      </c>
      <c r="N523" s="23" t="s">
        <v>197</v>
      </c>
      <c r="O523" s="151" t="s">
        <v>957</v>
      </c>
      <c r="P523" s="155" t="s">
        <v>348</v>
      </c>
      <c r="Q523" s="53" t="s">
        <v>778</v>
      </c>
      <c r="R523" s="158" t="s">
        <v>208</v>
      </c>
      <c r="S523" s="170" t="str">
        <f>MID(PAA[[#This Row],[Meta Proyecto de Inversión]],1,4)</f>
        <v>8126</v>
      </c>
      <c r="T523" s="170" t="str">
        <f>MID(PAA[[#This Row],[Meta Proyecto de Inversión]],6,1)</f>
        <v>9</v>
      </c>
      <c r="U523" s="159" t="str">
        <f>IFERROR(VLOOKUP(N523,TD!$B$50:$F$54,2,0)," ")</f>
        <v>O230117</v>
      </c>
      <c r="V523" s="159" t="str">
        <f>IFERROR(VLOOKUP(N523,TD!$B$50:$F$54,3,0)," ")</f>
        <v>4599</v>
      </c>
      <c r="W523" s="159">
        <f>IFERROR(VLOOKUP(N523,TD!$B$50:$F$54,4,0)," ")</f>
        <v>20240207</v>
      </c>
      <c r="X523" s="158" t="s">
        <v>174</v>
      </c>
      <c r="Y523" s="159" t="str">
        <f>IFERROR(VLOOKUP(X523,TD!$J$51:$K$64,2,0)," ")</f>
        <v>Infraestructura física, mantenimiento y dotación (Sedes construidas, mantenidas reforzadas)</v>
      </c>
      <c r="Z523" s="171" t="str">
        <f>CONCATENATE(X523,"-",Y523)</f>
        <v>08-Infraestructura física, mantenimiento y dotación (Sedes construidas, mantenidas reforzadas)</v>
      </c>
      <c r="AA523" s="158" t="s">
        <v>227</v>
      </c>
      <c r="AB523" s="159" t="str">
        <f>IFERROR(VLOOKUP(AA523,TD!$N$51:$O$66,2,0)," ")</f>
        <v>Sedes mantenidas</v>
      </c>
      <c r="AC523" s="171" t="str">
        <f>CONCATENATE(AA523,"_",AB523)</f>
        <v>016_Sedes mantenidas</v>
      </c>
      <c r="AD523" s="171" t="str">
        <f>CONCATENATE(Z523," ",AC523)</f>
        <v>08-Infraestructura física, mantenimiento y dotación (Sedes construidas, mantenidas reforzadas) 016_Sedes mantenidas</v>
      </c>
      <c r="AE523" s="159" t="str">
        <f>CONCATENATE(U523,V523,W523,X523,AA523)</f>
        <v>O23011745992024020708016</v>
      </c>
      <c r="AF523" s="159" t="str">
        <f>IFERROR(VLOOKUP(AD523,TD!$J$66:$K$89,2,0)," ")</f>
        <v>PM/0131/0108/45990160207</v>
      </c>
      <c r="AG523" s="118" t="s">
        <v>385</v>
      </c>
      <c r="AH523" s="158" t="s">
        <v>193</v>
      </c>
      <c r="AI523" s="161" t="str">
        <f>CONCATENATE(PAA[[#This Row],[Id Interno]],"-",PAA[[#This Row],[tipo de Contrato (TH talento humano - B/S bienes y/o servicios)]],"-",S523,"-",T523,"-",PAA[[#This Row],[Objeto de la contratación]])</f>
        <v>20260491-TH-8126-9-Prestación de servicios profesionales en el acompañamiento y asistencia al proceso de gestión documental de la UAE Cuerpo oficial de Bomberos. -SGC</v>
      </c>
    </row>
    <row r="524" spans="2:35" ht="56" x14ac:dyDescent="0.35">
      <c r="B524" s="23">
        <v>20260492</v>
      </c>
      <c r="C524" s="99" t="s">
        <v>741</v>
      </c>
      <c r="D524" s="23" t="s">
        <v>105</v>
      </c>
      <c r="E524" s="23" t="s">
        <v>363</v>
      </c>
      <c r="F524" s="155" t="s">
        <v>144</v>
      </c>
      <c r="G524" s="156" t="s">
        <v>373</v>
      </c>
      <c r="H524" s="157">
        <v>11</v>
      </c>
      <c r="I524" s="157">
        <v>0</v>
      </c>
      <c r="J524" s="127">
        <v>77000000</v>
      </c>
      <c r="K524" s="88" t="s">
        <v>398</v>
      </c>
      <c r="L524" s="155" t="s">
        <v>155</v>
      </c>
      <c r="M524" s="158" t="s">
        <v>422</v>
      </c>
      <c r="N524" s="23" t="s">
        <v>197</v>
      </c>
      <c r="O524" s="151" t="s">
        <v>957</v>
      </c>
      <c r="P524" s="155" t="s">
        <v>348</v>
      </c>
      <c r="Q524" s="53" t="s">
        <v>778</v>
      </c>
      <c r="R524" s="158" t="s">
        <v>207</v>
      </c>
      <c r="S524" s="158" t="str">
        <f>MID(PAA[[#This Row],[Meta Proyecto de Inversión]],1,4)</f>
        <v>8126</v>
      </c>
      <c r="T524" s="158" t="str">
        <f>MID(PAA[[#This Row],[Meta Proyecto de Inversión]],6,1)</f>
        <v>8</v>
      </c>
      <c r="U524" s="159" t="str">
        <f>IFERROR(VLOOKUP(N524,TD!$B$50:$F$54,2,0)," ")</f>
        <v>O230117</v>
      </c>
      <c r="V524" s="159" t="str">
        <f>IFERROR(VLOOKUP(N524,TD!$B$50:$F$54,3,0)," ")</f>
        <v>4599</v>
      </c>
      <c r="W524" s="159">
        <f>IFERROR(VLOOKUP(N524,TD!$B$50:$F$54,4,0)," ")</f>
        <v>20240207</v>
      </c>
      <c r="X524" s="158" t="s">
        <v>174</v>
      </c>
      <c r="Y524" s="159" t="str">
        <f>IFERROR(VLOOKUP(X524,TD!$J$51:$K$64,2,0)," ")</f>
        <v>Infraestructura física, mantenimiento y dotación (Sedes construidas, mantenidas reforzadas)</v>
      </c>
      <c r="Z524" s="160" t="str">
        <f>CONCATENATE(X524,"-",Y524)</f>
        <v>08-Infraestructura física, mantenimiento y dotación (Sedes construidas, mantenidas reforzadas)</v>
      </c>
      <c r="AA524" s="158" t="s">
        <v>227</v>
      </c>
      <c r="AB524" s="159" t="str">
        <f>IFERROR(VLOOKUP(AA524,TD!$N$51:$O$66,2,0)," ")</f>
        <v>Sedes mantenidas</v>
      </c>
      <c r="AC524" s="160" t="str">
        <f>CONCATENATE(AA524,"_",AB524)</f>
        <v>016_Sedes mantenidas</v>
      </c>
      <c r="AD524" s="160" t="str">
        <f>CONCATENATE(Z524," ",AC524)</f>
        <v>08-Infraestructura física, mantenimiento y dotación (Sedes construidas, mantenidas reforzadas) 016_Sedes mantenidas</v>
      </c>
      <c r="AE524" s="159" t="str">
        <f>CONCATENATE(U524,V524,W524,X524,AA524)</f>
        <v>O23011745992024020708016</v>
      </c>
      <c r="AF524" s="159" t="str">
        <f>IFERROR(VLOOKUP(AD524,TD!$J$66:$K$89,2,0)," ")</f>
        <v>PM/0131/0108/45990160207</v>
      </c>
      <c r="AG524" s="118" t="s">
        <v>385</v>
      </c>
      <c r="AH524" s="167" t="s">
        <v>193</v>
      </c>
      <c r="AI524" s="161" t="str">
        <f>CONCATENATE(PAA[[#This Row],[Id Interno]],"-",PAA[[#This Row],[tipo de Contrato (TH talento humano - B/S bienes y/o servicios)]],"-",S524,"-",T524,"-",PAA[[#This Row],[Objeto de la contratación]])</f>
        <v>20260492-TH-8126-8-Prestación de servicios profesionales especializados para desarrollar las actividades técnicas y administrativas del Área de Infraestructura de la Subdirección de Gestión Corporativa-SGC.</v>
      </c>
    </row>
    <row r="525" spans="2:35" ht="126" x14ac:dyDescent="0.35">
      <c r="B525" s="23">
        <v>20260493</v>
      </c>
      <c r="C525" s="99" t="s">
        <v>742</v>
      </c>
      <c r="D525" s="23" t="s">
        <v>105</v>
      </c>
      <c r="E525" s="23" t="s">
        <v>363</v>
      </c>
      <c r="F525" s="155" t="s">
        <v>144</v>
      </c>
      <c r="G525" s="156" t="s">
        <v>373</v>
      </c>
      <c r="H525" s="157">
        <v>11</v>
      </c>
      <c r="I525" s="157">
        <v>0</v>
      </c>
      <c r="J525" s="127">
        <v>77000000</v>
      </c>
      <c r="K525" s="88" t="s">
        <v>398</v>
      </c>
      <c r="L525" s="155" t="s">
        <v>155</v>
      </c>
      <c r="M525" s="158" t="s">
        <v>422</v>
      </c>
      <c r="N525" s="23" t="s">
        <v>197</v>
      </c>
      <c r="O525" s="151" t="s">
        <v>957</v>
      </c>
      <c r="P525" s="155" t="s">
        <v>348</v>
      </c>
      <c r="Q525" s="53" t="s">
        <v>778</v>
      </c>
      <c r="R525" s="158" t="s">
        <v>207</v>
      </c>
      <c r="S525" s="158" t="str">
        <f>MID(PAA[[#This Row],[Meta Proyecto de Inversión]],1,4)</f>
        <v>8126</v>
      </c>
      <c r="T525" s="158" t="str">
        <f>MID(PAA[[#This Row],[Meta Proyecto de Inversión]],6,1)</f>
        <v>8</v>
      </c>
      <c r="U525" s="159" t="str">
        <f>IFERROR(VLOOKUP(N525,TD!$B$50:$F$54,2,0)," ")</f>
        <v>O230117</v>
      </c>
      <c r="V525" s="159" t="str">
        <f>IFERROR(VLOOKUP(N525,TD!$B$50:$F$54,3,0)," ")</f>
        <v>4599</v>
      </c>
      <c r="W525" s="159">
        <f>IFERROR(VLOOKUP(N525,TD!$B$50:$F$54,4,0)," ")</f>
        <v>20240207</v>
      </c>
      <c r="X525" s="158" t="s">
        <v>174</v>
      </c>
      <c r="Y525" s="159" t="str">
        <f>IFERROR(VLOOKUP(X525,TD!$J$51:$K$64,2,0)," ")</f>
        <v>Infraestructura física, mantenimiento y dotación (Sedes construidas, mantenidas reforzadas)</v>
      </c>
      <c r="Z525" s="160" t="str">
        <f>CONCATENATE(X525,"-",Y525)</f>
        <v>08-Infraestructura física, mantenimiento y dotación (Sedes construidas, mantenidas reforzadas)</v>
      </c>
      <c r="AA525" s="158" t="s">
        <v>227</v>
      </c>
      <c r="AB525" s="159" t="str">
        <f>IFERROR(VLOOKUP(AA525,TD!$N$51:$O$66,2,0)," ")</f>
        <v>Sedes mantenidas</v>
      </c>
      <c r="AC525" s="160" t="str">
        <f>CONCATENATE(AA525,"_",AB525)</f>
        <v>016_Sedes mantenidas</v>
      </c>
      <c r="AD525" s="160" t="str">
        <f>CONCATENATE(Z525," ",AC525)</f>
        <v>08-Infraestructura física, mantenimiento y dotación (Sedes construidas, mantenidas reforzadas) 016_Sedes mantenidas</v>
      </c>
      <c r="AE525" s="159" t="str">
        <f>CONCATENATE(U525,V525,W525,X525,AA525)</f>
        <v>O23011745992024020708016</v>
      </c>
      <c r="AF525" s="159" t="str">
        <f>IFERROR(VLOOKUP(AD525,TD!$J$66:$K$89,2,0)," ")</f>
        <v>PM/0131/0108/45990160207</v>
      </c>
      <c r="AG525" s="118" t="s">
        <v>385</v>
      </c>
      <c r="AH525" s="167" t="s">
        <v>193</v>
      </c>
      <c r="AI525" s="161" t="str">
        <f>CONCATENATE(PAA[[#This Row],[Id Interno]],"-",PAA[[#This Row],[tipo de Contrato (TH talento humano - B/S bienes y/o servicios)]],"-",S525,"-",T525,"-",PAA[[#This Row],[Objeto de la contratación]])</f>
        <v>20260493-TH-8126-8-Prestación de servicios profesionales especializados para desarrollar las actividades técnicas y administrativas del Área de Infraestructura de la Subdirección de Gestión Corporativa-SGC</v>
      </c>
    </row>
    <row r="526" spans="2:35" ht="56" x14ac:dyDescent="0.35">
      <c r="B526" s="23">
        <v>20260494</v>
      </c>
      <c r="C526" s="99" t="s">
        <v>743</v>
      </c>
      <c r="D526" s="23" t="s">
        <v>105</v>
      </c>
      <c r="E526" s="23" t="s">
        <v>363</v>
      </c>
      <c r="F526" s="155" t="s">
        <v>144</v>
      </c>
      <c r="G526" s="156" t="s">
        <v>373</v>
      </c>
      <c r="H526" s="157">
        <v>6</v>
      </c>
      <c r="I526" s="157">
        <v>0</v>
      </c>
      <c r="J526" s="127">
        <v>42000000</v>
      </c>
      <c r="K526" s="88" t="s">
        <v>398</v>
      </c>
      <c r="L526" s="155" t="s">
        <v>155</v>
      </c>
      <c r="M526" s="158" t="s">
        <v>422</v>
      </c>
      <c r="N526" s="23" t="s">
        <v>197</v>
      </c>
      <c r="O526" s="151" t="s">
        <v>957</v>
      </c>
      <c r="P526" s="166" t="s">
        <v>348</v>
      </c>
      <c r="Q526" s="53" t="s">
        <v>778</v>
      </c>
      <c r="R526" s="158" t="s">
        <v>207</v>
      </c>
      <c r="S526" s="158" t="str">
        <f>MID(PAA[[#This Row],[Meta Proyecto de Inversión]],1,4)</f>
        <v>8126</v>
      </c>
      <c r="T526" s="158" t="str">
        <f>MID(PAA[[#This Row],[Meta Proyecto de Inversión]],6,1)</f>
        <v>8</v>
      </c>
      <c r="U526" s="159" t="str">
        <f>IFERROR(VLOOKUP(N526,TD!$B$50:$F$54,2,0)," ")</f>
        <v>O230117</v>
      </c>
      <c r="V526" s="159" t="str">
        <f>IFERROR(VLOOKUP(N526,TD!$B$50:$F$54,3,0)," ")</f>
        <v>4599</v>
      </c>
      <c r="W526" s="159">
        <f>IFERROR(VLOOKUP(N526,TD!$B$50:$F$54,4,0)," ")</f>
        <v>20240207</v>
      </c>
      <c r="X526" s="158" t="s">
        <v>174</v>
      </c>
      <c r="Y526" s="159" t="str">
        <f>IFERROR(VLOOKUP(X526,TD!$J$51:$K$64,2,0)," ")</f>
        <v>Infraestructura física, mantenimiento y dotación (Sedes construidas, mantenidas reforzadas)</v>
      </c>
      <c r="Z526" s="160" t="str">
        <f>CONCATENATE(X526,"-",Y526)</f>
        <v>08-Infraestructura física, mantenimiento y dotación (Sedes construidas, mantenidas reforzadas)</v>
      </c>
      <c r="AA526" s="158" t="s">
        <v>227</v>
      </c>
      <c r="AB526" s="159" t="str">
        <f>IFERROR(VLOOKUP(AA526,TD!$N$51:$O$66,2,0)," ")</f>
        <v>Sedes mantenidas</v>
      </c>
      <c r="AC526" s="160" t="str">
        <f>CONCATENATE(AA526,"_",AB526)</f>
        <v>016_Sedes mantenidas</v>
      </c>
      <c r="AD526" s="160" t="str">
        <f>CONCATENATE(Z526," ",AC526)</f>
        <v>08-Infraestructura física, mantenimiento y dotación (Sedes construidas, mantenidas reforzadas) 016_Sedes mantenidas</v>
      </c>
      <c r="AE526" s="159" t="str">
        <f>CONCATENATE(U526,V526,W526,X526,AA526)</f>
        <v>O23011745992024020708016</v>
      </c>
      <c r="AF526" s="159" t="str">
        <f>IFERROR(VLOOKUP(AD526,TD!$J$66:$K$89,2,0)," ")</f>
        <v>PM/0131/0108/45990160207</v>
      </c>
      <c r="AG526" s="118" t="s">
        <v>385</v>
      </c>
      <c r="AH526" s="167" t="s">
        <v>193</v>
      </c>
      <c r="AI526" s="161" t="str">
        <f>CONCATENATE(PAA[[#This Row],[Id Interno]],"-",PAA[[#This Row],[tipo de Contrato (TH talento humano - B/S bienes y/o servicios)]],"-",S526,"-",T526,"-",PAA[[#This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27" spans="2:35" ht="98" x14ac:dyDescent="0.35">
      <c r="B527" s="99">
        <v>20260497</v>
      </c>
      <c r="C527" s="99" t="s">
        <v>962</v>
      </c>
      <c r="D527" s="99" t="s">
        <v>83</v>
      </c>
      <c r="E527" s="99" t="s">
        <v>402</v>
      </c>
      <c r="F527" s="156" t="s">
        <v>136</v>
      </c>
      <c r="G527" s="156" t="s">
        <v>377</v>
      </c>
      <c r="H527" s="163">
        <v>8</v>
      </c>
      <c r="I527" s="163">
        <v>0</v>
      </c>
      <c r="J527" s="118">
        <v>50000000</v>
      </c>
      <c r="K527" s="126" t="s">
        <v>398</v>
      </c>
      <c r="L527" s="156" t="s">
        <v>155</v>
      </c>
      <c r="M527" s="162" t="s">
        <v>422</v>
      </c>
      <c r="N527" s="99" t="s">
        <v>197</v>
      </c>
      <c r="O527" s="151" t="s">
        <v>957</v>
      </c>
      <c r="P527" s="156" t="s">
        <v>348</v>
      </c>
      <c r="Q527" s="128" t="s">
        <v>969</v>
      </c>
      <c r="R527" s="162" t="s">
        <v>207</v>
      </c>
      <c r="S527" s="158" t="str">
        <f>MID(PAA[[#This Row],[Meta Proyecto de Inversión]],1,4)</f>
        <v>8126</v>
      </c>
      <c r="T527" s="158" t="str">
        <f>MID(PAA[[#This Row],[Meta Proyecto de Inversión]],6,1)</f>
        <v>8</v>
      </c>
      <c r="U527" s="164" t="str">
        <f>IFERROR(VLOOKUP(N527,TD!$B$50:$F$54,2,0)," ")</f>
        <v>O230117</v>
      </c>
      <c r="V527" s="164" t="str">
        <f>IFERROR(VLOOKUP(N527,TD!$B$50:$F$54,3,0)," ")</f>
        <v>4599</v>
      </c>
      <c r="W527" s="164">
        <f>IFERROR(VLOOKUP(N527,TD!$B$50:$F$54,4,0)," ")</f>
        <v>20240207</v>
      </c>
      <c r="X527" s="162" t="s">
        <v>174</v>
      </c>
      <c r="Y527" s="164" t="str">
        <f>IFERROR(VLOOKUP(X527,TD!$J$51:$K$64,2,0)," ")</f>
        <v>Infraestructura física, mantenimiento y dotación (Sedes construidas, mantenidas reforzadas)</v>
      </c>
      <c r="Z527" s="160" t="str">
        <f>CONCATENATE(X527,"-",Y527)</f>
        <v>08-Infraestructura física, mantenimiento y dotación (Sedes construidas, mantenidas reforzadas)</v>
      </c>
      <c r="AA527" s="162" t="s">
        <v>227</v>
      </c>
      <c r="AB527" s="164" t="str">
        <f>IFERROR(VLOOKUP(AA527,TD!$N$51:$O$66,2,0)," ")</f>
        <v>Sedes mantenidas</v>
      </c>
      <c r="AC527" s="160" t="str">
        <f>CONCATENATE(AA527,"_",AB527)</f>
        <v>016_Sedes mantenidas</v>
      </c>
      <c r="AD527" s="160" t="str">
        <f>CONCATENATE(Z527," ",AC527)</f>
        <v>08-Infraestructura física, mantenimiento y dotación (Sedes construidas, mantenidas reforzadas) 016_Sedes mantenidas</v>
      </c>
      <c r="AE527" s="164" t="str">
        <f>CONCATENATE(U527,V527,W527,X527,AA527)</f>
        <v>O23011745992024020708016</v>
      </c>
      <c r="AF527" s="164" t="str">
        <f>IFERROR(VLOOKUP(AD527,TD!$J$66:$K$89,2,0)," ")</f>
        <v>PM/0131/0108/45990160207</v>
      </c>
      <c r="AG527" s="118" t="s">
        <v>80</v>
      </c>
      <c r="AH527" s="162" t="s">
        <v>193</v>
      </c>
      <c r="AI527" s="165" t="str">
        <f>CONCATENATE(PAA[[#This Row],[Id Interno]],"-",PAA[[#This Row],[tipo de Contrato (TH talento humano - B/S bienes y/o servicios)]],"-",S527,"-",T527,"-",PAA[[#This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528" spans="2:35" ht="140" x14ac:dyDescent="0.35">
      <c r="B528" s="99">
        <v>20260498</v>
      </c>
      <c r="C528" s="99" t="s">
        <v>963</v>
      </c>
      <c r="D528" s="99" t="s">
        <v>83</v>
      </c>
      <c r="E528" s="99" t="s">
        <v>402</v>
      </c>
      <c r="F528" s="156" t="s">
        <v>136</v>
      </c>
      <c r="G528" s="156" t="s">
        <v>377</v>
      </c>
      <c r="H528" s="163">
        <v>8</v>
      </c>
      <c r="I528" s="163">
        <v>0</v>
      </c>
      <c r="J528" s="118">
        <v>50000000</v>
      </c>
      <c r="K528" s="126" t="s">
        <v>398</v>
      </c>
      <c r="L528" s="156" t="s">
        <v>155</v>
      </c>
      <c r="M528" s="162" t="s">
        <v>422</v>
      </c>
      <c r="N528" s="99" t="s">
        <v>197</v>
      </c>
      <c r="O528" s="151" t="s">
        <v>957</v>
      </c>
      <c r="P528" s="156" t="s">
        <v>348</v>
      </c>
      <c r="Q528" s="128">
        <v>72151800</v>
      </c>
      <c r="R528" s="162" t="s">
        <v>207</v>
      </c>
      <c r="S528" s="158" t="str">
        <f>MID(PAA[[#This Row],[Meta Proyecto de Inversión]],1,4)</f>
        <v>8126</v>
      </c>
      <c r="T528" s="158" t="str">
        <f>MID(PAA[[#This Row],[Meta Proyecto de Inversión]],6,1)</f>
        <v>8</v>
      </c>
      <c r="U528" s="164" t="str">
        <f>IFERROR(VLOOKUP(N528,TD!$B$50:$F$54,2,0)," ")</f>
        <v>O230117</v>
      </c>
      <c r="V528" s="164" t="str">
        <f>IFERROR(VLOOKUP(N528,TD!$B$50:$F$54,3,0)," ")</f>
        <v>4599</v>
      </c>
      <c r="W528" s="164">
        <f>IFERROR(VLOOKUP(N528,TD!$B$50:$F$54,4,0)," ")</f>
        <v>20240207</v>
      </c>
      <c r="X528" s="162" t="s">
        <v>174</v>
      </c>
      <c r="Y528" s="164" t="str">
        <f>IFERROR(VLOOKUP(X528,TD!$J$51:$K$64,2,0)," ")</f>
        <v>Infraestructura física, mantenimiento y dotación (Sedes construidas, mantenidas reforzadas)</v>
      </c>
      <c r="Z528" s="160" t="str">
        <f>CONCATENATE(X528,"-",Y528)</f>
        <v>08-Infraestructura física, mantenimiento y dotación (Sedes construidas, mantenidas reforzadas)</v>
      </c>
      <c r="AA528" s="162" t="s">
        <v>227</v>
      </c>
      <c r="AB528" s="164" t="str">
        <f>IFERROR(VLOOKUP(AA528,TD!$N$51:$O$66,2,0)," ")</f>
        <v>Sedes mantenidas</v>
      </c>
      <c r="AC528" s="160" t="str">
        <f>CONCATENATE(AA528,"_",AB528)</f>
        <v>016_Sedes mantenidas</v>
      </c>
      <c r="AD528" s="160" t="str">
        <f>CONCATENATE(Z528," ",AC528)</f>
        <v>08-Infraestructura física, mantenimiento y dotación (Sedes construidas, mantenidas reforzadas) 016_Sedes mantenidas</v>
      </c>
      <c r="AE528" s="164" t="str">
        <f>CONCATENATE(U528,V528,W528,X528,AA528)</f>
        <v>O23011745992024020708016</v>
      </c>
      <c r="AF528" s="164" t="str">
        <f>IFERROR(VLOOKUP(AD528,TD!$J$66:$K$89,2,0)," ")</f>
        <v>PM/0131/0108/45990160207</v>
      </c>
      <c r="AG528" s="118" t="s">
        <v>80</v>
      </c>
      <c r="AH528" s="174" t="s">
        <v>193</v>
      </c>
      <c r="AI528" s="165" t="str">
        <f>CONCATENATE(PAA[[#This Row],[Id Interno]],"-",PAA[[#This Row],[tipo de Contrato (TH talento humano - B/S bienes y/o servicios)]],"-",S528,"-",T528,"-",PAA[[#This Row],[Objeto de la contratación]])</f>
        <v>20260498-BS-8126-8-Mantenimiento preventivo y/o correctivo, y suministro de repuestos de los equipos de gimnasio de las diferentes instalaciones a cargo de la Unidad Administrativa Especial Cuerpo Oficial de Bomberos Bogotá -SGC</v>
      </c>
    </row>
    <row r="529" spans="2:35" ht="126" x14ac:dyDescent="0.35">
      <c r="B529" s="99">
        <v>20260499</v>
      </c>
      <c r="C529" s="99" t="s">
        <v>745</v>
      </c>
      <c r="D529" s="99" t="s">
        <v>88</v>
      </c>
      <c r="E529" s="99" t="s">
        <v>402</v>
      </c>
      <c r="F529" s="156" t="s">
        <v>141</v>
      </c>
      <c r="G529" s="156" t="s">
        <v>377</v>
      </c>
      <c r="H529" s="163">
        <v>4</v>
      </c>
      <c r="I529" s="163">
        <v>0</v>
      </c>
      <c r="J529" s="118">
        <v>670000000</v>
      </c>
      <c r="K529" s="126" t="s">
        <v>398</v>
      </c>
      <c r="L529" s="156" t="s">
        <v>155</v>
      </c>
      <c r="M529" s="162" t="s">
        <v>422</v>
      </c>
      <c r="N529" s="99" t="s">
        <v>198</v>
      </c>
      <c r="O529" s="151" t="s">
        <v>958</v>
      </c>
      <c r="P529" s="156" t="s">
        <v>348</v>
      </c>
      <c r="Q529" s="128" t="s">
        <v>782</v>
      </c>
      <c r="R529" s="162" t="s">
        <v>351</v>
      </c>
      <c r="S529" s="158" t="str">
        <f>MID(PAA[[#This Row],[Meta Proyecto de Inversión]],1,4)</f>
        <v>8173</v>
      </c>
      <c r="T529" s="158" t="str">
        <f>MID(PAA[[#This Row],[Meta Proyecto de Inversión]],6,1)</f>
        <v>1</v>
      </c>
      <c r="U529" s="164" t="str">
        <f>IFERROR(VLOOKUP(N529,TD!$B$50:$F$54,2,0)," ")</f>
        <v>O230117</v>
      </c>
      <c r="V529" s="164" t="str">
        <f>IFERROR(VLOOKUP(N529,TD!$B$50:$F$54,3,0)," ")</f>
        <v>4503</v>
      </c>
      <c r="W529" s="164">
        <f>IFERROR(VLOOKUP(N529,TD!$B$50:$F$54,4,0)," ")</f>
        <v>20240255</v>
      </c>
      <c r="X529" s="162">
        <v>14</v>
      </c>
      <c r="Y529" s="164" t="str">
        <f>IFERROR(VLOOKUP(X529,TD!$J$51:$K$64,2,0)," ")</f>
        <v xml:space="preserve">Infraestructura física misional construida mantenida y dotada </v>
      </c>
      <c r="Z529" s="160" t="str">
        <f>CONCATENATE(X529,"-",Y529)</f>
        <v xml:space="preserve">14-Infraestructura física misional construida mantenida y dotada </v>
      </c>
      <c r="AA529" s="162" t="s">
        <v>225</v>
      </c>
      <c r="AB529" s="164" t="str">
        <f>IFERROR(VLOOKUP(AA529,TD!$N$51:$O$66,2,0)," ")</f>
        <v>Estaciones de bomberos adecuadas</v>
      </c>
      <c r="AC529" s="160" t="str">
        <f>CONCATENATE(AA529,"_",AB529)</f>
        <v>014_Estaciones de bomberos adecuadas</v>
      </c>
      <c r="AD529" s="160" t="str">
        <f>CONCATENATE(Z529," ",AC529)</f>
        <v>14-Infraestructura física misional construida mantenida y dotada  014_Estaciones de bomberos adecuadas</v>
      </c>
      <c r="AE529" s="164" t="str">
        <f>CONCATENATE(U529,V529,W529,X529,AA529)</f>
        <v>O23011745032024025514014</v>
      </c>
      <c r="AF529" s="164" t="str">
        <f>IFERROR(VLOOKUP(AD529,TD!$J$66:$K$89,2,0)," ")</f>
        <v>PM/0131/0114/45030140255</v>
      </c>
      <c r="AG529" s="118" t="s">
        <v>355</v>
      </c>
      <c r="AH529" s="174" t="s">
        <v>193</v>
      </c>
      <c r="AI529" s="165" t="str">
        <f>CONCATENATE(PAA[[#This Row],[Id Interno]],"-",PAA[[#This Row],[tipo de Contrato (TH talento humano - B/S bienes y/o servicios)]],"-",S529,"-",T529,"-",PAA[[#This Row],[Objeto de la contratación]])</f>
        <v>20260499-BS-8173-1-Suministro  de muebles, enseres y demàs elementos requeridos para la Unidad Administrativa Especial Cuerpo Oficial de Bomberos Bogotá -SGC</v>
      </c>
    </row>
    <row r="530" spans="2:35" ht="56" x14ac:dyDescent="0.35">
      <c r="B530" s="23">
        <v>20260501</v>
      </c>
      <c r="C530" s="99" t="s">
        <v>747</v>
      </c>
      <c r="D530" s="23" t="s">
        <v>83</v>
      </c>
      <c r="E530" s="23" t="s">
        <v>402</v>
      </c>
      <c r="F530" s="155" t="s">
        <v>136</v>
      </c>
      <c r="G530" s="156" t="s">
        <v>375</v>
      </c>
      <c r="H530" s="157">
        <v>11</v>
      </c>
      <c r="I530" s="157">
        <v>0</v>
      </c>
      <c r="J530" s="127">
        <v>120000000</v>
      </c>
      <c r="K530" s="88" t="s">
        <v>398</v>
      </c>
      <c r="L530" s="155" t="s">
        <v>155</v>
      </c>
      <c r="M530" s="158" t="s">
        <v>422</v>
      </c>
      <c r="N530" s="23" t="s">
        <v>197</v>
      </c>
      <c r="O530" s="151" t="s">
        <v>957</v>
      </c>
      <c r="P530" s="155" t="s">
        <v>348</v>
      </c>
      <c r="Q530" s="53" t="s">
        <v>784</v>
      </c>
      <c r="R530" s="158" t="s">
        <v>207</v>
      </c>
      <c r="S530" s="158" t="str">
        <f>MID(PAA[[#This Row],[Meta Proyecto de Inversión]],1,4)</f>
        <v>8126</v>
      </c>
      <c r="T530" s="158" t="str">
        <f>MID(PAA[[#This Row],[Meta Proyecto de Inversión]],6,1)</f>
        <v>8</v>
      </c>
      <c r="U530" s="159" t="str">
        <f>IFERROR(VLOOKUP(N530,TD!$B$50:$F$54,2,0)," ")</f>
        <v>O230117</v>
      </c>
      <c r="V530" s="159" t="str">
        <f>IFERROR(VLOOKUP(N530,TD!$B$50:$F$54,3,0)," ")</f>
        <v>4599</v>
      </c>
      <c r="W530" s="159">
        <f>IFERROR(VLOOKUP(N530,TD!$B$50:$F$54,4,0)," ")</f>
        <v>20240207</v>
      </c>
      <c r="X530" s="158" t="s">
        <v>174</v>
      </c>
      <c r="Y530" s="159" t="str">
        <f>IFERROR(VLOOKUP(X530,TD!$J$51:$K$64,2,0)," ")</f>
        <v>Infraestructura física, mantenimiento y dotación (Sedes construidas, mantenidas reforzadas)</v>
      </c>
      <c r="Z530" s="160" t="str">
        <f>CONCATENATE(X530,"-",Y530)</f>
        <v>08-Infraestructura física, mantenimiento y dotación (Sedes construidas, mantenidas reforzadas)</v>
      </c>
      <c r="AA530" s="158" t="s">
        <v>227</v>
      </c>
      <c r="AB530" s="159" t="str">
        <f>IFERROR(VLOOKUP(AA530,TD!$N$51:$O$66,2,0)," ")</f>
        <v>Sedes mantenidas</v>
      </c>
      <c r="AC530" s="160" t="str">
        <f>CONCATENATE(AA530,"_",AB530)</f>
        <v>016_Sedes mantenidas</v>
      </c>
      <c r="AD530" s="160" t="str">
        <f>CONCATENATE(Z530," ",AC530)</f>
        <v>08-Infraestructura física, mantenimiento y dotación (Sedes construidas, mantenidas reforzadas) 016_Sedes mantenidas</v>
      </c>
      <c r="AE530" s="159" t="str">
        <f>CONCATENATE(U530,V530,W530,X530,AA530)</f>
        <v>O23011745992024020708016</v>
      </c>
      <c r="AF530" s="159" t="str">
        <f>IFERROR(VLOOKUP(AD530,TD!$J$66:$K$89,2,0)," ")</f>
        <v>PM/0131/0108/45990160207</v>
      </c>
      <c r="AG530" s="118" t="s">
        <v>939</v>
      </c>
      <c r="AH530" s="167" t="s">
        <v>193</v>
      </c>
      <c r="AI530" s="161" t="str">
        <f>CONCATENATE(PAA[[#This Row],[Id Interno]],"-",PAA[[#This Row],[tipo de Contrato (TH talento humano - B/S bienes y/o servicios)]],"-",S530,"-",T530,"-",PAA[[#This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31" spans="2:35" ht="56" x14ac:dyDescent="0.35">
      <c r="B531" s="23">
        <v>20260503</v>
      </c>
      <c r="C531" s="99" t="s">
        <v>749</v>
      </c>
      <c r="D531" s="23" t="s">
        <v>83</v>
      </c>
      <c r="E531" s="23" t="s">
        <v>402</v>
      </c>
      <c r="F531" s="155" t="s">
        <v>136</v>
      </c>
      <c r="G531" s="156" t="s">
        <v>375</v>
      </c>
      <c r="H531" s="157">
        <v>10</v>
      </c>
      <c r="I531" s="157">
        <v>0</v>
      </c>
      <c r="J531" s="127">
        <v>180000000</v>
      </c>
      <c r="K531" s="88" t="s">
        <v>398</v>
      </c>
      <c r="L531" s="155" t="s">
        <v>155</v>
      </c>
      <c r="M531" s="158" t="s">
        <v>422</v>
      </c>
      <c r="N531" s="23" t="s">
        <v>197</v>
      </c>
      <c r="O531" s="151" t="s">
        <v>957</v>
      </c>
      <c r="P531" s="155" t="s">
        <v>348</v>
      </c>
      <c r="Q531" s="53" t="s">
        <v>786</v>
      </c>
      <c r="R531" s="158" t="s">
        <v>207</v>
      </c>
      <c r="S531" s="158" t="str">
        <f>MID(PAA[[#This Row],[Meta Proyecto de Inversión]],1,4)</f>
        <v>8126</v>
      </c>
      <c r="T531" s="158" t="str">
        <f>MID(PAA[[#This Row],[Meta Proyecto de Inversión]],6,1)</f>
        <v>8</v>
      </c>
      <c r="U531" s="159" t="str">
        <f>IFERROR(VLOOKUP(N531,TD!$B$50:$F$54,2,0)," ")</f>
        <v>O230117</v>
      </c>
      <c r="V531" s="159" t="str">
        <f>IFERROR(VLOOKUP(N531,TD!$B$50:$F$54,3,0)," ")</f>
        <v>4599</v>
      </c>
      <c r="W531" s="159">
        <f>IFERROR(VLOOKUP(N531,TD!$B$50:$F$54,4,0)," ")</f>
        <v>20240207</v>
      </c>
      <c r="X531" s="158" t="s">
        <v>174</v>
      </c>
      <c r="Y531" s="159" t="str">
        <f>IFERROR(VLOOKUP(X531,TD!$J$51:$K$64,2,0)," ")</f>
        <v>Infraestructura física, mantenimiento y dotación (Sedes construidas, mantenidas reforzadas)</v>
      </c>
      <c r="Z531" s="160" t="str">
        <f>CONCATENATE(X531,"-",Y531)</f>
        <v>08-Infraestructura física, mantenimiento y dotación (Sedes construidas, mantenidas reforzadas)</v>
      </c>
      <c r="AA531" s="158" t="s">
        <v>227</v>
      </c>
      <c r="AB531" s="159" t="str">
        <f>IFERROR(VLOOKUP(AA531,TD!$N$51:$O$66,2,0)," ")</f>
        <v>Sedes mantenidas</v>
      </c>
      <c r="AC531" s="160" t="str">
        <f>CONCATENATE(AA531,"_",AB531)</f>
        <v>016_Sedes mantenidas</v>
      </c>
      <c r="AD531" s="160" t="str">
        <f>CONCATENATE(Z531," ",AC531)</f>
        <v>08-Infraestructura física, mantenimiento y dotación (Sedes construidas, mantenidas reforzadas) 016_Sedes mantenidas</v>
      </c>
      <c r="AE531" s="159" t="str">
        <f>CONCATENATE(U531,V531,W531,X531,AA531)</f>
        <v>O23011745992024020708016</v>
      </c>
      <c r="AF531" s="159" t="str">
        <f>IFERROR(VLOOKUP(AD531,TD!$J$66:$K$89,2,0)," ")</f>
        <v>PM/0131/0108/45990160207</v>
      </c>
      <c r="AG531" s="118" t="s">
        <v>938</v>
      </c>
      <c r="AH531" s="167" t="s">
        <v>193</v>
      </c>
      <c r="AI531" s="161" t="str">
        <f>CONCATENATE(PAA[[#This Row],[Id Interno]],"-",PAA[[#This Row],[tipo de Contrato (TH talento humano - B/S bienes y/o servicios)]],"-",S531,"-",T531,"-",PAA[[#This Row],[Objeto de la contratación]])</f>
        <v>20260503-BS-8126-8-Mantenimiento preventivo y correctivo de la red contraincendios  y sistemas de detención de alarmas contra incendios de las estaciones de bomberos de la  Unidad Administrativa Especial Cuerpo Oficial de Bomberos Bogotá -SGC</v>
      </c>
    </row>
    <row r="532" spans="2:35" ht="140" x14ac:dyDescent="0.35">
      <c r="B532" s="99">
        <v>20260508</v>
      </c>
      <c r="C532" s="99" t="s">
        <v>752</v>
      </c>
      <c r="D532" s="99" t="s">
        <v>83</v>
      </c>
      <c r="E532" s="99" t="s">
        <v>402</v>
      </c>
      <c r="F532" s="99" t="s">
        <v>136</v>
      </c>
      <c r="G532" s="129" t="s">
        <v>376</v>
      </c>
      <c r="H532" s="153">
        <v>10</v>
      </c>
      <c r="I532" s="163">
        <v>0</v>
      </c>
      <c r="J532" s="118">
        <v>127000000</v>
      </c>
      <c r="K532" s="126" t="s">
        <v>398</v>
      </c>
      <c r="L532" s="156" t="s">
        <v>155</v>
      </c>
      <c r="M532" s="162" t="s">
        <v>422</v>
      </c>
      <c r="N532" s="99" t="s">
        <v>197</v>
      </c>
      <c r="O532" s="151" t="s">
        <v>957</v>
      </c>
      <c r="P532" s="162" t="s">
        <v>348</v>
      </c>
      <c r="Q532" s="128" t="s">
        <v>790</v>
      </c>
      <c r="R532" s="162" t="s">
        <v>207</v>
      </c>
      <c r="S532" s="158" t="str">
        <f>MID(PAA[[#This Row],[Meta Proyecto de Inversión]],1,4)</f>
        <v>8126</v>
      </c>
      <c r="T532" s="158" t="str">
        <f>MID(PAA[[#This Row],[Meta Proyecto de Inversión]],6,1)</f>
        <v>8</v>
      </c>
      <c r="U532" s="164" t="str">
        <f>IFERROR(VLOOKUP(N532,TD!$B$50:$F$54,2,0)," ")</f>
        <v>O230117</v>
      </c>
      <c r="V532" s="164" t="str">
        <f>IFERROR(VLOOKUP(N532,TD!$B$50:$F$54,3,0)," ")</f>
        <v>4599</v>
      </c>
      <c r="W532" s="164">
        <f>IFERROR(VLOOKUP(N532,TD!$B$50:$F$54,4,0)," ")</f>
        <v>20240207</v>
      </c>
      <c r="X532" s="162" t="s">
        <v>174</v>
      </c>
      <c r="Y532" s="164" t="str">
        <f>IFERROR(VLOOKUP(X532,TD!$J$51:$K$64,2,0)," ")</f>
        <v>Infraestructura física, mantenimiento y dotación (Sedes construidas, mantenidas reforzadas)</v>
      </c>
      <c r="Z532" s="160" t="str">
        <f>CONCATENATE(X532,"-",Y532)</f>
        <v>08-Infraestructura física, mantenimiento y dotación (Sedes construidas, mantenidas reforzadas)</v>
      </c>
      <c r="AA532" s="162" t="s">
        <v>227</v>
      </c>
      <c r="AB532" s="164" t="str">
        <f>IFERROR(VLOOKUP(AA532,TD!$N$51:$O$66,2,0)," ")</f>
        <v>Sedes mantenidas</v>
      </c>
      <c r="AC532" s="160" t="str">
        <f>CONCATENATE(AA532,"_",AB532)</f>
        <v>016_Sedes mantenidas</v>
      </c>
      <c r="AD532" s="160" t="str">
        <f>CONCATENATE(Z532," ",AC532)</f>
        <v>08-Infraestructura física, mantenimiento y dotación (Sedes construidas, mantenidas reforzadas) 016_Sedes mantenidas</v>
      </c>
      <c r="AE532" s="164" t="str">
        <f>CONCATENATE(U532,V532,W532,X532,AA532)</f>
        <v>O23011745992024020708016</v>
      </c>
      <c r="AF532" s="164" t="str">
        <f>IFERROR(VLOOKUP(AD532,TD!$J$66:$K$89,2,0)," ")</f>
        <v>PM/0131/0108/45990160207</v>
      </c>
      <c r="AG532" s="118" t="s">
        <v>937</v>
      </c>
      <c r="AH532" s="174" t="s">
        <v>193</v>
      </c>
      <c r="AI532" s="165" t="str">
        <f>CONCATENATE(PAA[[#This Row],[Id Interno]],"-",PAA[[#This Row],[tipo de Contrato (TH talento humano - B/S bienes y/o servicios)]],"-",S532,"-",T532,"-",PAA[[#This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533" spans="2:35" ht="112" x14ac:dyDescent="0.35">
      <c r="B533" s="23">
        <v>20260509</v>
      </c>
      <c r="C533" s="99" t="s">
        <v>753</v>
      </c>
      <c r="D533" s="23" t="s">
        <v>119</v>
      </c>
      <c r="E533" s="23" t="s">
        <v>402</v>
      </c>
      <c r="F533" s="23" t="s">
        <v>128</v>
      </c>
      <c r="G533" s="129" t="s">
        <v>377</v>
      </c>
      <c r="H533" s="136">
        <v>0</v>
      </c>
      <c r="I533" s="157">
        <v>0</v>
      </c>
      <c r="J533" s="127">
        <v>60990220</v>
      </c>
      <c r="K533" s="88" t="s">
        <v>398</v>
      </c>
      <c r="L533" s="155" t="s">
        <v>155</v>
      </c>
      <c r="M533" s="158" t="s">
        <v>422</v>
      </c>
      <c r="N533" s="23" t="s">
        <v>197</v>
      </c>
      <c r="O533" s="151" t="s">
        <v>957</v>
      </c>
      <c r="P533" s="158" t="s">
        <v>348</v>
      </c>
      <c r="Q533" s="53" t="s">
        <v>335</v>
      </c>
      <c r="R533" s="158" t="s">
        <v>207</v>
      </c>
      <c r="S533" s="158" t="str">
        <f>MID(PAA[[#This Row],[Meta Proyecto de Inversión]],1,4)</f>
        <v>8126</v>
      </c>
      <c r="T533" s="158" t="str">
        <f>MID(PAA[[#This Row],[Meta Proyecto de Inversión]],6,1)</f>
        <v>8</v>
      </c>
      <c r="U533" s="159" t="str">
        <f>IFERROR(VLOOKUP(N533,TD!$B$50:$F$54,2,0)," ")</f>
        <v>O230117</v>
      </c>
      <c r="V533" s="159" t="str">
        <f>IFERROR(VLOOKUP(N533,TD!$B$50:$F$54,3,0)," ")</f>
        <v>4599</v>
      </c>
      <c r="W533" s="159">
        <f>IFERROR(VLOOKUP(N533,TD!$B$50:$F$54,4,0)," ")</f>
        <v>20240207</v>
      </c>
      <c r="X533" s="158" t="s">
        <v>174</v>
      </c>
      <c r="Y533" s="159" t="str">
        <f>IFERROR(VLOOKUP(X533,TD!$J$51:$K$64,2,0)," ")</f>
        <v>Infraestructura física, mantenimiento y dotación (Sedes construidas, mantenidas reforzadas)</v>
      </c>
      <c r="Z533" s="160" t="str">
        <f>CONCATENATE(X533,"-",Y533)</f>
        <v>08-Infraestructura física, mantenimiento y dotación (Sedes construidas, mantenidas reforzadas)</v>
      </c>
      <c r="AA533" s="158" t="s">
        <v>227</v>
      </c>
      <c r="AB533" s="159" t="str">
        <f>IFERROR(VLOOKUP(AA533,TD!$N$51:$O$66,2,0)," ")</f>
        <v>Sedes mantenidas</v>
      </c>
      <c r="AC533" s="160" t="str">
        <f>CONCATENATE(AA533,"_",AB533)</f>
        <v>016_Sedes mantenidas</v>
      </c>
      <c r="AD533" s="160" t="str">
        <f>CONCATENATE(Z533," ",AC533)</f>
        <v>08-Infraestructura física, mantenimiento y dotación (Sedes construidas, mantenidas reforzadas) 016_Sedes mantenidas</v>
      </c>
      <c r="AE533" s="159" t="str">
        <f>CONCATENATE(U533,V533,W533,X533,AA533)</f>
        <v>O23011745992024020708016</v>
      </c>
      <c r="AF533" s="159" t="str">
        <f>IFERROR(VLOOKUP(AD533,TD!$J$66:$K$89,2,0)," ")</f>
        <v>PM/0131/0108/45990160207</v>
      </c>
      <c r="AG533" s="118" t="s">
        <v>134</v>
      </c>
      <c r="AH533" s="167" t="s">
        <v>194</v>
      </c>
      <c r="AI533" s="161" t="str">
        <f>CONCATENATE(PAA[[#This Row],[Id Interno]],"-",PAA[[#This Row],[tipo de Contrato (TH talento humano - B/S bienes y/o servicios)]],"-",S533,"-",T533,"-",PAA[[#This Row],[Objeto de la contratación]])</f>
        <v xml:space="preserve">20260509-BS-8126-8-Proceso para amparar el Pago de Pasivos exigibles </v>
      </c>
    </row>
    <row r="534" spans="2:35" ht="56" x14ac:dyDescent="0.35">
      <c r="B534" s="23">
        <v>20260510</v>
      </c>
      <c r="C534" s="99" t="s">
        <v>754</v>
      </c>
      <c r="D534" s="23" t="s">
        <v>83</v>
      </c>
      <c r="E534" s="23" t="s">
        <v>402</v>
      </c>
      <c r="F534" s="23" t="s">
        <v>136</v>
      </c>
      <c r="G534" s="129" t="s">
        <v>378</v>
      </c>
      <c r="H534" s="136">
        <v>9</v>
      </c>
      <c r="I534" s="157">
        <v>0</v>
      </c>
      <c r="J534" s="127">
        <v>250000000</v>
      </c>
      <c r="K534" s="88" t="s">
        <v>398</v>
      </c>
      <c r="L534" s="155" t="s">
        <v>155</v>
      </c>
      <c r="M534" s="158" t="s">
        <v>422</v>
      </c>
      <c r="N534" s="23" t="s">
        <v>197</v>
      </c>
      <c r="O534" s="151" t="s">
        <v>957</v>
      </c>
      <c r="P534" s="158" t="s">
        <v>348</v>
      </c>
      <c r="Q534" s="53" t="s">
        <v>791</v>
      </c>
      <c r="R534" s="158" t="s">
        <v>207</v>
      </c>
      <c r="S534" s="158" t="str">
        <f>MID(PAA[[#This Row],[Meta Proyecto de Inversión]],1,4)</f>
        <v>8126</v>
      </c>
      <c r="T534" s="158" t="str">
        <f>MID(PAA[[#This Row],[Meta Proyecto de Inversión]],6,1)</f>
        <v>8</v>
      </c>
      <c r="U534" s="159" t="str">
        <f>IFERROR(VLOOKUP(N534,TD!$B$50:$F$54,2,0)," ")</f>
        <v>O230117</v>
      </c>
      <c r="V534" s="159" t="str">
        <f>IFERROR(VLOOKUP(N534,TD!$B$50:$F$54,3,0)," ")</f>
        <v>4599</v>
      </c>
      <c r="W534" s="159">
        <f>IFERROR(VLOOKUP(N534,TD!$B$50:$F$54,4,0)," ")</f>
        <v>20240207</v>
      </c>
      <c r="X534" s="158" t="s">
        <v>174</v>
      </c>
      <c r="Y534" s="159" t="str">
        <f>IFERROR(VLOOKUP(X534,TD!$J$51:$K$64,2,0)," ")</f>
        <v>Infraestructura física, mantenimiento y dotación (Sedes construidas, mantenidas reforzadas)</v>
      </c>
      <c r="Z534" s="160" t="str">
        <f>CONCATENATE(X534,"-",Y534)</f>
        <v>08-Infraestructura física, mantenimiento y dotación (Sedes construidas, mantenidas reforzadas)</v>
      </c>
      <c r="AA534" s="158" t="s">
        <v>227</v>
      </c>
      <c r="AB534" s="159" t="str">
        <f>IFERROR(VLOOKUP(AA534,TD!$N$51:$O$66,2,0)," ")</f>
        <v>Sedes mantenidas</v>
      </c>
      <c r="AC534" s="160" t="str">
        <f>CONCATENATE(AA534,"_",AB534)</f>
        <v>016_Sedes mantenidas</v>
      </c>
      <c r="AD534" s="160" t="str">
        <f>CONCATENATE(Z534," ",AC534)</f>
        <v>08-Infraestructura física, mantenimiento y dotación (Sedes construidas, mantenidas reforzadas) 016_Sedes mantenidas</v>
      </c>
      <c r="AE534" s="159" t="str">
        <f>CONCATENATE(U534,V534,W534,X534,AA534)</f>
        <v>O23011745992024020708016</v>
      </c>
      <c r="AF534" s="159" t="str">
        <f>IFERROR(VLOOKUP(AD534,TD!$J$66:$K$89,2,0)," ")</f>
        <v>PM/0131/0108/45990160207</v>
      </c>
      <c r="AG534" s="118" t="s">
        <v>80</v>
      </c>
      <c r="AH534" s="167" t="s">
        <v>193</v>
      </c>
      <c r="AI534" s="161" t="str">
        <f>CONCATENATE(PAA[[#This Row],[Id Interno]],"-",PAA[[#This Row],[tipo de Contrato (TH talento humano - B/S bienes y/o servicios)]],"-",S534,"-",T534,"-",PAA[[#This Row],[Objeto de la contratación]])</f>
        <v>20260510-BS-8126-8-Realizar el mantenimiento preventivo, correctivo de puertas automatizadas para las salas de máquinas de las estaciones de la UAE Cuerpo Oficial de Bomberos-SGC</v>
      </c>
    </row>
    <row r="535" spans="2:35" ht="112" x14ac:dyDescent="0.35">
      <c r="B535" s="23">
        <v>20260511</v>
      </c>
      <c r="C535" s="99" t="s">
        <v>755</v>
      </c>
      <c r="D535" s="23" t="s">
        <v>78</v>
      </c>
      <c r="E535" s="23" t="s">
        <v>402</v>
      </c>
      <c r="F535" s="23" t="s">
        <v>97</v>
      </c>
      <c r="G535" s="129" t="s">
        <v>379</v>
      </c>
      <c r="H535" s="136">
        <v>15</v>
      </c>
      <c r="I535" s="157">
        <v>0</v>
      </c>
      <c r="J535" s="127">
        <f>2869187130-3760200</f>
        <v>2865426930</v>
      </c>
      <c r="K535" s="88" t="s">
        <v>398</v>
      </c>
      <c r="L535" s="155" t="s">
        <v>155</v>
      </c>
      <c r="M535" s="158" t="s">
        <v>422</v>
      </c>
      <c r="N535" s="23" t="s">
        <v>198</v>
      </c>
      <c r="O535" s="151" t="s">
        <v>958</v>
      </c>
      <c r="P535" s="158" t="s">
        <v>348</v>
      </c>
      <c r="Q535" s="53" t="s">
        <v>776</v>
      </c>
      <c r="R535" s="158" t="s">
        <v>216</v>
      </c>
      <c r="S535" s="158" t="str">
        <f>MID(PAA[[#This Row],[Meta Proyecto de Inversión]],1,4)</f>
        <v>8173</v>
      </c>
      <c r="T535" s="158" t="str">
        <f>MID(PAA[[#This Row],[Meta Proyecto de Inversión]],6,1)</f>
        <v>7</v>
      </c>
      <c r="U535" s="159" t="str">
        <f>IFERROR(VLOOKUP(N535,TD!$B$50:$F$54,2,0)," ")</f>
        <v>O230117</v>
      </c>
      <c r="V535" s="159" t="str">
        <f>IFERROR(VLOOKUP(N535,TD!$B$50:$F$54,3,0)," ")</f>
        <v>4503</v>
      </c>
      <c r="W535" s="159">
        <f>IFERROR(VLOOKUP(N535,TD!$B$50:$F$54,4,0)," ")</f>
        <v>20240255</v>
      </c>
      <c r="X535" s="158">
        <v>14</v>
      </c>
      <c r="Y535" s="159" t="str">
        <f>IFERROR(VLOOKUP(X535,TD!$J$51:$K$64,2,0)," ")</f>
        <v xml:space="preserve">Infraestructura física misional construida mantenida y dotada </v>
      </c>
      <c r="Z535" s="160" t="str">
        <f>CONCATENATE(X535,"-",Y535)</f>
        <v xml:space="preserve">14-Infraestructura física misional construida mantenida y dotada </v>
      </c>
      <c r="AA535" s="158" t="s">
        <v>225</v>
      </c>
      <c r="AB535" s="159" t="str">
        <f>IFERROR(VLOOKUP(AA535,TD!$N$51:$O$66,2,0)," ")</f>
        <v>Estaciones de bomberos adecuadas</v>
      </c>
      <c r="AC535" s="160" t="str">
        <f>CONCATENATE(AA535,"_",AB535)</f>
        <v>014_Estaciones de bomberos adecuadas</v>
      </c>
      <c r="AD535" s="160" t="str">
        <f>CONCATENATE(Z535," ",AC535)</f>
        <v>14-Infraestructura física misional construida mantenida y dotada  014_Estaciones de bomberos adecuadas</v>
      </c>
      <c r="AE535" s="159" t="str">
        <f>CONCATENATE(U535,V535,W535,X535,AA535)</f>
        <v>O23011745032024025514014</v>
      </c>
      <c r="AF535" s="159" t="str">
        <f>IFERROR(VLOOKUP(AD535,TD!$J$66:$K$89,2,0)," ")</f>
        <v>PM/0131/0114/45030140255</v>
      </c>
      <c r="AG535" s="118" t="s">
        <v>94</v>
      </c>
      <c r="AH535" s="167" t="s">
        <v>193</v>
      </c>
      <c r="AI535" s="161" t="str">
        <f>CONCATENATE(PAA[[#This Row],[Id Interno]],"-",PAA[[#This Row],[tipo de Contrato (TH talento humano - B/S bienes y/o servicios)]],"-",S535,"-",T535,"-",PAA[[#This Row],[Objeto de la contratación]])</f>
        <v>20260511-BS-8173-7-Construcción de la estación  Ferias  B-7  UAE Cuerpo Oficial de Bomberos de Bogotá – SGC</v>
      </c>
    </row>
    <row r="536" spans="2:35" ht="28" x14ac:dyDescent="0.35">
      <c r="B536" s="23">
        <v>20260512</v>
      </c>
      <c r="C536" s="99" t="s">
        <v>755</v>
      </c>
      <c r="D536" s="23" t="s">
        <v>78</v>
      </c>
      <c r="E536" s="23" t="s">
        <v>402</v>
      </c>
      <c r="F536" s="23" t="s">
        <v>97</v>
      </c>
      <c r="G536" s="129" t="s">
        <v>379</v>
      </c>
      <c r="H536" s="136">
        <v>15</v>
      </c>
      <c r="I536" s="157">
        <v>0</v>
      </c>
      <c r="J536" s="127">
        <v>279202000</v>
      </c>
      <c r="K536" s="88" t="s">
        <v>398</v>
      </c>
      <c r="L536" s="155" t="s">
        <v>155</v>
      </c>
      <c r="M536" s="158" t="s">
        <v>422</v>
      </c>
      <c r="N536" s="23" t="s">
        <v>198</v>
      </c>
      <c r="O536" s="151" t="s">
        <v>958</v>
      </c>
      <c r="P536" s="158" t="s">
        <v>571</v>
      </c>
      <c r="Q536" s="53" t="s">
        <v>776</v>
      </c>
      <c r="R536" s="158" t="s">
        <v>216</v>
      </c>
      <c r="S536" s="158" t="str">
        <f>MID(PAA[[#This Row],[Meta Proyecto de Inversión]],1,4)</f>
        <v>8173</v>
      </c>
      <c r="T536" s="158" t="str">
        <f>MID(PAA[[#This Row],[Meta Proyecto de Inversión]],6,1)</f>
        <v>7</v>
      </c>
      <c r="U536" s="159" t="str">
        <f>IFERROR(VLOOKUP(N536,TD!$B$50:$F$54,2,0)," ")</f>
        <v>O230117</v>
      </c>
      <c r="V536" s="159" t="str">
        <f>IFERROR(VLOOKUP(N536,TD!$B$50:$F$54,3,0)," ")</f>
        <v>4503</v>
      </c>
      <c r="W536" s="159">
        <f>IFERROR(VLOOKUP(N536,TD!$B$50:$F$54,4,0)," ")</f>
        <v>20240255</v>
      </c>
      <c r="X536" s="158">
        <v>14</v>
      </c>
      <c r="Y536" s="159" t="str">
        <f>IFERROR(VLOOKUP(X536,TD!$J$51:$K$64,2,0)," ")</f>
        <v xml:space="preserve">Infraestructura física misional construida mantenida y dotada </v>
      </c>
      <c r="Z536" s="160" t="str">
        <f>CONCATENATE(X536,"-",Y536)</f>
        <v xml:space="preserve">14-Infraestructura física misional construida mantenida y dotada </v>
      </c>
      <c r="AA536" s="158" t="s">
        <v>225</v>
      </c>
      <c r="AB536" s="159" t="str">
        <f>IFERROR(VLOOKUP(AA536,TD!$N$51:$O$66,2,0)," ")</f>
        <v>Estaciones de bomberos adecuadas</v>
      </c>
      <c r="AC536" s="160" t="str">
        <f>CONCATENATE(AA536,"_",AB536)</f>
        <v>014_Estaciones de bomberos adecuadas</v>
      </c>
      <c r="AD536" s="160" t="str">
        <f>CONCATENATE(Z536," ",AC536)</f>
        <v>14-Infraestructura física misional construida mantenida y dotada  014_Estaciones de bomberos adecuadas</v>
      </c>
      <c r="AE536" s="159" t="str">
        <f>CONCATENATE(U536,V536,W536,X536,AA536)</f>
        <v>O23011745032024025514014</v>
      </c>
      <c r="AF536" s="159" t="str">
        <f>IFERROR(VLOOKUP(AD536,TD!$J$66:$K$89,2,0)," ")</f>
        <v>PM/0131/0114/45030140255</v>
      </c>
      <c r="AG536" s="118" t="s">
        <v>94</v>
      </c>
      <c r="AH536" s="158" t="s">
        <v>193</v>
      </c>
      <c r="AI536" s="161" t="str">
        <f>CONCATENATE(PAA[[#This Row],[Id Interno]],"-",PAA[[#This Row],[tipo de Contrato (TH talento humano - B/S bienes y/o servicios)]],"-",S536,"-",T536,"-",PAA[[#This Row],[Objeto de la contratación]])</f>
        <v>20260512-BS-8173-7-Construcción de la estación  Ferias  B-7  UAE Cuerpo Oficial de Bomberos de Bogotá – SGC</v>
      </c>
    </row>
    <row r="537" spans="2:35" ht="42" x14ac:dyDescent="0.35">
      <c r="B537" s="23">
        <v>20260513</v>
      </c>
      <c r="C537" s="99" t="s">
        <v>756</v>
      </c>
      <c r="D537" s="23" t="s">
        <v>100</v>
      </c>
      <c r="E537" s="23" t="s">
        <v>402</v>
      </c>
      <c r="F537" s="23" t="s">
        <v>131</v>
      </c>
      <c r="G537" s="129" t="s">
        <v>379</v>
      </c>
      <c r="H537" s="136">
        <v>15</v>
      </c>
      <c r="I537" s="157">
        <v>0</v>
      </c>
      <c r="J537" s="127">
        <v>303000000</v>
      </c>
      <c r="K537" s="88" t="s">
        <v>398</v>
      </c>
      <c r="L537" s="155" t="s">
        <v>155</v>
      </c>
      <c r="M537" s="158" t="s">
        <v>422</v>
      </c>
      <c r="N537" s="23" t="s">
        <v>198</v>
      </c>
      <c r="O537" s="151" t="s">
        <v>958</v>
      </c>
      <c r="P537" s="158" t="s">
        <v>571</v>
      </c>
      <c r="Q537" s="53" t="s">
        <v>777</v>
      </c>
      <c r="R537" s="158" t="s">
        <v>216</v>
      </c>
      <c r="S537" s="158" t="str">
        <f>MID(PAA[[#This Row],[Meta Proyecto de Inversión]],1,4)</f>
        <v>8173</v>
      </c>
      <c r="T537" s="158" t="str">
        <f>MID(PAA[[#This Row],[Meta Proyecto de Inversión]],6,1)</f>
        <v>7</v>
      </c>
      <c r="U537" s="159" t="str">
        <f>IFERROR(VLOOKUP(N537,TD!$B$50:$F$54,2,0)," ")</f>
        <v>O230117</v>
      </c>
      <c r="V537" s="159" t="str">
        <f>IFERROR(VLOOKUP(N537,TD!$B$50:$F$54,3,0)," ")</f>
        <v>4503</v>
      </c>
      <c r="W537" s="159">
        <f>IFERROR(VLOOKUP(N537,TD!$B$50:$F$54,4,0)," ")</f>
        <v>20240255</v>
      </c>
      <c r="X537" s="158">
        <v>14</v>
      </c>
      <c r="Y537" s="159" t="str">
        <f>IFERROR(VLOOKUP(X537,TD!$J$51:$K$64,2,0)," ")</f>
        <v xml:space="preserve">Infraestructura física misional construida mantenida y dotada </v>
      </c>
      <c r="Z537" s="160" t="str">
        <f>CONCATENATE(X537,"-",Y537)</f>
        <v xml:space="preserve">14-Infraestructura física misional construida mantenida y dotada </v>
      </c>
      <c r="AA537" s="158" t="s">
        <v>225</v>
      </c>
      <c r="AB537" s="159" t="str">
        <f>IFERROR(VLOOKUP(AA537,TD!$N$51:$O$66,2,0)," ")</f>
        <v>Estaciones de bomberos adecuadas</v>
      </c>
      <c r="AC537" s="160" t="str">
        <f>CONCATENATE(AA537,"_",AB537)</f>
        <v>014_Estaciones de bomberos adecuadas</v>
      </c>
      <c r="AD537" s="160" t="str">
        <f>CONCATENATE(Z537," ",AC537)</f>
        <v>14-Infraestructura física misional construida mantenida y dotada  014_Estaciones de bomberos adecuadas</v>
      </c>
      <c r="AE537" s="159" t="str">
        <f>CONCATENATE(U537,V537,W537,X537,AA537)</f>
        <v>O23011745032024025514014</v>
      </c>
      <c r="AF537" s="159" t="str">
        <f>IFERROR(VLOOKUP(AD537,TD!$J$66:$K$89,2,0)," ")</f>
        <v>PM/0131/0114/45030140255</v>
      </c>
      <c r="AG537" s="118" t="s">
        <v>94</v>
      </c>
      <c r="AH537" s="167" t="s">
        <v>193</v>
      </c>
      <c r="AI537" s="161" t="str">
        <f>CONCATENATE(PAA[[#This Row],[Id Interno]],"-",PAA[[#This Row],[tipo de Contrato (TH talento humano - B/S bienes y/o servicios)]],"-",S537,"-",T537,"-",PAA[[#This Row],[Objeto de la contratación]])</f>
        <v>20260513-BS-8173-7-Interventoría técnica, administrativa, financiera, contable, jurídica y ambiental para la construcción de la estación de bomberos Ferias B7 UAE Cuerpo Oficial de Bomberos de Bogotá – SGC</v>
      </c>
    </row>
    <row r="538" spans="2:35" ht="42" x14ac:dyDescent="0.35">
      <c r="B538" s="99">
        <v>20260514</v>
      </c>
      <c r="C538" s="99" t="s">
        <v>965</v>
      </c>
      <c r="D538" s="99" t="s">
        <v>78</v>
      </c>
      <c r="E538" s="99" t="s">
        <v>402</v>
      </c>
      <c r="F538" s="99" t="s">
        <v>97</v>
      </c>
      <c r="G538" s="129" t="s">
        <v>379</v>
      </c>
      <c r="H538" s="153">
        <v>10</v>
      </c>
      <c r="I538" s="163">
        <v>0</v>
      </c>
      <c r="J538" s="118">
        <v>900000000</v>
      </c>
      <c r="K538" s="126" t="s">
        <v>398</v>
      </c>
      <c r="L538" s="156" t="s">
        <v>155</v>
      </c>
      <c r="M538" s="162" t="s">
        <v>422</v>
      </c>
      <c r="N538" s="99" t="s">
        <v>198</v>
      </c>
      <c r="O538" s="151" t="s">
        <v>958</v>
      </c>
      <c r="P538" s="162" t="s">
        <v>571</v>
      </c>
      <c r="Q538" s="128" t="s">
        <v>776</v>
      </c>
      <c r="R538" s="162" t="s">
        <v>217</v>
      </c>
      <c r="S538" s="158" t="str">
        <f>MID(PAA[[#This Row],[Meta Proyecto de Inversión]],1,4)</f>
        <v>8173</v>
      </c>
      <c r="T538" s="158" t="str">
        <f>MID(PAA[[#This Row],[Meta Proyecto de Inversión]],6,1)</f>
        <v>8</v>
      </c>
      <c r="U538" s="164" t="str">
        <f>IFERROR(VLOOKUP(N538,TD!$B$50:$F$54,2,0)," ")</f>
        <v>O230117</v>
      </c>
      <c r="V538" s="164" t="str">
        <f>IFERROR(VLOOKUP(N538,TD!$B$50:$F$54,3,0)," ")</f>
        <v>4503</v>
      </c>
      <c r="W538" s="164">
        <f>IFERROR(VLOOKUP(N538,TD!$B$50:$F$54,4,0)," ")</f>
        <v>20240255</v>
      </c>
      <c r="X538" s="162">
        <v>14</v>
      </c>
      <c r="Y538" s="164" t="str">
        <f>IFERROR(VLOOKUP(X538,TD!$J$51:$K$64,2,0)," ")</f>
        <v xml:space="preserve">Infraestructura física misional construida mantenida y dotada </v>
      </c>
      <c r="Z538" s="160" t="str">
        <f>CONCATENATE(X538,"-",Y538)</f>
        <v xml:space="preserve">14-Infraestructura física misional construida mantenida y dotada </v>
      </c>
      <c r="AA538" s="162" t="s">
        <v>226</v>
      </c>
      <c r="AB538" s="164" t="str">
        <f>IFERROR(VLOOKUP(AA538,TD!$N$51:$O$66,2,0)," ")</f>
        <v>Estaciones de bomberos construidas</v>
      </c>
      <c r="AC538" s="160" t="str">
        <f>CONCATENATE(AA538,"_",AB538)</f>
        <v>015_Estaciones de bomberos construidas</v>
      </c>
      <c r="AD538" s="160" t="str">
        <f>CONCATENATE(Z538," ",AC538)</f>
        <v>14-Infraestructura física misional construida mantenida y dotada  015_Estaciones de bomberos construidas</v>
      </c>
      <c r="AE538" s="164" t="str">
        <f>CONCATENATE(U538,V538,W538,X538,AA538)</f>
        <v>O23011745032024025514015</v>
      </c>
      <c r="AF538" s="164" t="str">
        <f>IFERROR(VLOOKUP(AD538,TD!$J$66:$K$89,2,0)," ")</f>
        <v>PM/0131/0114/45030150255</v>
      </c>
      <c r="AG538" s="118" t="s">
        <v>94</v>
      </c>
      <c r="AH538" s="162" t="s">
        <v>193</v>
      </c>
      <c r="AI538" s="165" t="str">
        <f>CONCATENATE(PAA[[#This Row],[Id Interno]],"-",PAA[[#This Row],[tipo de Contrato (TH talento humano - B/S bienes y/o servicios)]],"-",S538,"-",T538,"-",PAA[[#This Row],[Objeto de la contratación]])</f>
        <v>20260514-BS-8173-8-Adecuación de la estación Nueva Estación de la UAE Cuerpo Oficial de Bomberos de Bogotá – SGC</v>
      </c>
    </row>
    <row r="539" spans="2:35" ht="56" x14ac:dyDescent="0.35">
      <c r="B539" s="99">
        <v>20260515</v>
      </c>
      <c r="C539" s="99" t="s">
        <v>966</v>
      </c>
      <c r="D539" s="99" t="s">
        <v>100</v>
      </c>
      <c r="E539" s="99" t="s">
        <v>402</v>
      </c>
      <c r="F539" s="99" t="s">
        <v>131</v>
      </c>
      <c r="G539" s="129" t="s">
        <v>379</v>
      </c>
      <c r="H539" s="153">
        <v>10</v>
      </c>
      <c r="I539" s="163">
        <v>0</v>
      </c>
      <c r="J539" s="118">
        <v>225000000</v>
      </c>
      <c r="K539" s="126" t="s">
        <v>398</v>
      </c>
      <c r="L539" s="156" t="s">
        <v>155</v>
      </c>
      <c r="M539" s="162" t="s">
        <v>422</v>
      </c>
      <c r="N539" s="99" t="s">
        <v>198</v>
      </c>
      <c r="O539" s="151" t="s">
        <v>958</v>
      </c>
      <c r="P539" s="162" t="s">
        <v>571</v>
      </c>
      <c r="Q539" s="128" t="s">
        <v>777</v>
      </c>
      <c r="R539" s="162" t="s">
        <v>217</v>
      </c>
      <c r="S539" s="158" t="str">
        <f>MID(PAA[[#This Row],[Meta Proyecto de Inversión]],1,4)</f>
        <v>8173</v>
      </c>
      <c r="T539" s="158" t="str">
        <f>MID(PAA[[#This Row],[Meta Proyecto de Inversión]],6,1)</f>
        <v>8</v>
      </c>
      <c r="U539" s="164" t="str">
        <f>IFERROR(VLOOKUP(N539,TD!$B$50:$F$54,2,0)," ")</f>
        <v>O230117</v>
      </c>
      <c r="V539" s="164" t="str">
        <f>IFERROR(VLOOKUP(N539,TD!$B$50:$F$54,3,0)," ")</f>
        <v>4503</v>
      </c>
      <c r="W539" s="164">
        <f>IFERROR(VLOOKUP(N539,TD!$B$50:$F$54,4,0)," ")</f>
        <v>20240255</v>
      </c>
      <c r="X539" s="162">
        <v>14</v>
      </c>
      <c r="Y539" s="164" t="str">
        <f>IFERROR(VLOOKUP(X539,TD!$J$51:$K$64,2,0)," ")</f>
        <v xml:space="preserve">Infraestructura física misional construida mantenida y dotada </v>
      </c>
      <c r="Z539" s="160" t="str">
        <f>CONCATENATE(X539,"-",Y539)</f>
        <v xml:space="preserve">14-Infraestructura física misional construida mantenida y dotada </v>
      </c>
      <c r="AA539" s="162" t="s">
        <v>226</v>
      </c>
      <c r="AB539" s="164" t="str">
        <f>IFERROR(VLOOKUP(AA539,TD!$N$51:$O$66,2,0)," ")</f>
        <v>Estaciones de bomberos construidas</v>
      </c>
      <c r="AC539" s="160" t="str">
        <f>CONCATENATE(AA539,"_",AB539)</f>
        <v>015_Estaciones de bomberos construidas</v>
      </c>
      <c r="AD539" s="160" t="str">
        <f>CONCATENATE(Z539," ",AC539)</f>
        <v>14-Infraestructura física misional construida mantenida y dotada  015_Estaciones de bomberos construidas</v>
      </c>
      <c r="AE539" s="164" t="str">
        <f>CONCATENATE(U539,V539,W539,X539,AA539)</f>
        <v>O23011745032024025514015</v>
      </c>
      <c r="AF539" s="164" t="str">
        <f>IFERROR(VLOOKUP(AD539,TD!$J$66:$K$89,2,0)," ")</f>
        <v>PM/0131/0114/45030150255</v>
      </c>
      <c r="AG539" s="118" t="s">
        <v>94</v>
      </c>
      <c r="AH539" s="174" t="s">
        <v>193</v>
      </c>
      <c r="AI539" s="165" t="str">
        <f>CONCATENATE(PAA[[#This Row],[Id Interno]],"-",PAA[[#This Row],[tipo de Contrato (TH talento humano - B/S bienes y/o servicios)]],"-",S539,"-",T539,"-",PAA[[#This Row],[Objeto de la contratación]])</f>
        <v>20260515-BS-8173-8-Interventoría técnica, administrativa, financiera, contable, jurídica y ambiental para la Adecuación de la Nueva Estación de bomberos de la UAE Cuerpo Oficial de Bomberos de Bogotá – SGC</v>
      </c>
    </row>
    <row r="540" spans="2:35" ht="28" x14ac:dyDescent="0.35">
      <c r="B540" s="99">
        <v>20260516</v>
      </c>
      <c r="C540" s="99" t="s">
        <v>967</v>
      </c>
      <c r="D540" s="99" t="s">
        <v>78</v>
      </c>
      <c r="E540" s="99" t="s">
        <v>402</v>
      </c>
      <c r="F540" s="99" t="s">
        <v>97</v>
      </c>
      <c r="G540" s="129" t="s">
        <v>379</v>
      </c>
      <c r="H540" s="153">
        <v>15</v>
      </c>
      <c r="I540" s="163">
        <v>0</v>
      </c>
      <c r="J540" s="118">
        <v>900000000</v>
      </c>
      <c r="K540" s="126" t="s">
        <v>398</v>
      </c>
      <c r="L540" s="156" t="s">
        <v>155</v>
      </c>
      <c r="M540" s="162" t="s">
        <v>422</v>
      </c>
      <c r="N540" s="99" t="s">
        <v>198</v>
      </c>
      <c r="O540" s="151" t="s">
        <v>958</v>
      </c>
      <c r="P540" s="162" t="s">
        <v>571</v>
      </c>
      <c r="Q540" s="128" t="s">
        <v>776</v>
      </c>
      <c r="R540" s="162" t="s">
        <v>216</v>
      </c>
      <c r="S540" s="158" t="str">
        <f>MID(PAA[[#This Row],[Meta Proyecto de Inversión]],1,4)</f>
        <v>8173</v>
      </c>
      <c r="T540" s="158" t="str">
        <f>MID(PAA[[#This Row],[Meta Proyecto de Inversión]],6,1)</f>
        <v>7</v>
      </c>
      <c r="U540" s="164" t="str">
        <f>IFERROR(VLOOKUP(N540,TD!$B$50:$F$54,2,0)," ")</f>
        <v>O230117</v>
      </c>
      <c r="V540" s="164" t="str">
        <f>IFERROR(VLOOKUP(N540,TD!$B$50:$F$54,3,0)," ")</f>
        <v>4503</v>
      </c>
      <c r="W540" s="164">
        <f>IFERROR(VLOOKUP(N540,TD!$B$50:$F$54,4,0)," ")</f>
        <v>20240255</v>
      </c>
      <c r="X540" s="162">
        <v>14</v>
      </c>
      <c r="Y540" s="164" t="str">
        <f>IFERROR(VLOOKUP(X540,TD!$J$51:$K$64,2,0)," ")</f>
        <v xml:space="preserve">Infraestructura física misional construida mantenida y dotada </v>
      </c>
      <c r="Z540" s="160" t="str">
        <f>CONCATENATE(X540,"-",Y540)</f>
        <v xml:space="preserve">14-Infraestructura física misional construida mantenida y dotada </v>
      </c>
      <c r="AA540" s="162" t="s">
        <v>225</v>
      </c>
      <c r="AB540" s="164" t="str">
        <f>IFERROR(VLOOKUP(AA540,TD!$N$51:$O$66,2,0)," ")</f>
        <v>Estaciones de bomberos adecuadas</v>
      </c>
      <c r="AC540" s="160" t="str">
        <f>CONCATENATE(AA540,"_",AB540)</f>
        <v>014_Estaciones de bomberos adecuadas</v>
      </c>
      <c r="AD540" s="160" t="str">
        <f>CONCATENATE(Z540," ",AC540)</f>
        <v>14-Infraestructura física misional construida mantenida y dotada  014_Estaciones de bomberos adecuadas</v>
      </c>
      <c r="AE540" s="164" t="str">
        <f>CONCATENATE(U540,V540,W540,X540,AA540)</f>
        <v>O23011745032024025514014</v>
      </c>
      <c r="AF540" s="164" t="str">
        <f>IFERROR(VLOOKUP(AD540,TD!$J$66:$K$89,2,0)," ")</f>
        <v>PM/0131/0114/45030140255</v>
      </c>
      <c r="AG540" s="118" t="s">
        <v>94</v>
      </c>
      <c r="AH540" s="162" t="s">
        <v>193</v>
      </c>
      <c r="AI540" s="165" t="str">
        <f>CONCATENATE(PAA[[#This Row],[Id Interno]],"-",PAA[[#This Row],[tipo de Contrato (TH talento humano - B/S bienes y/o servicios)]],"-",S540,"-",T540,"-",PAA[[#This Row],[Objeto de la contratación]])</f>
        <v>20260516-BS-8173-7-Adecuación de la estación de Bomberos Chapinero B1- de la UAE Cuerpo Oficial de Bomberos de Bogotá – SGC</v>
      </c>
    </row>
    <row r="541" spans="2:35" ht="56" x14ac:dyDescent="0.35">
      <c r="B541" s="99">
        <v>20260517</v>
      </c>
      <c r="C541" s="99" t="s">
        <v>968</v>
      </c>
      <c r="D541" s="99" t="s">
        <v>100</v>
      </c>
      <c r="E541" s="99" t="s">
        <v>402</v>
      </c>
      <c r="F541" s="99" t="s">
        <v>131</v>
      </c>
      <c r="G541" s="129" t="s">
        <v>379</v>
      </c>
      <c r="H541" s="153">
        <v>15</v>
      </c>
      <c r="I541" s="163">
        <v>0</v>
      </c>
      <c r="J541" s="118">
        <v>225000000</v>
      </c>
      <c r="K541" s="126" t="s">
        <v>398</v>
      </c>
      <c r="L541" s="156" t="s">
        <v>155</v>
      </c>
      <c r="M541" s="162" t="s">
        <v>422</v>
      </c>
      <c r="N541" s="99" t="s">
        <v>198</v>
      </c>
      <c r="O541" s="151" t="s">
        <v>958</v>
      </c>
      <c r="P541" s="162" t="s">
        <v>571</v>
      </c>
      <c r="Q541" s="128" t="s">
        <v>777</v>
      </c>
      <c r="R541" s="162" t="s">
        <v>216</v>
      </c>
      <c r="S541" s="158" t="str">
        <f>MID(PAA[[#This Row],[Meta Proyecto de Inversión]],1,4)</f>
        <v>8173</v>
      </c>
      <c r="T541" s="158" t="str">
        <f>MID(PAA[[#This Row],[Meta Proyecto de Inversión]],6,1)</f>
        <v>7</v>
      </c>
      <c r="U541" s="164" t="str">
        <f>IFERROR(VLOOKUP(N541,TD!$B$50:$F$54,2,0)," ")</f>
        <v>O230117</v>
      </c>
      <c r="V541" s="164" t="str">
        <f>IFERROR(VLOOKUP(N541,TD!$B$50:$F$54,3,0)," ")</f>
        <v>4503</v>
      </c>
      <c r="W541" s="164">
        <f>IFERROR(VLOOKUP(N541,TD!$B$50:$F$54,4,0)," ")</f>
        <v>20240255</v>
      </c>
      <c r="X541" s="162">
        <v>14</v>
      </c>
      <c r="Y541" s="164" t="str">
        <f>IFERROR(VLOOKUP(X541,TD!$J$51:$K$64,2,0)," ")</f>
        <v xml:space="preserve">Infraestructura física misional construida mantenida y dotada </v>
      </c>
      <c r="Z541" s="160" t="str">
        <f>CONCATENATE(X541,"-",Y541)</f>
        <v xml:space="preserve">14-Infraestructura física misional construida mantenida y dotada </v>
      </c>
      <c r="AA541" s="162" t="s">
        <v>225</v>
      </c>
      <c r="AB541" s="164" t="str">
        <f>IFERROR(VLOOKUP(AA541,TD!$N$51:$O$66,2,0)," ")</f>
        <v>Estaciones de bomberos adecuadas</v>
      </c>
      <c r="AC541" s="160" t="str">
        <f>CONCATENATE(AA541,"_",AB541)</f>
        <v>014_Estaciones de bomberos adecuadas</v>
      </c>
      <c r="AD541" s="160" t="str">
        <f>CONCATENATE(Z541," ",AC541)</f>
        <v>14-Infraestructura física misional construida mantenida y dotada  014_Estaciones de bomberos adecuadas</v>
      </c>
      <c r="AE541" s="164" t="str">
        <f>CONCATENATE(U541,V541,W541,X541,AA541)</f>
        <v>O23011745032024025514014</v>
      </c>
      <c r="AF541" s="164" t="str">
        <f>IFERROR(VLOOKUP(AD541,TD!$J$66:$K$89,2,0)," ")</f>
        <v>PM/0131/0114/45030140255</v>
      </c>
      <c r="AG541" s="118" t="s">
        <v>94</v>
      </c>
      <c r="AH541" s="174" t="s">
        <v>193</v>
      </c>
      <c r="AI541" s="165" t="str">
        <f>CONCATENATE(PAA[[#This Row],[Id Interno]],"-",PAA[[#This Row],[tipo de Contrato (TH talento humano - B/S bienes y/o servicios)]],"-",S541,"-",T541,"-",PAA[[#This Row],[Objeto de la contratación]])</f>
        <v>20260517-BS-8173-7-Interventoría técnica, administrativa, financiera, contable, jurídica y ambiental para la Adecuación de la estación de Bomberos Chapinero B1- de la UAE Cuerpo Oficial de Bomberos de Bogotá – SGC</v>
      </c>
    </row>
    <row r="542" spans="2:35" ht="42" x14ac:dyDescent="0.35">
      <c r="B542" s="23">
        <v>20260518</v>
      </c>
      <c r="C542" s="99" t="s">
        <v>757</v>
      </c>
      <c r="D542" s="23" t="s">
        <v>83</v>
      </c>
      <c r="E542" s="23" t="s">
        <v>402</v>
      </c>
      <c r="F542" s="23" t="s">
        <v>89</v>
      </c>
      <c r="G542" s="129" t="s">
        <v>376</v>
      </c>
      <c r="H542" s="136">
        <v>11</v>
      </c>
      <c r="I542" s="157">
        <v>0</v>
      </c>
      <c r="J542" s="127">
        <v>297000000</v>
      </c>
      <c r="K542" s="88" t="s">
        <v>398</v>
      </c>
      <c r="L542" s="155" t="s">
        <v>155</v>
      </c>
      <c r="M542" s="158" t="s">
        <v>422</v>
      </c>
      <c r="N542" s="23" t="s">
        <v>330</v>
      </c>
      <c r="O542" s="151" t="s">
        <v>957</v>
      </c>
      <c r="P542" s="158" t="s">
        <v>161</v>
      </c>
      <c r="Q542" s="53" t="s">
        <v>792</v>
      </c>
      <c r="R542" s="158" t="s">
        <v>331</v>
      </c>
      <c r="S542" s="158" t="str">
        <f>MID(PAA[[#This Row],[Meta Proyecto de Inversión]],1,4)</f>
        <v>No a</v>
      </c>
      <c r="T542" s="158" t="str">
        <f>MID(PAA[[#This Row],[Meta Proyecto de Inversión]],6,1)</f>
        <v>l</v>
      </c>
      <c r="U542" s="159" t="str">
        <f>IFERROR(VLOOKUP(N542,TD!$B$50:$F$54,2,0)," ")</f>
        <v>NA</v>
      </c>
      <c r="V542" s="159" t="str">
        <f>IFERROR(VLOOKUP(N542,TD!$B$50:$F$54,3,0)," ")</f>
        <v>NA</v>
      </c>
      <c r="W542" s="159" t="str">
        <f>IFERROR(VLOOKUP(N542,TD!$B$50:$F$54,4,0)," ")</f>
        <v>NA</v>
      </c>
      <c r="X542" s="158" t="s">
        <v>335</v>
      </c>
      <c r="Y542" s="159" t="str">
        <f>IFERROR(VLOOKUP(X542,TD!$J$51:$K$64,2,0)," ")</f>
        <v>N/A</v>
      </c>
      <c r="Z542" s="160" t="str">
        <f>CONCATENATE(X542,"-",Y542)</f>
        <v>N/A-N/A</v>
      </c>
      <c r="AA542" s="158" t="s">
        <v>335</v>
      </c>
      <c r="AB542" s="159" t="str">
        <f>IFERROR(VLOOKUP(AA542,TD!$N$51:$O$66,2,0)," ")</f>
        <v>N/A</v>
      </c>
      <c r="AC542" s="160" t="str">
        <f>CONCATENATE(AA542,"_",AB542)</f>
        <v>N/A_N/A</v>
      </c>
      <c r="AD542" s="160" t="str">
        <f>CONCATENATE(Z542," ",AC542)</f>
        <v>N/A-N/A N/A_N/A</v>
      </c>
      <c r="AE542" s="159" t="str">
        <f>CONCATENATE(U542,V542,W542,X542,AA542)</f>
        <v>NANANAN/AN/A</v>
      </c>
      <c r="AF542" s="159" t="str">
        <f>IFERROR(VLOOKUP(AD542,TD!$J$66:$K$89,2,0)," ")</f>
        <v>N/A</v>
      </c>
      <c r="AG542" s="118" t="s">
        <v>332</v>
      </c>
      <c r="AH542" s="167" t="s">
        <v>193</v>
      </c>
      <c r="AI542" s="161" t="str">
        <f>CONCATENATE(PAA[[#This Row],[Id Interno]],"-",PAA[[#This Row],[tipo de Contrato (TH talento humano - B/S bienes y/o servicios)]],"-",S542,"-",T542,"-",PAA[[#This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543" spans="2:35" ht="56" x14ac:dyDescent="0.35">
      <c r="B543" s="23">
        <v>20260520</v>
      </c>
      <c r="C543" s="99" t="s">
        <v>759</v>
      </c>
      <c r="D543" s="23" t="s">
        <v>92</v>
      </c>
      <c r="E543" s="23" t="s">
        <v>402</v>
      </c>
      <c r="F543" s="23" t="s">
        <v>146</v>
      </c>
      <c r="G543" s="129" t="s">
        <v>376</v>
      </c>
      <c r="H543" s="136">
        <v>10</v>
      </c>
      <c r="I543" s="157">
        <v>0</v>
      </c>
      <c r="J543" s="127">
        <v>24000000</v>
      </c>
      <c r="K543" s="88" t="s">
        <v>398</v>
      </c>
      <c r="L543" s="155" t="s">
        <v>155</v>
      </c>
      <c r="M543" s="158" t="s">
        <v>422</v>
      </c>
      <c r="N543" s="23" t="s">
        <v>330</v>
      </c>
      <c r="O543" s="151" t="s">
        <v>957</v>
      </c>
      <c r="P543" s="158" t="s">
        <v>161</v>
      </c>
      <c r="Q543" s="53" t="s">
        <v>794</v>
      </c>
      <c r="R543" s="158" t="s">
        <v>331</v>
      </c>
      <c r="S543" s="158" t="str">
        <f>MID(PAA[[#This Row],[Meta Proyecto de Inversión]],1,4)</f>
        <v>No a</v>
      </c>
      <c r="T543" s="158" t="str">
        <f>MID(PAA[[#This Row],[Meta Proyecto de Inversión]],6,1)</f>
        <v>l</v>
      </c>
      <c r="U543" s="159" t="str">
        <f>IFERROR(VLOOKUP(N543,TD!$B$50:$F$54,2,0)," ")</f>
        <v>NA</v>
      </c>
      <c r="V543" s="159" t="str">
        <f>IFERROR(VLOOKUP(N543,TD!$B$50:$F$54,3,0)," ")</f>
        <v>NA</v>
      </c>
      <c r="W543" s="159" t="str">
        <f>IFERROR(VLOOKUP(N543,TD!$B$50:$F$54,4,0)," ")</f>
        <v>NA</v>
      </c>
      <c r="X543" s="158" t="s">
        <v>335</v>
      </c>
      <c r="Y543" s="159" t="str">
        <f>IFERROR(VLOOKUP(X543,TD!$J$51:$K$64,2,0)," ")</f>
        <v>N/A</v>
      </c>
      <c r="Z543" s="160" t="str">
        <f>CONCATENATE(X543,"-",Y543)</f>
        <v>N/A-N/A</v>
      </c>
      <c r="AA543" s="158" t="s">
        <v>335</v>
      </c>
      <c r="AB543" s="159" t="str">
        <f>IFERROR(VLOOKUP(AA543,TD!$N$51:$O$66,2,0)," ")</f>
        <v>N/A</v>
      </c>
      <c r="AC543" s="160" t="str">
        <f>CONCATENATE(AA543,"_",AB543)</f>
        <v>N/A_N/A</v>
      </c>
      <c r="AD543" s="160" t="str">
        <f>CONCATENATE(Z543," ",AC543)</f>
        <v>N/A-N/A N/A_N/A</v>
      </c>
      <c r="AE543" s="159" t="str">
        <f>CONCATENATE(U543,V543,W543,X543,AA543)</f>
        <v>NANANAN/AN/A</v>
      </c>
      <c r="AF543" s="159" t="str">
        <f>IFERROR(VLOOKUP(AD543,TD!$J$66:$K$89,2,0)," ")</f>
        <v>N/A</v>
      </c>
      <c r="AG543" s="118" t="s">
        <v>332</v>
      </c>
      <c r="AH543" s="167" t="s">
        <v>193</v>
      </c>
      <c r="AI543" s="161" t="str">
        <f>CONCATENATE(PAA[[#This Row],[Id Interno]],"-",PAA[[#This Row],[tipo de Contrato (TH talento humano - B/S bienes y/o servicios)]],"-",S543,"-",T543,"-",PAA[[#This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44" spans="2:35" ht="140" x14ac:dyDescent="0.35">
      <c r="B544" s="23">
        <v>20260525</v>
      </c>
      <c r="C544" s="99" t="s">
        <v>762</v>
      </c>
      <c r="D544" s="23" t="s">
        <v>88</v>
      </c>
      <c r="E544" s="23" t="s">
        <v>402</v>
      </c>
      <c r="F544" s="23" t="s">
        <v>111</v>
      </c>
      <c r="G544" s="129" t="s">
        <v>376</v>
      </c>
      <c r="H544" s="136">
        <v>8</v>
      </c>
      <c r="I544" s="157">
        <v>0</v>
      </c>
      <c r="J544" s="127">
        <v>85000000</v>
      </c>
      <c r="K544" s="88" t="s">
        <v>398</v>
      </c>
      <c r="L544" s="155" t="s">
        <v>155</v>
      </c>
      <c r="M544" s="158" t="s">
        <v>422</v>
      </c>
      <c r="N544" s="23" t="s">
        <v>330</v>
      </c>
      <c r="O544" s="151" t="s">
        <v>957</v>
      </c>
      <c r="P544" s="158" t="s">
        <v>161</v>
      </c>
      <c r="Q544" s="53" t="s">
        <v>796</v>
      </c>
      <c r="R544" s="158" t="s">
        <v>331</v>
      </c>
      <c r="S544" s="158" t="str">
        <f>MID(PAA[[#This Row],[Meta Proyecto de Inversión]],1,4)</f>
        <v>No a</v>
      </c>
      <c r="T544" s="158" t="str">
        <f>MID(PAA[[#This Row],[Meta Proyecto de Inversión]],6,1)</f>
        <v>l</v>
      </c>
      <c r="U544" s="159" t="str">
        <f>IFERROR(VLOOKUP(N544,TD!$B$50:$F$54,2,0)," ")</f>
        <v>NA</v>
      </c>
      <c r="V544" s="159" t="str">
        <f>IFERROR(VLOOKUP(N544,TD!$B$50:$F$54,3,0)," ")</f>
        <v>NA</v>
      </c>
      <c r="W544" s="159" t="str">
        <f>IFERROR(VLOOKUP(N544,TD!$B$50:$F$54,4,0)," ")</f>
        <v>NA</v>
      </c>
      <c r="X544" s="158" t="s">
        <v>335</v>
      </c>
      <c r="Y544" s="159" t="str">
        <f>IFERROR(VLOOKUP(X544,TD!$J$51:$K$64,2,0)," ")</f>
        <v>N/A</v>
      </c>
      <c r="Z544" s="160" t="str">
        <f>CONCATENATE(X544,"-",Y544)</f>
        <v>N/A-N/A</v>
      </c>
      <c r="AA544" s="158" t="s">
        <v>335</v>
      </c>
      <c r="AB544" s="159" t="str">
        <f>IFERROR(VLOOKUP(AA544,TD!$N$51:$O$66,2,0)," ")</f>
        <v>N/A</v>
      </c>
      <c r="AC544" s="160" t="str">
        <f>CONCATENATE(AA544,"_",AB544)</f>
        <v>N/A_N/A</v>
      </c>
      <c r="AD544" s="160" t="str">
        <f>CONCATENATE(Z544," ",AC544)</f>
        <v>N/A-N/A N/A_N/A</v>
      </c>
      <c r="AE544" s="159" t="str">
        <f>CONCATENATE(U544,V544,W544,X544,AA544)</f>
        <v>NANANAN/AN/A</v>
      </c>
      <c r="AF544" s="159" t="str">
        <f>IFERROR(VLOOKUP(AD544,TD!$J$66:$K$89,2,0)," ")</f>
        <v>N/A</v>
      </c>
      <c r="AG544" s="118" t="s">
        <v>332</v>
      </c>
      <c r="AH544" s="167" t="s">
        <v>193</v>
      </c>
      <c r="AI544" s="161" t="str">
        <f>CONCATENATE(PAA[[#This Row],[Id Interno]],"-",PAA[[#This Row],[tipo de Contrato (TH talento humano - B/S bienes y/o servicios)]],"-",S544,"-",T544,"-",PAA[[#This Row],[Objeto de la contratación]])</f>
        <v>20260525-BS-No a-l-Suministro  de implementos  de  papelería y oficina para las dependencias  para la Unidad Administrativa Especial Cuerpo Oficial de Bomberos Bogotá -SGC</v>
      </c>
    </row>
    <row r="545" spans="2:35" ht="70" x14ac:dyDescent="0.35">
      <c r="B545" s="23">
        <v>20260526</v>
      </c>
      <c r="C545" s="121" t="s">
        <v>763</v>
      </c>
      <c r="D545" s="130" t="s">
        <v>88</v>
      </c>
      <c r="E545" s="23" t="s">
        <v>402</v>
      </c>
      <c r="F545" s="130" t="s">
        <v>111</v>
      </c>
      <c r="G545" s="131" t="s">
        <v>376</v>
      </c>
      <c r="H545" s="137">
        <v>8</v>
      </c>
      <c r="I545" s="157">
        <v>0</v>
      </c>
      <c r="J545" s="132">
        <v>205000000</v>
      </c>
      <c r="K545" s="133" t="s">
        <v>398</v>
      </c>
      <c r="L545" s="172" t="s">
        <v>155</v>
      </c>
      <c r="M545" s="170" t="s">
        <v>422</v>
      </c>
      <c r="N545" s="130" t="s">
        <v>330</v>
      </c>
      <c r="O545" s="151" t="s">
        <v>957</v>
      </c>
      <c r="P545" s="170" t="s">
        <v>161</v>
      </c>
      <c r="Q545" s="134" t="s">
        <v>797</v>
      </c>
      <c r="R545" s="170" t="s">
        <v>331</v>
      </c>
      <c r="S545" s="170" t="str">
        <f>MID(PAA[[#This Row],[Meta Proyecto de Inversión]],1,4)</f>
        <v>No a</v>
      </c>
      <c r="T545" s="170" t="str">
        <f>MID(PAA[[#This Row],[Meta Proyecto de Inversión]],6,1)</f>
        <v>l</v>
      </c>
      <c r="U545" s="173" t="str">
        <f>IFERROR(VLOOKUP(N545,TD!$B$50:$F$54,2,0)," ")</f>
        <v>NA</v>
      </c>
      <c r="V545" s="173" t="str">
        <f>IFERROR(VLOOKUP(N545,TD!$B$50:$F$54,3,0)," ")</f>
        <v>NA</v>
      </c>
      <c r="W545" s="173" t="str">
        <f>IFERROR(VLOOKUP(N545,TD!$B$50:$F$54,4,0)," ")</f>
        <v>NA</v>
      </c>
      <c r="X545" s="170" t="s">
        <v>335</v>
      </c>
      <c r="Y545" s="159" t="str">
        <f>IFERROR(VLOOKUP(X545,TD!$J$51:$K$64,2,0)," ")</f>
        <v>N/A</v>
      </c>
      <c r="Z545" s="171" t="str">
        <f>CONCATENATE(X545,"-",Y545)</f>
        <v>N/A-N/A</v>
      </c>
      <c r="AA545" s="170" t="s">
        <v>335</v>
      </c>
      <c r="AB545" s="159" t="str">
        <f>IFERROR(VLOOKUP(AA545,TD!$N$51:$O$66,2,0)," ")</f>
        <v>N/A</v>
      </c>
      <c r="AC545" s="171" t="str">
        <f>CONCATENATE(AA545,"_",AB545)</f>
        <v>N/A_N/A</v>
      </c>
      <c r="AD545" s="171" t="str">
        <f>CONCATENATE(Z545," ",AC545)</f>
        <v>N/A-N/A N/A_N/A</v>
      </c>
      <c r="AE545" s="173" t="str">
        <f>CONCATENATE(U545,V545,W545,X545,AA545)</f>
        <v>NANANAN/AN/A</v>
      </c>
      <c r="AF545" s="159" t="str">
        <f>IFERROR(VLOOKUP(AD545,TD!$J$66:$K$89,2,0)," ")</f>
        <v>N/A</v>
      </c>
      <c r="AG545" s="135" t="s">
        <v>332</v>
      </c>
      <c r="AH545" s="175" t="s">
        <v>193</v>
      </c>
      <c r="AI545" s="161" t="str">
        <f>CONCATENATE(PAA[[#This Row],[Id Interno]],"-",PAA[[#This Row],[tipo de Contrato (TH talento humano - B/S bienes y/o servicios)]],"-",S545,"-",T545,"-",PAA[[#This Row],[Objeto de la contratación]])</f>
        <v>20260526-BS-No a-l-Suministro de insumos para las impresoras de las dependencias  para la Unidad Administrativa Especial Cuerpo Oficial de Bomberos Bogotá -SGC</v>
      </c>
    </row>
    <row r="546" spans="2:35" ht="56" x14ac:dyDescent="0.35">
      <c r="B546" s="23">
        <v>20260527</v>
      </c>
      <c r="C546" s="99" t="s">
        <v>678</v>
      </c>
      <c r="D546" s="23" t="s">
        <v>78</v>
      </c>
      <c r="E546" s="23" t="s">
        <v>402</v>
      </c>
      <c r="F546" s="23" t="s">
        <v>89</v>
      </c>
      <c r="G546" s="129" t="s">
        <v>373</v>
      </c>
      <c r="H546" s="136">
        <v>12</v>
      </c>
      <c r="I546" s="157">
        <v>0</v>
      </c>
      <c r="J546" s="127">
        <v>1000000000</v>
      </c>
      <c r="K546" s="88" t="s">
        <v>398</v>
      </c>
      <c r="L546" s="155" t="s">
        <v>155</v>
      </c>
      <c r="M546" s="158" t="s">
        <v>422</v>
      </c>
      <c r="N546" s="23" t="s">
        <v>330</v>
      </c>
      <c r="O546" s="151" t="s">
        <v>957</v>
      </c>
      <c r="P546" s="158" t="s">
        <v>161</v>
      </c>
      <c r="Q546" s="53" t="s">
        <v>775</v>
      </c>
      <c r="R546" s="158" t="s">
        <v>331</v>
      </c>
      <c r="S546" s="158" t="str">
        <f>MID(PAA[[#This Row],[Meta Proyecto de Inversión]],1,4)</f>
        <v>No a</v>
      </c>
      <c r="T546" s="158" t="str">
        <f>MID(PAA[[#This Row],[Meta Proyecto de Inversión]],6,1)</f>
        <v>l</v>
      </c>
      <c r="U546" s="159" t="str">
        <f>IFERROR(VLOOKUP(N546,TD!$B$50:$F$54,2,0)," ")</f>
        <v>NA</v>
      </c>
      <c r="V546" s="159" t="str">
        <f>IFERROR(VLOOKUP(N546,TD!$B$50:$F$54,3,0)," ")</f>
        <v>NA</v>
      </c>
      <c r="W546" s="159" t="str">
        <f>IFERROR(VLOOKUP(N546,TD!$B$50:$F$54,4,0)," ")</f>
        <v>NA</v>
      </c>
      <c r="X546" s="158" t="s">
        <v>335</v>
      </c>
      <c r="Y546" s="159" t="str">
        <f>IFERROR(VLOOKUP(X546,TD!$J$51:$K$64,2,0)," ")</f>
        <v>N/A</v>
      </c>
      <c r="Z546" s="160" t="str">
        <f>CONCATENATE(X546,"-",Y546)</f>
        <v>N/A-N/A</v>
      </c>
      <c r="AA546" s="158" t="s">
        <v>335</v>
      </c>
      <c r="AB546" s="159" t="str">
        <f>IFERROR(VLOOKUP(AA546,TD!$N$51:$O$66,2,0)," ")</f>
        <v>N/A</v>
      </c>
      <c r="AC546" s="160" t="str">
        <f>CONCATENATE(AA546,"_",AB546)</f>
        <v>N/A_N/A</v>
      </c>
      <c r="AD546" s="160" t="str">
        <f>CONCATENATE(Z546," ",AC546)</f>
        <v>N/A-N/A N/A_N/A</v>
      </c>
      <c r="AE546" s="159" t="str">
        <f>CONCATENATE(U546,V546,W546,X546,AA546)</f>
        <v>NANANAN/AN/A</v>
      </c>
      <c r="AF546" s="159" t="str">
        <f>IFERROR(VLOOKUP(AD546,TD!$J$66:$K$89,2,0)," ")</f>
        <v>N/A</v>
      </c>
      <c r="AG546" s="118" t="s">
        <v>332</v>
      </c>
      <c r="AH546" s="167" t="s">
        <v>193</v>
      </c>
      <c r="AI546" s="161" t="str">
        <f>CONCATENATE(PAA[[#This Row],[Id Interno]],"-",PAA[[#This Row],[tipo de Contrato (TH talento humano - B/S bienes y/o servicios)]],"-",S546,"-",T546,"-",PAA[[#This Row],[Objeto de la contratación]])</f>
        <v>20260527-BS-No a-l-Prestar el servicio de vigilancia y seguridad privada en la modalidad de vigilancia fija, según especificaciones técnicas, en las instalaciones donde la UAE Especial Cuerpo Oficial de Bomberos requiera-SGC</v>
      </c>
    </row>
    <row r="547" spans="2:35" ht="56" x14ac:dyDescent="0.35">
      <c r="B547" s="23">
        <v>20260529</v>
      </c>
      <c r="C547" s="99" t="s">
        <v>765</v>
      </c>
      <c r="D547" s="23" t="s">
        <v>105</v>
      </c>
      <c r="E547" s="23" t="s">
        <v>402</v>
      </c>
      <c r="F547" s="23" t="s">
        <v>106</v>
      </c>
      <c r="G547" s="129" t="s">
        <v>373</v>
      </c>
      <c r="H547" s="136">
        <v>12</v>
      </c>
      <c r="I547" s="157">
        <v>0</v>
      </c>
      <c r="J547" s="127">
        <v>178000000</v>
      </c>
      <c r="K547" s="88" t="s">
        <v>398</v>
      </c>
      <c r="L547" s="155" t="s">
        <v>155</v>
      </c>
      <c r="M547" s="158" t="s">
        <v>422</v>
      </c>
      <c r="N547" s="23" t="s">
        <v>330</v>
      </c>
      <c r="O547" s="151" t="s">
        <v>957</v>
      </c>
      <c r="P547" s="158" t="s">
        <v>161</v>
      </c>
      <c r="Q547" s="53" t="s">
        <v>798</v>
      </c>
      <c r="R547" s="158" t="s">
        <v>331</v>
      </c>
      <c r="S547" s="158" t="str">
        <f>MID(PAA[[#This Row],[Meta Proyecto de Inversión]],1,4)</f>
        <v>No a</v>
      </c>
      <c r="T547" s="158" t="str">
        <f>MID(PAA[[#This Row],[Meta Proyecto de Inversión]],6,1)</f>
        <v>l</v>
      </c>
      <c r="U547" s="159" t="str">
        <f>IFERROR(VLOOKUP(N547,TD!$B$50:$F$54,2,0)," ")</f>
        <v>NA</v>
      </c>
      <c r="V547" s="159" t="str">
        <f>IFERROR(VLOOKUP(N547,TD!$B$50:$F$54,3,0)," ")</f>
        <v>NA</v>
      </c>
      <c r="W547" s="159" t="str">
        <f>IFERROR(VLOOKUP(N547,TD!$B$50:$F$54,4,0)," ")</f>
        <v>NA</v>
      </c>
      <c r="X547" s="158" t="s">
        <v>335</v>
      </c>
      <c r="Y547" s="159" t="str">
        <f>IFERROR(VLOOKUP(X547,TD!$J$51:$K$64,2,0)," ")</f>
        <v>N/A</v>
      </c>
      <c r="Z547" s="160" t="str">
        <f>CONCATENATE(X547,"-",Y547)</f>
        <v>N/A-N/A</v>
      </c>
      <c r="AA547" s="158" t="s">
        <v>335</v>
      </c>
      <c r="AB547" s="159" t="str">
        <f>IFERROR(VLOOKUP(AA547,TD!$N$51:$O$66,2,0)," ")</f>
        <v>N/A</v>
      </c>
      <c r="AC547" s="160" t="str">
        <f>CONCATENATE(AA547,"_",AB547)</f>
        <v>N/A_N/A</v>
      </c>
      <c r="AD547" s="160" t="str">
        <f>CONCATENATE(Z547," ",AC547)</f>
        <v>N/A-N/A N/A_N/A</v>
      </c>
      <c r="AE547" s="159" t="str">
        <f>CONCATENATE(U547,V547,W547,X547,AA547)</f>
        <v>NANANAN/AN/A</v>
      </c>
      <c r="AF547" s="159" t="str">
        <f>IFERROR(VLOOKUP(AD547,TD!$J$66:$K$89,2,0)," ")</f>
        <v>N/A</v>
      </c>
      <c r="AG547" s="118" t="s">
        <v>332</v>
      </c>
      <c r="AH547" s="167" t="s">
        <v>193</v>
      </c>
      <c r="AI547" s="161" t="str">
        <f>CONCATENATE(PAA[[#This Row],[Id Interno]],"-",PAA[[#This Row],[tipo de Contrato (TH talento humano - B/S bienes y/o servicios)]],"-",S547,"-",T547,"-",PAA[[#This Row],[Objeto de la contratación]])</f>
        <v>20260529-BS-No a-l-Arrendamiento de instalaciones estación Ferias-SGC</v>
      </c>
    </row>
    <row r="548" spans="2:35" ht="56" x14ac:dyDescent="0.35">
      <c r="B548" s="23">
        <v>20260530</v>
      </c>
      <c r="C548" s="99" t="s">
        <v>766</v>
      </c>
      <c r="D548" s="23" t="s">
        <v>105</v>
      </c>
      <c r="E548" s="23" t="s">
        <v>402</v>
      </c>
      <c r="F548" s="23" t="s">
        <v>136</v>
      </c>
      <c r="G548" s="129" t="s">
        <v>377</v>
      </c>
      <c r="H548" s="136">
        <v>2</v>
      </c>
      <c r="I548" s="157">
        <v>0</v>
      </c>
      <c r="J548" s="127">
        <v>2200000</v>
      </c>
      <c r="K548" s="88" t="s">
        <v>398</v>
      </c>
      <c r="L548" s="155" t="s">
        <v>155</v>
      </c>
      <c r="M548" s="158" t="s">
        <v>422</v>
      </c>
      <c r="N548" s="23" t="s">
        <v>330</v>
      </c>
      <c r="O548" s="151" t="s">
        <v>957</v>
      </c>
      <c r="P548" s="158" t="s">
        <v>161</v>
      </c>
      <c r="Q548" s="53" t="s">
        <v>799</v>
      </c>
      <c r="R548" s="158" t="s">
        <v>331</v>
      </c>
      <c r="S548" s="158" t="str">
        <f>MID(PAA[[#This Row],[Meta Proyecto de Inversión]],1,4)</f>
        <v>No a</v>
      </c>
      <c r="T548" s="158" t="str">
        <f>MID(PAA[[#This Row],[Meta Proyecto de Inversión]],6,1)</f>
        <v>l</v>
      </c>
      <c r="U548" s="159" t="str">
        <f>IFERROR(VLOOKUP(N548,TD!$B$50:$F$54,2,0)," ")</f>
        <v>NA</v>
      </c>
      <c r="V548" s="159" t="str">
        <f>IFERROR(VLOOKUP(N548,TD!$B$50:$F$54,3,0)," ")</f>
        <v>NA</v>
      </c>
      <c r="W548" s="159" t="str">
        <f>IFERROR(VLOOKUP(N548,TD!$B$50:$F$54,4,0)," ")</f>
        <v>NA</v>
      </c>
      <c r="X548" s="158" t="s">
        <v>335</v>
      </c>
      <c r="Y548" s="159" t="str">
        <f>IFERROR(VLOOKUP(X548,TD!$J$51:$K$64,2,0)," ")</f>
        <v>N/A</v>
      </c>
      <c r="Z548" s="160" t="str">
        <f>CONCATENATE(X548,"-",Y548)</f>
        <v>N/A-N/A</v>
      </c>
      <c r="AA548" s="158" t="s">
        <v>335</v>
      </c>
      <c r="AB548" s="159" t="str">
        <f>IFERROR(VLOOKUP(AA548,TD!$N$51:$O$66,2,0)," ")</f>
        <v>N/A</v>
      </c>
      <c r="AC548" s="160" t="str">
        <f>CONCATENATE(AA548,"_",AB548)</f>
        <v>N/A_N/A</v>
      </c>
      <c r="AD548" s="160" t="str">
        <f>CONCATENATE(Z548," ",AC548)</f>
        <v>N/A-N/A N/A_N/A</v>
      </c>
      <c r="AE548" s="159" t="str">
        <f>CONCATENATE(U548,V548,W548,X548,AA548)</f>
        <v>NANANAN/AN/A</v>
      </c>
      <c r="AF548" s="159" t="str">
        <f>IFERROR(VLOOKUP(AD548,TD!$J$66:$K$89,2,0)," ")</f>
        <v>N/A</v>
      </c>
      <c r="AG548" s="118" t="s">
        <v>332</v>
      </c>
      <c r="AH548" s="167" t="s">
        <v>194</v>
      </c>
      <c r="AI548" s="161" t="str">
        <f>CONCATENATE(PAA[[#This Row],[Id Interno]],"-",PAA[[#This Row],[tipo de Contrato (TH talento humano - B/S bienes y/o servicios)]],"-",S548,"-",T548,"-",PAA[[#This Row],[Objeto de la contratación]])</f>
        <v>20260530-BS-No a-l-Adición y prórroga No. 1 al contrato 491 de 2025 que tiene como objeto “Mantenimiento ascensor nueva Estación de Bomberos de Fontibón-SGC</v>
      </c>
    </row>
    <row r="549" spans="2:35" ht="56" x14ac:dyDescent="0.35">
      <c r="B549" s="23">
        <v>20260531</v>
      </c>
      <c r="C549" s="99" t="s">
        <v>767</v>
      </c>
      <c r="D549" s="23" t="s">
        <v>105</v>
      </c>
      <c r="E549" s="23" t="s">
        <v>402</v>
      </c>
      <c r="F549" s="23" t="s">
        <v>136</v>
      </c>
      <c r="G549" s="129" t="s">
        <v>380</v>
      </c>
      <c r="H549" s="136">
        <v>6</v>
      </c>
      <c r="I549" s="157">
        <v>0</v>
      </c>
      <c r="J549" s="127">
        <v>11700000</v>
      </c>
      <c r="K549" s="88" t="s">
        <v>398</v>
      </c>
      <c r="L549" s="155" t="s">
        <v>155</v>
      </c>
      <c r="M549" s="158" t="s">
        <v>422</v>
      </c>
      <c r="N549" s="23" t="s">
        <v>330</v>
      </c>
      <c r="O549" s="151" t="s">
        <v>957</v>
      </c>
      <c r="P549" s="158" t="s">
        <v>161</v>
      </c>
      <c r="Q549" s="53" t="s">
        <v>799</v>
      </c>
      <c r="R549" s="158" t="s">
        <v>331</v>
      </c>
      <c r="S549" s="158" t="str">
        <f>MID(PAA[[#This Row],[Meta Proyecto de Inversión]],1,4)</f>
        <v>No a</v>
      </c>
      <c r="T549" s="158" t="str">
        <f>MID(PAA[[#This Row],[Meta Proyecto de Inversión]],6,1)</f>
        <v>l</v>
      </c>
      <c r="U549" s="159" t="str">
        <f>IFERROR(VLOOKUP(N549,TD!$B$50:$F$54,2,0)," ")</f>
        <v>NA</v>
      </c>
      <c r="V549" s="159" t="str">
        <f>IFERROR(VLOOKUP(N549,TD!$B$50:$F$54,3,0)," ")</f>
        <v>NA</v>
      </c>
      <c r="W549" s="159" t="str">
        <f>IFERROR(VLOOKUP(N549,TD!$B$50:$F$54,4,0)," ")</f>
        <v>NA</v>
      </c>
      <c r="X549" s="158" t="s">
        <v>335</v>
      </c>
      <c r="Y549" s="159" t="str">
        <f>IFERROR(VLOOKUP(X549,TD!$J$51:$K$64,2,0)," ")</f>
        <v>N/A</v>
      </c>
      <c r="Z549" s="160" t="str">
        <f>CONCATENATE(X549,"-",Y549)</f>
        <v>N/A-N/A</v>
      </c>
      <c r="AA549" s="158" t="s">
        <v>335</v>
      </c>
      <c r="AB549" s="159" t="str">
        <f>IFERROR(VLOOKUP(AA549,TD!$N$51:$O$66,2,0)," ")</f>
        <v>N/A</v>
      </c>
      <c r="AC549" s="160" t="str">
        <f>CONCATENATE(AA549,"_",AB549)</f>
        <v>N/A_N/A</v>
      </c>
      <c r="AD549" s="160" t="str">
        <f>CONCATENATE(Z549," ",AC549)</f>
        <v>N/A-N/A N/A_N/A</v>
      </c>
      <c r="AE549" s="159" t="str">
        <f>CONCATENATE(U549,V549,W549,X549,AA549)</f>
        <v>NANANAN/AN/A</v>
      </c>
      <c r="AF549" s="159" t="str">
        <f>IFERROR(VLOOKUP(AD549,TD!$J$66:$K$89,2,0)," ")</f>
        <v>N/A</v>
      </c>
      <c r="AG549" s="118" t="s">
        <v>332</v>
      </c>
      <c r="AH549" s="167" t="s">
        <v>193</v>
      </c>
      <c r="AI549" s="161" t="str">
        <f>CONCATENATE(PAA[[#This Row],[Id Interno]],"-",PAA[[#This Row],[tipo de Contrato (TH talento humano - B/S bienes y/o servicios)]],"-",S549,"-",T549,"-",PAA[[#This Row],[Objeto de la contratación]])</f>
        <v>20260531-BS-No a-l-Mantenimiento correctivo y preventivo con suministro de repuestos para el ascensor estación de bomberos Fontibón B6 -SGC</v>
      </c>
    </row>
    <row r="550" spans="2:35" ht="56" x14ac:dyDescent="0.35">
      <c r="B550" s="23">
        <v>20260534</v>
      </c>
      <c r="C550" s="99" t="s">
        <v>770</v>
      </c>
      <c r="D550" s="23" t="s">
        <v>105</v>
      </c>
      <c r="E550" s="23" t="s">
        <v>402</v>
      </c>
      <c r="F550" s="23" t="s">
        <v>136</v>
      </c>
      <c r="G550" s="129" t="s">
        <v>376</v>
      </c>
      <c r="H550" s="136">
        <v>2</v>
      </c>
      <c r="I550" s="157">
        <v>0</v>
      </c>
      <c r="J550" s="127">
        <v>3000000</v>
      </c>
      <c r="K550" s="88" t="s">
        <v>398</v>
      </c>
      <c r="L550" s="155" t="s">
        <v>155</v>
      </c>
      <c r="M550" s="158" t="s">
        <v>422</v>
      </c>
      <c r="N550" s="23" t="s">
        <v>330</v>
      </c>
      <c r="O550" s="151" t="s">
        <v>957</v>
      </c>
      <c r="P550" s="158" t="s">
        <v>161</v>
      </c>
      <c r="Q550" s="53" t="s">
        <v>799</v>
      </c>
      <c r="R550" s="158" t="s">
        <v>331</v>
      </c>
      <c r="S550" s="158" t="str">
        <f>MID(PAA[[#This Row],[Meta Proyecto de Inversión]],1,4)</f>
        <v>No a</v>
      </c>
      <c r="T550" s="158" t="str">
        <f>MID(PAA[[#This Row],[Meta Proyecto de Inversión]],6,1)</f>
        <v>l</v>
      </c>
      <c r="U550" s="159" t="str">
        <f>IFERROR(VLOOKUP(N550,TD!$B$50:$F$54,2,0)," ")</f>
        <v>NA</v>
      </c>
      <c r="V550" s="159" t="str">
        <f>IFERROR(VLOOKUP(N550,TD!$B$50:$F$54,3,0)," ")</f>
        <v>NA</v>
      </c>
      <c r="W550" s="159" t="str">
        <f>IFERROR(VLOOKUP(N550,TD!$B$50:$F$54,4,0)," ")</f>
        <v>NA</v>
      </c>
      <c r="X550" s="158" t="s">
        <v>335</v>
      </c>
      <c r="Y550" s="159" t="str">
        <f>IFERROR(VLOOKUP(X550,TD!$J$51:$K$64,2,0)," ")</f>
        <v>N/A</v>
      </c>
      <c r="Z550" s="160" t="str">
        <f>CONCATENATE(X550,"-",Y550)</f>
        <v>N/A-N/A</v>
      </c>
      <c r="AA550" s="158" t="s">
        <v>335</v>
      </c>
      <c r="AB550" s="159" t="str">
        <f>IFERROR(VLOOKUP(AA550,TD!$N$51:$O$66,2,0)," ")</f>
        <v>N/A</v>
      </c>
      <c r="AC550" s="160" t="str">
        <f>CONCATENATE(AA550,"_",AB550)</f>
        <v>N/A_N/A</v>
      </c>
      <c r="AD550" s="160" t="str">
        <f>CONCATENATE(Z550," ",AC550)</f>
        <v>N/A-N/A N/A_N/A</v>
      </c>
      <c r="AE550" s="159" t="str">
        <f>CONCATENATE(U550,V550,W550,X550,AA550)</f>
        <v>NANANAN/AN/A</v>
      </c>
      <c r="AF550" s="159" t="str">
        <f>IFERROR(VLOOKUP(AD550,TD!$J$66:$K$89,2,0)," ")</f>
        <v>N/A</v>
      </c>
      <c r="AG550" s="118" t="s">
        <v>332</v>
      </c>
      <c r="AH550" s="167" t="s">
        <v>194</v>
      </c>
      <c r="AI550" s="161" t="str">
        <f>CONCATENATE(PAA[[#This Row],[Id Interno]],"-",PAA[[#This Row],[tipo de Contrato (TH talento humano - B/S bienes y/o servicios)]],"-",S550,"-",T550,"-",PAA[[#This Row],[Objeto de la contratación]])</f>
        <v>20260534-BS-No a-l-Adición y prórroga No. 1 al contrato 638 de 2025 que tiene como objeto “Mantenimiento correctivo y preventivo con suministro de repuestos ascensor estación de bomberos Bellavista B-9 - SGC</v>
      </c>
    </row>
    <row r="551" spans="2:35" ht="84" x14ac:dyDescent="0.35">
      <c r="B551" s="23">
        <v>20260535</v>
      </c>
      <c r="C551" s="99" t="s">
        <v>771</v>
      </c>
      <c r="D551" s="23" t="s">
        <v>105</v>
      </c>
      <c r="E551" s="23" t="s">
        <v>402</v>
      </c>
      <c r="F551" s="23" t="s">
        <v>136</v>
      </c>
      <c r="G551" s="129" t="s">
        <v>380</v>
      </c>
      <c r="H551" s="136">
        <v>7</v>
      </c>
      <c r="I551" s="157">
        <v>0</v>
      </c>
      <c r="J551" s="127">
        <v>10800000</v>
      </c>
      <c r="K551" s="88" t="s">
        <v>398</v>
      </c>
      <c r="L551" s="155" t="s">
        <v>155</v>
      </c>
      <c r="M551" s="158" t="s">
        <v>422</v>
      </c>
      <c r="N551" s="23" t="s">
        <v>330</v>
      </c>
      <c r="O551" s="151" t="s">
        <v>957</v>
      </c>
      <c r="P551" s="158" t="s">
        <v>161</v>
      </c>
      <c r="Q551" s="53" t="s">
        <v>799</v>
      </c>
      <c r="R551" s="158" t="s">
        <v>331</v>
      </c>
      <c r="S551" s="158" t="str">
        <f>MID(PAA[[#This Row],[Meta Proyecto de Inversión]],1,4)</f>
        <v>No a</v>
      </c>
      <c r="T551" s="158" t="str">
        <f>MID(PAA[[#This Row],[Meta Proyecto de Inversión]],6,1)</f>
        <v>l</v>
      </c>
      <c r="U551" s="159" t="str">
        <f>IFERROR(VLOOKUP(N551,TD!$B$50:$F$54,2,0)," ")</f>
        <v>NA</v>
      </c>
      <c r="V551" s="159" t="str">
        <f>IFERROR(VLOOKUP(N551,TD!$B$50:$F$54,3,0)," ")</f>
        <v>NA</v>
      </c>
      <c r="W551" s="159" t="str">
        <f>IFERROR(VLOOKUP(N551,TD!$B$50:$F$54,4,0)," ")</f>
        <v>NA</v>
      </c>
      <c r="X551" s="158" t="s">
        <v>335</v>
      </c>
      <c r="Y551" s="159" t="str">
        <f>IFERROR(VLOOKUP(X551,TD!$J$51:$K$64,2,0)," ")</f>
        <v>N/A</v>
      </c>
      <c r="Z551" s="160" t="str">
        <f>CONCATENATE(X551,"-",Y551)</f>
        <v>N/A-N/A</v>
      </c>
      <c r="AA551" s="158" t="s">
        <v>335</v>
      </c>
      <c r="AB551" s="159" t="str">
        <f>IFERROR(VLOOKUP(AA551,TD!$N$51:$O$66,2,0)," ")</f>
        <v>N/A</v>
      </c>
      <c r="AC551" s="160" t="str">
        <f>CONCATENATE(AA551,"_",AB551)</f>
        <v>N/A_N/A</v>
      </c>
      <c r="AD551" s="160" t="str">
        <f>CONCATENATE(Z551," ",AC551)</f>
        <v>N/A-N/A N/A_N/A</v>
      </c>
      <c r="AE551" s="159" t="str">
        <f>CONCATENATE(U551,V551,W551,X551,AA551)</f>
        <v>NANANAN/AN/A</v>
      </c>
      <c r="AF551" s="159" t="str">
        <f>IFERROR(VLOOKUP(AD551,TD!$J$66:$K$89,2,0)," ")</f>
        <v>N/A</v>
      </c>
      <c r="AG551" s="118" t="s">
        <v>332</v>
      </c>
      <c r="AH551" s="167" t="s">
        <v>193</v>
      </c>
      <c r="AI551" s="161" t="str">
        <f>CONCATENATE(PAA[[#This Row],[Id Interno]],"-",PAA[[#This Row],[tipo de Contrato (TH talento humano - B/S bienes y/o servicios)]],"-",S551,"-",T551,"-",PAA[[#This Row],[Objeto de la contratación]])</f>
        <v>20260535-BS-No a-l-Mantenimiento correctivo y preventivo con suministro de repuestos ascensor estación de bomberos Bellavista B-9 - SGC</v>
      </c>
    </row>
    <row r="552" spans="2:35" ht="56" x14ac:dyDescent="0.35">
      <c r="B552" s="23">
        <v>20260536</v>
      </c>
      <c r="C552" s="99" t="s">
        <v>772</v>
      </c>
      <c r="D552" s="23" t="s">
        <v>92</v>
      </c>
      <c r="E552" s="23" t="s">
        <v>402</v>
      </c>
      <c r="F552" s="23" t="s">
        <v>89</v>
      </c>
      <c r="G552" s="129" t="s">
        <v>381</v>
      </c>
      <c r="H552" s="136">
        <v>2</v>
      </c>
      <c r="I552" s="157">
        <v>0</v>
      </c>
      <c r="J552" s="127">
        <v>1500000</v>
      </c>
      <c r="K552" s="88" t="s">
        <v>398</v>
      </c>
      <c r="L552" s="155" t="s">
        <v>155</v>
      </c>
      <c r="M552" s="158" t="s">
        <v>422</v>
      </c>
      <c r="N552" s="23" t="s">
        <v>330</v>
      </c>
      <c r="O552" s="151" t="s">
        <v>957</v>
      </c>
      <c r="P552" s="158" t="s">
        <v>161</v>
      </c>
      <c r="Q552" s="53" t="s">
        <v>800</v>
      </c>
      <c r="R552" s="158" t="s">
        <v>331</v>
      </c>
      <c r="S552" s="158" t="str">
        <f>MID(PAA[[#This Row],[Meta Proyecto de Inversión]],1,4)</f>
        <v>No a</v>
      </c>
      <c r="T552" s="158" t="str">
        <f>MID(PAA[[#This Row],[Meta Proyecto de Inversión]],6,1)</f>
        <v>l</v>
      </c>
      <c r="U552" s="159" t="str">
        <f>IFERROR(VLOOKUP(N552,TD!$B$50:$F$54,2,0)," ")</f>
        <v>NA</v>
      </c>
      <c r="V552" s="159" t="str">
        <f>IFERROR(VLOOKUP(N552,TD!$B$50:$F$54,3,0)," ")</f>
        <v>NA</v>
      </c>
      <c r="W552" s="159" t="str">
        <f>IFERROR(VLOOKUP(N552,TD!$B$50:$F$54,4,0)," ")</f>
        <v>NA</v>
      </c>
      <c r="X552" s="158" t="s">
        <v>335</v>
      </c>
      <c r="Y552" s="159" t="str">
        <f>IFERROR(VLOOKUP(X552,TD!$J$51:$K$64,2,0)," ")</f>
        <v>N/A</v>
      </c>
      <c r="Z552" s="160" t="str">
        <f>CONCATENATE(X552,"-",Y552)</f>
        <v>N/A-N/A</v>
      </c>
      <c r="AA552" s="158" t="s">
        <v>335</v>
      </c>
      <c r="AB552" s="159" t="str">
        <f>IFERROR(VLOOKUP(AA552,TD!$N$51:$O$66,2,0)," ")</f>
        <v>N/A</v>
      </c>
      <c r="AC552" s="160" t="str">
        <f>CONCATENATE(AA552,"_",AB552)</f>
        <v>N/A_N/A</v>
      </c>
      <c r="AD552" s="160" t="str">
        <f>CONCATENATE(Z552," ",AC552)</f>
        <v>N/A-N/A N/A_N/A</v>
      </c>
      <c r="AE552" s="159" t="str">
        <f>CONCATENATE(U552,V552,W552,X552,AA552)</f>
        <v>NANANAN/AN/A</v>
      </c>
      <c r="AF552" s="159" t="str">
        <f>IFERROR(VLOOKUP(AD552,TD!$J$66:$K$89,2,0)," ")</f>
        <v>N/A</v>
      </c>
      <c r="AG552" s="118" t="s">
        <v>332</v>
      </c>
      <c r="AH552" s="167" t="s">
        <v>193</v>
      </c>
      <c r="AI552" s="161" t="str">
        <f>CONCATENATE(PAA[[#This Row],[Id Interno]],"-",PAA[[#This Row],[tipo de Contrato (TH talento humano - B/S bienes y/o servicios)]],"-",S552,"-",T552,"-",PAA[[#This Row],[Objeto de la contratación]])</f>
        <v>20260536-BS-No a-l-Prestación del servicio para inspección y certificación correspondientes a los sistemas de transporte vertical (ascensores) a cargo de la Unidad Administrativa Especial Cuerpo Oficial de Bomberos Bogotá D.C – SGC</v>
      </c>
    </row>
    <row r="553" spans="2:35" ht="56" x14ac:dyDescent="0.35">
      <c r="B553" s="23">
        <v>20260538</v>
      </c>
      <c r="C553" s="99" t="s">
        <v>699</v>
      </c>
      <c r="D553" s="23" t="s">
        <v>105</v>
      </c>
      <c r="E553" s="23" t="s">
        <v>363</v>
      </c>
      <c r="F553" s="23" t="s">
        <v>144</v>
      </c>
      <c r="G553" s="129" t="s">
        <v>373</v>
      </c>
      <c r="H553" s="136">
        <v>11</v>
      </c>
      <c r="I553" s="157">
        <v>0</v>
      </c>
      <c r="J553" s="127">
        <v>56772000</v>
      </c>
      <c r="K553" s="88" t="s">
        <v>398</v>
      </c>
      <c r="L553" s="155" t="s">
        <v>155</v>
      </c>
      <c r="M553" s="158" t="s">
        <v>422</v>
      </c>
      <c r="N553" s="23" t="s">
        <v>197</v>
      </c>
      <c r="O553" s="151" t="s">
        <v>957</v>
      </c>
      <c r="P553" s="158" t="s">
        <v>348</v>
      </c>
      <c r="Q553" s="53" t="s">
        <v>778</v>
      </c>
      <c r="R553" s="158" t="s">
        <v>208</v>
      </c>
      <c r="S553" s="158" t="str">
        <f>MID(PAA[[#This Row],[Meta Proyecto de Inversión]],1,4)</f>
        <v>8126</v>
      </c>
      <c r="T553" s="158" t="str">
        <f>MID(PAA[[#This Row],[Meta Proyecto de Inversión]],6,1)</f>
        <v>9</v>
      </c>
      <c r="U553" s="159" t="str">
        <f>IFERROR(VLOOKUP(N553,TD!$B$50:$F$54,2,0)," ")</f>
        <v>O230117</v>
      </c>
      <c r="V553" s="159" t="str">
        <f>IFERROR(VLOOKUP(N553,TD!$B$50:$F$54,3,0)," ")</f>
        <v>4599</v>
      </c>
      <c r="W553" s="159">
        <f>IFERROR(VLOOKUP(N553,TD!$B$50:$F$54,4,0)," ")</f>
        <v>20240207</v>
      </c>
      <c r="X553" s="158" t="s">
        <v>174</v>
      </c>
      <c r="Y553" s="159" t="str">
        <f>IFERROR(VLOOKUP(X553,TD!$J$51:$K$64,2,0)," ")</f>
        <v>Infraestructura física, mantenimiento y dotación (Sedes construidas, mantenidas reforzadas)</v>
      </c>
      <c r="Z553" s="160" t="str">
        <f>CONCATENATE(X553,"-",Y553)</f>
        <v>08-Infraestructura física, mantenimiento y dotación (Sedes construidas, mantenidas reforzadas)</v>
      </c>
      <c r="AA553" s="158" t="s">
        <v>227</v>
      </c>
      <c r="AB553" s="159" t="str">
        <f>IFERROR(VLOOKUP(AA553,TD!$N$51:$O$66,2,0)," ")</f>
        <v>Sedes mantenidas</v>
      </c>
      <c r="AC553" s="160" t="str">
        <f>CONCATENATE(AA553,"_",AB553)</f>
        <v>016_Sedes mantenidas</v>
      </c>
      <c r="AD553" s="160" t="str">
        <f>CONCATENATE(Z553," ",AC553)</f>
        <v>08-Infraestructura física, mantenimiento y dotación (Sedes construidas, mantenidas reforzadas) 016_Sedes mantenidas</v>
      </c>
      <c r="AE553" s="159" t="str">
        <f>CONCATENATE(U553,V553,W553,X553,AA553)</f>
        <v>O23011745992024020708016</v>
      </c>
      <c r="AF553" s="159" t="str">
        <f>IFERROR(VLOOKUP(AD553,TD!$J$66:$K$89,2,0)," ")</f>
        <v>PM/0131/0108/45990160207</v>
      </c>
      <c r="AG553" s="118" t="s">
        <v>385</v>
      </c>
      <c r="AH553" s="167" t="s">
        <v>193</v>
      </c>
      <c r="AI553" s="161" t="str">
        <f>CONCATENATE(PAA[[#This Row],[Id Interno]],"-",PAA[[#This Row],[tipo de Contrato (TH talento humano - B/S bienes y/o servicios)]],"-",S553,"-",T553,"-",PAA[[#This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54" spans="2:35" ht="56" x14ac:dyDescent="0.35">
      <c r="B554" s="23">
        <v>20260539</v>
      </c>
      <c r="C554" s="99" t="s">
        <v>774</v>
      </c>
      <c r="D554" s="23" t="s">
        <v>101</v>
      </c>
      <c r="E554" s="23" t="s">
        <v>402</v>
      </c>
      <c r="F554" s="23" t="s">
        <v>92</v>
      </c>
      <c r="G554" s="129" t="s">
        <v>375</v>
      </c>
      <c r="H554" s="136">
        <v>3</v>
      </c>
      <c r="I554" s="157">
        <v>0</v>
      </c>
      <c r="J554" s="127">
        <v>62000000</v>
      </c>
      <c r="K554" s="88" t="s">
        <v>398</v>
      </c>
      <c r="L554" s="155" t="s">
        <v>155</v>
      </c>
      <c r="M554" s="158" t="s">
        <v>422</v>
      </c>
      <c r="N554" s="23" t="s">
        <v>198</v>
      </c>
      <c r="O554" s="151" t="s">
        <v>958</v>
      </c>
      <c r="P554" s="158" t="s">
        <v>348</v>
      </c>
      <c r="Q554" s="53" t="s">
        <v>802</v>
      </c>
      <c r="R554" s="158" t="s">
        <v>351</v>
      </c>
      <c r="S554" s="158" t="str">
        <f>MID(PAA[[#This Row],[Meta Proyecto de Inversión]],1,4)</f>
        <v>8173</v>
      </c>
      <c r="T554" s="158" t="str">
        <f>MID(PAA[[#This Row],[Meta Proyecto de Inversión]],6,1)</f>
        <v>1</v>
      </c>
      <c r="U554" s="159" t="str">
        <f>IFERROR(VLOOKUP(N554,TD!$B$50:$F$54,2,0)," ")</f>
        <v>O230117</v>
      </c>
      <c r="V554" s="159" t="str">
        <f>IFERROR(VLOOKUP(N554,TD!$B$50:$F$54,3,0)," ")</f>
        <v>4503</v>
      </c>
      <c r="W554" s="159">
        <f>IFERROR(VLOOKUP(N554,TD!$B$50:$F$54,4,0)," ")</f>
        <v>20240255</v>
      </c>
      <c r="X554" s="158">
        <v>14</v>
      </c>
      <c r="Y554" s="159" t="str">
        <f>IFERROR(VLOOKUP(X554,TD!$J$51:$K$64,2,0)," ")</f>
        <v xml:space="preserve">Infraestructura física misional construida mantenida y dotada </v>
      </c>
      <c r="Z554" s="160" t="str">
        <f>CONCATENATE(X554,"-",Y554)</f>
        <v xml:space="preserve">14-Infraestructura física misional construida mantenida y dotada </v>
      </c>
      <c r="AA554" s="158" t="s">
        <v>225</v>
      </c>
      <c r="AB554" s="159" t="str">
        <f>IFERROR(VLOOKUP(AA554,TD!$N$51:$O$66,2,0)," ")</f>
        <v>Estaciones de bomberos adecuadas</v>
      </c>
      <c r="AC554" s="160" t="str">
        <f>CONCATENATE(AA554,"_",AB554)</f>
        <v>014_Estaciones de bomberos adecuadas</v>
      </c>
      <c r="AD554" s="160" t="str">
        <f>CONCATENATE(Z554," ",AC554)</f>
        <v>14-Infraestructura física misional construida mantenida y dotada  014_Estaciones de bomberos adecuadas</v>
      </c>
      <c r="AE554" s="159" t="str">
        <f>CONCATENATE(U554,V554,W554,X554,AA554)</f>
        <v>O23011745032024025514014</v>
      </c>
      <c r="AF554" s="159" t="str">
        <f>IFERROR(VLOOKUP(AD554,TD!$J$66:$K$89,2,0)," ")</f>
        <v>PM/0131/0114/45030140255</v>
      </c>
      <c r="AG554" s="118" t="s">
        <v>80</v>
      </c>
      <c r="AH554" s="167" t="s">
        <v>193</v>
      </c>
      <c r="AI554" s="161" t="str">
        <f>CONCATENATE(PAA[[#This Row],[Id Interno]],"-",PAA[[#This Row],[tipo de Contrato (TH talento humano - B/S bienes y/o servicios)]],"-",S554,"-",T554,"-",PAA[[#This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555" spans="2:35" ht="56" x14ac:dyDescent="0.35">
      <c r="B555" s="23">
        <v>20260540</v>
      </c>
      <c r="C555" s="99" t="s">
        <v>803</v>
      </c>
      <c r="D555" s="23" t="s">
        <v>105</v>
      </c>
      <c r="E555" s="23" t="s">
        <v>363</v>
      </c>
      <c r="F555" s="23" t="s">
        <v>144</v>
      </c>
      <c r="G555" s="129" t="s">
        <v>374</v>
      </c>
      <c r="H555" s="136">
        <v>11</v>
      </c>
      <c r="I555" s="136">
        <v>0</v>
      </c>
      <c r="J555" s="127">
        <v>61600000</v>
      </c>
      <c r="K555" s="88" t="s">
        <v>398</v>
      </c>
      <c r="L555" s="155" t="s">
        <v>45</v>
      </c>
      <c r="M555" s="158" t="s">
        <v>401</v>
      </c>
      <c r="N555" s="23" t="s">
        <v>197</v>
      </c>
      <c r="O555" s="151" t="s">
        <v>957</v>
      </c>
      <c r="P555" s="158" t="s">
        <v>348</v>
      </c>
      <c r="Q555" s="53">
        <v>80111600</v>
      </c>
      <c r="R555" s="158" t="s">
        <v>208</v>
      </c>
      <c r="S555" s="158" t="str">
        <f>MID(PAA[[#This Row],[Meta Proyecto de Inversión]],1,4)</f>
        <v>8126</v>
      </c>
      <c r="T555" s="158" t="str">
        <f>MID(PAA[[#This Row],[Meta Proyecto de Inversión]],6,1)</f>
        <v>9</v>
      </c>
      <c r="U555" s="159" t="str">
        <f>IFERROR(VLOOKUP(N555,TD!$B$50:$F$54,2,0)," ")</f>
        <v>O230117</v>
      </c>
      <c r="V555" s="159" t="str">
        <f>IFERROR(VLOOKUP(N555,TD!$B$50:$F$54,3,0)," ")</f>
        <v>4599</v>
      </c>
      <c r="W555" s="159">
        <f>IFERROR(VLOOKUP(N555,TD!$B$50:$F$54,4,0)," ")</f>
        <v>20240207</v>
      </c>
      <c r="X555" s="158" t="s">
        <v>174</v>
      </c>
      <c r="Y555" s="159" t="str">
        <f>IFERROR(VLOOKUP(X555,TD!$J$51:$K$64,2,0)," ")</f>
        <v>Infraestructura física, mantenimiento y dotación (Sedes construidas, mantenidas reforzadas)</v>
      </c>
      <c r="Z555" s="160" t="str">
        <f>CONCATENATE(X555,"-",Y555)</f>
        <v>08-Infraestructura física, mantenimiento y dotación (Sedes construidas, mantenidas reforzadas)</v>
      </c>
      <c r="AA555" s="158" t="s">
        <v>227</v>
      </c>
      <c r="AB555" s="159" t="str">
        <f>IFERROR(VLOOKUP(AA555,TD!$N$51:$O$66,2,0)," ")</f>
        <v>Sedes mantenidas</v>
      </c>
      <c r="AC555" s="160" t="str">
        <f>CONCATENATE(AA555,"_",AB555)</f>
        <v>016_Sedes mantenidas</v>
      </c>
      <c r="AD555" s="160" t="str">
        <f>CONCATENATE(Z555," ",AC555)</f>
        <v>08-Infraestructura física, mantenimiento y dotación (Sedes construidas, mantenidas reforzadas) 016_Sedes mantenidas</v>
      </c>
      <c r="AE555" s="159" t="str">
        <f>CONCATENATE(U555,V555,W555,X555,AA555)</f>
        <v>O23011745992024020708016</v>
      </c>
      <c r="AF555" s="159" t="str">
        <f>IFERROR(VLOOKUP(AD555,TD!$J$66:$K$89,2,0)," ")</f>
        <v>PM/0131/0108/45990160207</v>
      </c>
      <c r="AG555" s="118" t="s">
        <v>385</v>
      </c>
      <c r="AH555" s="167" t="s">
        <v>193</v>
      </c>
      <c r="AI555" s="161" t="str">
        <f>CONCATENATE(PAA[[#This Row],[Id Interno]],"-",PAA[[#This Row],[tipo de Contrato (TH talento humano - B/S bienes y/o servicios)]],"-",S555,"-",T555,"-",PAA[[#This Row],[Objeto de la contratación]])</f>
        <v>20260540-TH-8126-9-Prestación de servicios profesionales jurídicos en virtud de las funciones asignadas a la Dirección General de la UAECOB, para apoyar los procesos contractuales y actividades administrativas requeridas.</v>
      </c>
    </row>
    <row r="556" spans="2:35" ht="56" x14ac:dyDescent="0.35">
      <c r="B556" s="23">
        <v>20260541</v>
      </c>
      <c r="C556" s="99" t="s">
        <v>804</v>
      </c>
      <c r="D556" s="23" t="s">
        <v>105</v>
      </c>
      <c r="E556" s="23" t="s">
        <v>363</v>
      </c>
      <c r="F556" s="23" t="s">
        <v>144</v>
      </c>
      <c r="G556" s="129" t="s">
        <v>374</v>
      </c>
      <c r="H556" s="136">
        <v>11</v>
      </c>
      <c r="I556" s="136">
        <v>0</v>
      </c>
      <c r="J556" s="127">
        <v>88000000</v>
      </c>
      <c r="K556" s="88" t="s">
        <v>398</v>
      </c>
      <c r="L556" s="155" t="s">
        <v>45</v>
      </c>
      <c r="M556" s="158" t="s">
        <v>401</v>
      </c>
      <c r="N556" s="23" t="s">
        <v>197</v>
      </c>
      <c r="O556" s="151" t="s">
        <v>957</v>
      </c>
      <c r="P556" s="158" t="s">
        <v>348</v>
      </c>
      <c r="Q556" s="53">
        <v>80111600</v>
      </c>
      <c r="R556" s="158" t="s">
        <v>208</v>
      </c>
      <c r="S556" s="158" t="str">
        <f>MID(PAA[[#This Row],[Meta Proyecto de Inversión]],1,4)</f>
        <v>8126</v>
      </c>
      <c r="T556" s="158" t="str">
        <f>MID(PAA[[#This Row],[Meta Proyecto de Inversión]],6,1)</f>
        <v>9</v>
      </c>
      <c r="U556" s="159" t="str">
        <f>IFERROR(VLOOKUP(N556,TD!$B$50:$F$54,2,0)," ")</f>
        <v>O230117</v>
      </c>
      <c r="V556" s="159" t="str">
        <f>IFERROR(VLOOKUP(N556,TD!$B$50:$F$54,3,0)," ")</f>
        <v>4599</v>
      </c>
      <c r="W556" s="159">
        <f>IFERROR(VLOOKUP(N556,TD!$B$50:$F$54,4,0)," ")</f>
        <v>20240207</v>
      </c>
      <c r="X556" s="158" t="s">
        <v>174</v>
      </c>
      <c r="Y556" s="159" t="str">
        <f>IFERROR(VLOOKUP(X556,TD!$J$51:$K$64,2,0)," ")</f>
        <v>Infraestructura física, mantenimiento y dotación (Sedes construidas, mantenidas reforzadas)</v>
      </c>
      <c r="Z556" s="160" t="str">
        <f>CONCATENATE(X556,"-",Y556)</f>
        <v>08-Infraestructura física, mantenimiento y dotación (Sedes construidas, mantenidas reforzadas)</v>
      </c>
      <c r="AA556" s="158" t="s">
        <v>227</v>
      </c>
      <c r="AB556" s="159" t="str">
        <f>IFERROR(VLOOKUP(AA556,TD!$N$51:$O$66,2,0)," ")</f>
        <v>Sedes mantenidas</v>
      </c>
      <c r="AC556" s="160" t="str">
        <f>CONCATENATE(AA556,"_",AB556)</f>
        <v>016_Sedes mantenidas</v>
      </c>
      <c r="AD556" s="160" t="str">
        <f>CONCATENATE(Z556," ",AC556)</f>
        <v>08-Infraestructura física, mantenimiento y dotación (Sedes construidas, mantenidas reforzadas) 016_Sedes mantenidas</v>
      </c>
      <c r="AE556" s="159" t="str">
        <f>CONCATENATE(U556,V556,W556,X556,AA556)</f>
        <v>O23011745992024020708016</v>
      </c>
      <c r="AF556" s="159" t="str">
        <f>IFERROR(VLOOKUP(AD556,TD!$J$66:$K$89,2,0)," ")</f>
        <v>PM/0131/0108/45990160207</v>
      </c>
      <c r="AG556" s="118" t="s">
        <v>385</v>
      </c>
      <c r="AH556" s="167" t="s">
        <v>193</v>
      </c>
      <c r="AI556" s="161" t="str">
        <f>CONCATENATE(PAA[[#This Row],[Id Interno]],"-",PAA[[#This Row],[tipo de Contrato (TH talento humano - B/S bienes y/o servicios)]],"-",S556,"-",T556,"-",PAA[[#This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57" spans="2:35" ht="70" x14ac:dyDescent="0.35">
      <c r="B557" s="23">
        <v>20260542</v>
      </c>
      <c r="C557" s="99" t="s">
        <v>805</v>
      </c>
      <c r="D557" s="23" t="s">
        <v>105</v>
      </c>
      <c r="E557" s="23" t="s">
        <v>363</v>
      </c>
      <c r="F557" s="23" t="s">
        <v>144</v>
      </c>
      <c r="G557" s="129" t="s">
        <v>374</v>
      </c>
      <c r="H557" s="136">
        <v>11</v>
      </c>
      <c r="I557" s="136">
        <v>0</v>
      </c>
      <c r="J557" s="127">
        <v>55700000</v>
      </c>
      <c r="K557" s="88" t="s">
        <v>398</v>
      </c>
      <c r="L557" s="155" t="s">
        <v>45</v>
      </c>
      <c r="M557" s="158" t="s">
        <v>401</v>
      </c>
      <c r="N557" s="23" t="s">
        <v>197</v>
      </c>
      <c r="O557" s="151" t="s">
        <v>957</v>
      </c>
      <c r="P557" s="158" t="s">
        <v>348</v>
      </c>
      <c r="Q557" s="53">
        <v>80111600</v>
      </c>
      <c r="R557" s="158" t="s">
        <v>208</v>
      </c>
      <c r="S557" s="158" t="str">
        <f>MID(PAA[[#This Row],[Meta Proyecto de Inversión]],1,4)</f>
        <v>8126</v>
      </c>
      <c r="T557" s="158" t="str">
        <f>MID(PAA[[#This Row],[Meta Proyecto de Inversión]],6,1)</f>
        <v>9</v>
      </c>
      <c r="U557" s="159" t="str">
        <f>IFERROR(VLOOKUP(N557,TD!$B$50:$F$54,2,0)," ")</f>
        <v>O230117</v>
      </c>
      <c r="V557" s="159" t="str">
        <f>IFERROR(VLOOKUP(N557,TD!$B$50:$F$54,3,0)," ")</f>
        <v>4599</v>
      </c>
      <c r="W557" s="159">
        <f>IFERROR(VLOOKUP(N557,TD!$B$50:$F$54,4,0)," ")</f>
        <v>20240207</v>
      </c>
      <c r="X557" s="158" t="s">
        <v>174</v>
      </c>
      <c r="Y557" s="159" t="str">
        <f>IFERROR(VLOOKUP(X557,TD!$J$51:$K$64,2,0)," ")</f>
        <v>Infraestructura física, mantenimiento y dotación (Sedes construidas, mantenidas reforzadas)</v>
      </c>
      <c r="Z557" s="160" t="str">
        <f>CONCATENATE(X557,"-",Y557)</f>
        <v>08-Infraestructura física, mantenimiento y dotación (Sedes construidas, mantenidas reforzadas)</v>
      </c>
      <c r="AA557" s="158" t="s">
        <v>227</v>
      </c>
      <c r="AB557" s="159" t="str">
        <f>IFERROR(VLOOKUP(AA557,TD!$N$51:$O$66,2,0)," ")</f>
        <v>Sedes mantenidas</v>
      </c>
      <c r="AC557" s="160" t="str">
        <f>CONCATENATE(AA557,"_",AB557)</f>
        <v>016_Sedes mantenidas</v>
      </c>
      <c r="AD557" s="160" t="str">
        <f>CONCATENATE(Z557," ",AC557)</f>
        <v>08-Infraestructura física, mantenimiento y dotación (Sedes construidas, mantenidas reforzadas) 016_Sedes mantenidas</v>
      </c>
      <c r="AE557" s="159" t="str">
        <f>CONCATENATE(U557,V557,W557,X557,AA557)</f>
        <v>O23011745992024020708016</v>
      </c>
      <c r="AF557" s="159" t="str">
        <f>IFERROR(VLOOKUP(AD557,TD!$J$66:$K$89,2,0)," ")</f>
        <v>PM/0131/0108/45990160207</v>
      </c>
      <c r="AG557" s="118" t="s">
        <v>385</v>
      </c>
      <c r="AH557" s="167" t="s">
        <v>193</v>
      </c>
      <c r="AI557" s="161" t="str">
        <f>CONCATENATE(PAA[[#This Row],[Id Interno]],"-",PAA[[#This Row],[tipo de Contrato (TH talento humano - B/S bienes y/o servicios)]],"-",S557,"-",T557,"-",PAA[[#This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558" spans="2:35" ht="70" x14ac:dyDescent="0.35">
      <c r="B558" s="23">
        <v>20260543</v>
      </c>
      <c r="C558" s="99" t="s">
        <v>806</v>
      </c>
      <c r="D558" s="23" t="s">
        <v>105</v>
      </c>
      <c r="E558" s="23" t="s">
        <v>363</v>
      </c>
      <c r="F558" s="23" t="s">
        <v>144</v>
      </c>
      <c r="G558" s="129" t="s">
        <v>374</v>
      </c>
      <c r="H558" s="136">
        <v>11</v>
      </c>
      <c r="I558" s="136">
        <v>0</v>
      </c>
      <c r="J558" s="127">
        <v>111100000</v>
      </c>
      <c r="K558" s="88" t="s">
        <v>398</v>
      </c>
      <c r="L558" s="155" t="s">
        <v>45</v>
      </c>
      <c r="M558" s="158" t="s">
        <v>401</v>
      </c>
      <c r="N558" s="23" t="s">
        <v>197</v>
      </c>
      <c r="O558" s="151" t="s">
        <v>957</v>
      </c>
      <c r="P558" s="158" t="s">
        <v>348</v>
      </c>
      <c r="Q558" s="53">
        <v>80111600</v>
      </c>
      <c r="R558" s="158" t="s">
        <v>208</v>
      </c>
      <c r="S558" s="158" t="str">
        <f>MID(PAA[[#This Row],[Meta Proyecto de Inversión]],1,4)</f>
        <v>8126</v>
      </c>
      <c r="T558" s="158" t="str">
        <f>MID(PAA[[#This Row],[Meta Proyecto de Inversión]],6,1)</f>
        <v>9</v>
      </c>
      <c r="U558" s="159" t="str">
        <f>IFERROR(VLOOKUP(N558,TD!$B$50:$F$54,2,0)," ")</f>
        <v>O230117</v>
      </c>
      <c r="V558" s="159" t="str">
        <f>IFERROR(VLOOKUP(N558,TD!$B$50:$F$54,3,0)," ")</f>
        <v>4599</v>
      </c>
      <c r="W558" s="159">
        <f>IFERROR(VLOOKUP(N558,TD!$B$50:$F$54,4,0)," ")</f>
        <v>20240207</v>
      </c>
      <c r="X558" s="158" t="s">
        <v>174</v>
      </c>
      <c r="Y558" s="159" t="str">
        <f>IFERROR(VLOOKUP(X558,TD!$J$51:$K$64,2,0)," ")</f>
        <v>Infraestructura física, mantenimiento y dotación (Sedes construidas, mantenidas reforzadas)</v>
      </c>
      <c r="Z558" s="160" t="str">
        <f>CONCATENATE(X558,"-",Y558)</f>
        <v>08-Infraestructura física, mantenimiento y dotación (Sedes construidas, mantenidas reforzadas)</v>
      </c>
      <c r="AA558" s="158" t="s">
        <v>227</v>
      </c>
      <c r="AB558" s="159" t="str">
        <f>IFERROR(VLOOKUP(AA558,TD!$N$51:$O$66,2,0)," ")</f>
        <v>Sedes mantenidas</v>
      </c>
      <c r="AC558" s="160" t="str">
        <f>CONCATENATE(AA558,"_",AB558)</f>
        <v>016_Sedes mantenidas</v>
      </c>
      <c r="AD558" s="160" t="str">
        <f>CONCATENATE(Z558," ",AC558)</f>
        <v>08-Infraestructura física, mantenimiento y dotación (Sedes construidas, mantenidas reforzadas) 016_Sedes mantenidas</v>
      </c>
      <c r="AE558" s="159" t="str">
        <f>CONCATENATE(U558,V558,W558,X558,AA558)</f>
        <v>O23011745992024020708016</v>
      </c>
      <c r="AF558" s="159" t="str">
        <f>IFERROR(VLOOKUP(AD558,TD!$J$66:$K$89,2,0)," ")</f>
        <v>PM/0131/0108/45990160207</v>
      </c>
      <c r="AG558" s="118" t="s">
        <v>385</v>
      </c>
      <c r="AH558" s="167" t="s">
        <v>193</v>
      </c>
      <c r="AI558" s="161" t="str">
        <f>CONCATENATE(PAA[[#This Row],[Id Interno]],"-",PAA[[#This Row],[tipo de Contrato (TH talento humano - B/S bienes y/o servicios)]],"-",S558,"-",T558,"-",PAA[[#This Row],[Objeto de la contratación]])</f>
        <v>20260543-TH-8126-9-Prestar servicios profesionales jurídicos en el desarrollo de las actividades y de los diferentes procesos de la Dirección General de la UAE Cuerpo Oficial de Bomberos de Bogotá</v>
      </c>
    </row>
    <row r="559" spans="2:35" ht="70" x14ac:dyDescent="0.35">
      <c r="B559" s="23">
        <v>20260544</v>
      </c>
      <c r="C559" s="99" t="s">
        <v>807</v>
      </c>
      <c r="D559" s="23" t="s">
        <v>105</v>
      </c>
      <c r="E559" s="23" t="s">
        <v>363</v>
      </c>
      <c r="F559" s="23" t="s">
        <v>144</v>
      </c>
      <c r="G559" s="129" t="s">
        <v>374</v>
      </c>
      <c r="H559" s="136">
        <v>11</v>
      </c>
      <c r="I559" s="136">
        <v>0</v>
      </c>
      <c r="J559" s="127">
        <v>61600000</v>
      </c>
      <c r="K559" s="88" t="s">
        <v>398</v>
      </c>
      <c r="L559" s="155" t="s">
        <v>45</v>
      </c>
      <c r="M559" s="158" t="s">
        <v>401</v>
      </c>
      <c r="N559" s="23" t="s">
        <v>197</v>
      </c>
      <c r="O559" s="151" t="s">
        <v>957</v>
      </c>
      <c r="P559" s="158" t="s">
        <v>348</v>
      </c>
      <c r="Q559" s="53">
        <v>80111600</v>
      </c>
      <c r="R559" s="158" t="s">
        <v>208</v>
      </c>
      <c r="S559" s="158" t="str">
        <f>MID(PAA[[#This Row],[Meta Proyecto de Inversión]],1,4)</f>
        <v>8126</v>
      </c>
      <c r="T559" s="158" t="str">
        <f>MID(PAA[[#This Row],[Meta Proyecto de Inversión]],6,1)</f>
        <v>9</v>
      </c>
      <c r="U559" s="159" t="str">
        <f>IFERROR(VLOOKUP(N559,TD!$B$50:$F$54,2,0)," ")</f>
        <v>O230117</v>
      </c>
      <c r="V559" s="159" t="str">
        <f>IFERROR(VLOOKUP(N559,TD!$B$50:$F$54,3,0)," ")</f>
        <v>4599</v>
      </c>
      <c r="W559" s="159">
        <f>IFERROR(VLOOKUP(N559,TD!$B$50:$F$54,4,0)," ")</f>
        <v>20240207</v>
      </c>
      <c r="X559" s="158" t="s">
        <v>174</v>
      </c>
      <c r="Y559" s="159" t="str">
        <f>IFERROR(VLOOKUP(X559,TD!$J$51:$K$64,2,0)," ")</f>
        <v>Infraestructura física, mantenimiento y dotación (Sedes construidas, mantenidas reforzadas)</v>
      </c>
      <c r="Z559" s="160" t="str">
        <f>CONCATENATE(X559,"-",Y559)</f>
        <v>08-Infraestructura física, mantenimiento y dotación (Sedes construidas, mantenidas reforzadas)</v>
      </c>
      <c r="AA559" s="158" t="s">
        <v>227</v>
      </c>
      <c r="AB559" s="159" t="str">
        <f>IFERROR(VLOOKUP(AA559,TD!$N$51:$O$66,2,0)," ")</f>
        <v>Sedes mantenidas</v>
      </c>
      <c r="AC559" s="160" t="str">
        <f>CONCATENATE(AA559,"_",AB559)</f>
        <v>016_Sedes mantenidas</v>
      </c>
      <c r="AD559" s="160" t="str">
        <f>CONCATENATE(Z559," ",AC559)</f>
        <v>08-Infraestructura física, mantenimiento y dotación (Sedes construidas, mantenidas reforzadas) 016_Sedes mantenidas</v>
      </c>
      <c r="AE559" s="159" t="str">
        <f>CONCATENATE(U559,V559,W559,X559,AA559)</f>
        <v>O23011745992024020708016</v>
      </c>
      <c r="AF559" s="159" t="str">
        <f>IFERROR(VLOOKUP(AD559,TD!$J$66:$K$89,2,0)," ")</f>
        <v>PM/0131/0108/45990160207</v>
      </c>
      <c r="AG559" s="118" t="s">
        <v>385</v>
      </c>
      <c r="AH559" s="167" t="s">
        <v>193</v>
      </c>
      <c r="AI559" s="161" t="str">
        <f>CONCATENATE(PAA[[#This Row],[Id Interno]],"-",PAA[[#This Row],[tipo de Contrato (TH talento humano - B/S bienes y/o servicios)]],"-",S559,"-",T559,"-",PAA[[#This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60" spans="2:35" ht="56" x14ac:dyDescent="0.35">
      <c r="B560" s="23">
        <v>20260545</v>
      </c>
      <c r="C560" s="99" t="s">
        <v>808</v>
      </c>
      <c r="D560" s="23" t="s">
        <v>105</v>
      </c>
      <c r="E560" s="23" t="s">
        <v>363</v>
      </c>
      <c r="F560" s="23" t="s">
        <v>144</v>
      </c>
      <c r="G560" s="129" t="s">
        <v>374</v>
      </c>
      <c r="H560" s="136">
        <v>11</v>
      </c>
      <c r="I560" s="136">
        <v>0</v>
      </c>
      <c r="J560" s="127">
        <v>90750000</v>
      </c>
      <c r="K560" s="88" t="s">
        <v>398</v>
      </c>
      <c r="L560" s="155" t="s">
        <v>45</v>
      </c>
      <c r="M560" s="158" t="s">
        <v>401</v>
      </c>
      <c r="N560" s="23" t="s">
        <v>197</v>
      </c>
      <c r="O560" s="151" t="s">
        <v>957</v>
      </c>
      <c r="P560" s="158" t="s">
        <v>348</v>
      </c>
      <c r="Q560" s="53">
        <v>80111600</v>
      </c>
      <c r="R560" s="158" t="s">
        <v>208</v>
      </c>
      <c r="S560" s="158" t="str">
        <f>MID(PAA[[#This Row],[Meta Proyecto de Inversión]],1,4)</f>
        <v>8126</v>
      </c>
      <c r="T560" s="158" t="str">
        <f>MID(PAA[[#This Row],[Meta Proyecto de Inversión]],6,1)</f>
        <v>9</v>
      </c>
      <c r="U560" s="159" t="str">
        <f>IFERROR(VLOOKUP(N560,TD!$B$50:$F$54,2,0)," ")</f>
        <v>O230117</v>
      </c>
      <c r="V560" s="159" t="str">
        <f>IFERROR(VLOOKUP(N560,TD!$B$50:$F$54,3,0)," ")</f>
        <v>4599</v>
      </c>
      <c r="W560" s="159">
        <f>IFERROR(VLOOKUP(N560,TD!$B$50:$F$54,4,0)," ")</f>
        <v>20240207</v>
      </c>
      <c r="X560" s="158" t="s">
        <v>174</v>
      </c>
      <c r="Y560" s="159" t="str">
        <f>IFERROR(VLOOKUP(X560,TD!$J$51:$K$64,2,0)," ")</f>
        <v>Infraestructura física, mantenimiento y dotación (Sedes construidas, mantenidas reforzadas)</v>
      </c>
      <c r="Z560" s="160" t="str">
        <f>CONCATENATE(X560,"-",Y560)</f>
        <v>08-Infraestructura física, mantenimiento y dotación (Sedes construidas, mantenidas reforzadas)</v>
      </c>
      <c r="AA560" s="158" t="s">
        <v>227</v>
      </c>
      <c r="AB560" s="159" t="str">
        <f>IFERROR(VLOOKUP(AA560,TD!$N$51:$O$66,2,0)," ")</f>
        <v>Sedes mantenidas</v>
      </c>
      <c r="AC560" s="160" t="str">
        <f>CONCATENATE(AA560,"_",AB560)</f>
        <v>016_Sedes mantenidas</v>
      </c>
      <c r="AD560" s="160" t="str">
        <f>CONCATENATE(Z560," ",AC560)</f>
        <v>08-Infraestructura física, mantenimiento y dotación (Sedes construidas, mantenidas reforzadas) 016_Sedes mantenidas</v>
      </c>
      <c r="AE560" s="159" t="str">
        <f>CONCATENATE(U560,V560,W560,X560,AA560)</f>
        <v>O23011745992024020708016</v>
      </c>
      <c r="AF560" s="159" t="str">
        <f>IFERROR(VLOOKUP(AD560,TD!$J$66:$K$89,2,0)," ")</f>
        <v>PM/0131/0108/45990160207</v>
      </c>
      <c r="AG560" s="118" t="s">
        <v>385</v>
      </c>
      <c r="AH560" s="167" t="s">
        <v>193</v>
      </c>
      <c r="AI560" s="161" t="str">
        <f>CONCATENATE(PAA[[#This Row],[Id Interno]],"-",PAA[[#This Row],[tipo de Contrato (TH talento humano - B/S bienes y/o servicios)]],"-",S560,"-",T560,"-",PAA[[#This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61" spans="2:35" ht="84" x14ac:dyDescent="0.35">
      <c r="B561" s="23">
        <v>20260546</v>
      </c>
      <c r="C561" s="99" t="s">
        <v>809</v>
      </c>
      <c r="D561" s="23" t="s">
        <v>105</v>
      </c>
      <c r="E561" s="23" t="s">
        <v>363</v>
      </c>
      <c r="F561" s="23" t="s">
        <v>145</v>
      </c>
      <c r="G561" s="129" t="s">
        <v>374</v>
      </c>
      <c r="H561" s="136">
        <v>11</v>
      </c>
      <c r="I561" s="136">
        <v>0</v>
      </c>
      <c r="J561" s="127">
        <v>50600000</v>
      </c>
      <c r="K561" s="88" t="s">
        <v>398</v>
      </c>
      <c r="L561" s="155" t="s">
        <v>45</v>
      </c>
      <c r="M561" s="158" t="s">
        <v>401</v>
      </c>
      <c r="N561" s="23" t="s">
        <v>197</v>
      </c>
      <c r="O561" s="151" t="s">
        <v>957</v>
      </c>
      <c r="P561" s="158" t="s">
        <v>348</v>
      </c>
      <c r="Q561" s="53">
        <v>80111600</v>
      </c>
      <c r="R561" s="158" t="s">
        <v>208</v>
      </c>
      <c r="S561" s="158" t="str">
        <f>MID(PAA[[#This Row],[Meta Proyecto de Inversión]],1,4)</f>
        <v>8126</v>
      </c>
      <c r="T561" s="158" t="str">
        <f>MID(PAA[[#This Row],[Meta Proyecto de Inversión]],6,1)</f>
        <v>9</v>
      </c>
      <c r="U561" s="159" t="str">
        <f>IFERROR(VLOOKUP(N561,TD!$B$50:$F$54,2,0)," ")</f>
        <v>O230117</v>
      </c>
      <c r="V561" s="159" t="str">
        <f>IFERROR(VLOOKUP(N561,TD!$B$50:$F$54,3,0)," ")</f>
        <v>4599</v>
      </c>
      <c r="W561" s="159">
        <f>IFERROR(VLOOKUP(N561,TD!$B$50:$F$54,4,0)," ")</f>
        <v>20240207</v>
      </c>
      <c r="X561" s="158" t="s">
        <v>174</v>
      </c>
      <c r="Y561" s="159" t="str">
        <f>IFERROR(VLOOKUP(X561,TD!$J$51:$K$64,2,0)," ")</f>
        <v>Infraestructura física, mantenimiento y dotación (Sedes construidas, mantenidas reforzadas)</v>
      </c>
      <c r="Z561" s="160" t="str">
        <f>CONCATENATE(X561,"-",Y561)</f>
        <v>08-Infraestructura física, mantenimiento y dotación (Sedes construidas, mantenidas reforzadas)</v>
      </c>
      <c r="AA561" s="158" t="s">
        <v>227</v>
      </c>
      <c r="AB561" s="159" t="str">
        <f>IFERROR(VLOOKUP(AA561,TD!$N$51:$O$66,2,0)," ")</f>
        <v>Sedes mantenidas</v>
      </c>
      <c r="AC561" s="160" t="str">
        <f>CONCATENATE(AA561,"_",AB561)</f>
        <v>016_Sedes mantenidas</v>
      </c>
      <c r="AD561" s="160" t="str">
        <f>CONCATENATE(Z561," ",AC561)</f>
        <v>08-Infraestructura física, mantenimiento y dotación (Sedes construidas, mantenidas reforzadas) 016_Sedes mantenidas</v>
      </c>
      <c r="AE561" s="159" t="str">
        <f>CONCATENATE(U561,V561,W561,X561,AA561)</f>
        <v>O23011745992024020708016</v>
      </c>
      <c r="AF561" s="159" t="str">
        <f>IFERROR(VLOOKUP(AD561,TD!$J$66:$K$89,2,0)," ")</f>
        <v>PM/0131/0108/45990160207</v>
      </c>
      <c r="AG561" s="118" t="s">
        <v>385</v>
      </c>
      <c r="AH561" s="167" t="s">
        <v>193</v>
      </c>
      <c r="AI561" s="161" t="str">
        <f>CONCATENATE(PAA[[#This Row],[Id Interno]],"-",PAA[[#This Row],[tipo de Contrato (TH talento humano - B/S bienes y/o servicios)]],"-",S561,"-",T561,"-",PAA[[#This Row],[Objeto de la contratación]])</f>
        <v>20260546-TH-8126-9-Prestar servicios de apoyo a la gestión en la UAECOB, en asuntos administrativos y asistenciales requeridos, especificamente en el seguimiento de la información.</v>
      </c>
    </row>
    <row r="562" spans="2:35" ht="70" x14ac:dyDescent="0.35">
      <c r="B562" s="23">
        <v>20260547</v>
      </c>
      <c r="C562" s="99" t="s">
        <v>810</v>
      </c>
      <c r="D562" s="23" t="s">
        <v>105</v>
      </c>
      <c r="E562" s="23" t="s">
        <v>363</v>
      </c>
      <c r="F562" s="23" t="s">
        <v>144</v>
      </c>
      <c r="G562" s="129" t="s">
        <v>374</v>
      </c>
      <c r="H562" s="136">
        <v>11</v>
      </c>
      <c r="I562" s="136">
        <v>0</v>
      </c>
      <c r="J562" s="127">
        <v>90750000</v>
      </c>
      <c r="K562" s="88" t="s">
        <v>398</v>
      </c>
      <c r="L562" s="155" t="s">
        <v>45</v>
      </c>
      <c r="M562" s="158" t="s">
        <v>401</v>
      </c>
      <c r="N562" s="23" t="s">
        <v>197</v>
      </c>
      <c r="O562" s="151" t="s">
        <v>957</v>
      </c>
      <c r="P562" s="158" t="s">
        <v>348</v>
      </c>
      <c r="Q562" s="53">
        <v>80111600</v>
      </c>
      <c r="R562" s="158" t="s">
        <v>208</v>
      </c>
      <c r="S562" s="158" t="str">
        <f>MID(PAA[[#This Row],[Meta Proyecto de Inversión]],1,4)</f>
        <v>8126</v>
      </c>
      <c r="T562" s="158" t="str">
        <f>MID(PAA[[#This Row],[Meta Proyecto de Inversión]],6,1)</f>
        <v>9</v>
      </c>
      <c r="U562" s="159" t="str">
        <f>IFERROR(VLOOKUP(N562,TD!$B$50:$F$54,2,0)," ")</f>
        <v>O230117</v>
      </c>
      <c r="V562" s="159" t="str">
        <f>IFERROR(VLOOKUP(N562,TD!$B$50:$F$54,3,0)," ")</f>
        <v>4599</v>
      </c>
      <c r="W562" s="159">
        <f>IFERROR(VLOOKUP(N562,TD!$B$50:$F$54,4,0)," ")</f>
        <v>20240207</v>
      </c>
      <c r="X562" s="158" t="s">
        <v>174</v>
      </c>
      <c r="Y562" s="159" t="str">
        <f>IFERROR(VLOOKUP(X562,TD!$J$51:$K$64,2,0)," ")</f>
        <v>Infraestructura física, mantenimiento y dotación (Sedes construidas, mantenidas reforzadas)</v>
      </c>
      <c r="Z562" s="160" t="str">
        <f>CONCATENATE(X562,"-",Y562)</f>
        <v>08-Infraestructura física, mantenimiento y dotación (Sedes construidas, mantenidas reforzadas)</v>
      </c>
      <c r="AA562" s="158" t="s">
        <v>227</v>
      </c>
      <c r="AB562" s="159" t="str">
        <f>IFERROR(VLOOKUP(AA562,TD!$N$51:$O$66,2,0)," ")</f>
        <v>Sedes mantenidas</v>
      </c>
      <c r="AC562" s="160" t="str">
        <f>CONCATENATE(AA562,"_",AB562)</f>
        <v>016_Sedes mantenidas</v>
      </c>
      <c r="AD562" s="160" t="str">
        <f>CONCATENATE(Z562," ",AC562)</f>
        <v>08-Infraestructura física, mantenimiento y dotación (Sedes construidas, mantenidas reforzadas) 016_Sedes mantenidas</v>
      </c>
      <c r="AE562" s="159" t="str">
        <f>CONCATENATE(U562,V562,W562,X562,AA562)</f>
        <v>O23011745992024020708016</v>
      </c>
      <c r="AF562" s="159" t="str">
        <f>IFERROR(VLOOKUP(AD562,TD!$J$66:$K$89,2,0)," ")</f>
        <v>PM/0131/0108/45990160207</v>
      </c>
      <c r="AG562" s="118" t="s">
        <v>385</v>
      </c>
      <c r="AH562" s="167" t="s">
        <v>193</v>
      </c>
      <c r="AI562" s="161" t="str">
        <f>CONCATENATE(PAA[[#This Row],[Id Interno]],"-",PAA[[#This Row],[tipo de Contrato (TH talento humano - B/S bienes y/o servicios)]],"-",S562,"-",T562,"-",PAA[[#This Row],[Objeto de la contratación]])</f>
        <v>20260547-TH-8126-9-Prestar servicios profesionales en el desarrollo de los diferentes procesos que tiene a su cargo la Dirección General de la UAE Cuerpo Oficial de Bomberos de Bogotá.</v>
      </c>
    </row>
    <row r="563" spans="2:35" ht="70" x14ac:dyDescent="0.35">
      <c r="B563" s="23">
        <v>20260548</v>
      </c>
      <c r="C563" s="99" t="s">
        <v>811</v>
      </c>
      <c r="D563" s="23" t="s">
        <v>105</v>
      </c>
      <c r="E563" s="23" t="s">
        <v>363</v>
      </c>
      <c r="F563" s="23" t="s">
        <v>145</v>
      </c>
      <c r="G563" s="129" t="s">
        <v>374</v>
      </c>
      <c r="H563" s="136">
        <v>11</v>
      </c>
      <c r="I563" s="136">
        <v>0</v>
      </c>
      <c r="J563" s="127">
        <v>43450000</v>
      </c>
      <c r="K563" s="88" t="s">
        <v>398</v>
      </c>
      <c r="L563" s="155" t="s">
        <v>45</v>
      </c>
      <c r="M563" s="158" t="s">
        <v>401</v>
      </c>
      <c r="N563" s="23" t="s">
        <v>197</v>
      </c>
      <c r="O563" s="151" t="s">
        <v>957</v>
      </c>
      <c r="P563" s="158" t="s">
        <v>348</v>
      </c>
      <c r="Q563" s="53">
        <v>80111600</v>
      </c>
      <c r="R563" s="158" t="s">
        <v>208</v>
      </c>
      <c r="S563" s="158" t="str">
        <f>MID(PAA[[#This Row],[Meta Proyecto de Inversión]],1,4)</f>
        <v>8126</v>
      </c>
      <c r="T563" s="158" t="str">
        <f>MID(PAA[[#This Row],[Meta Proyecto de Inversión]],6,1)</f>
        <v>9</v>
      </c>
      <c r="U563" s="159" t="str">
        <f>IFERROR(VLOOKUP(N563,TD!$B$50:$F$54,2,0)," ")</f>
        <v>O230117</v>
      </c>
      <c r="V563" s="159" t="str">
        <f>IFERROR(VLOOKUP(N563,TD!$B$50:$F$54,3,0)," ")</f>
        <v>4599</v>
      </c>
      <c r="W563" s="159">
        <f>IFERROR(VLOOKUP(N563,TD!$B$50:$F$54,4,0)," ")</f>
        <v>20240207</v>
      </c>
      <c r="X563" s="158" t="s">
        <v>174</v>
      </c>
      <c r="Y563" s="159" t="str">
        <f>IFERROR(VLOOKUP(X563,TD!$J$51:$K$64,2,0)," ")</f>
        <v>Infraestructura física, mantenimiento y dotación (Sedes construidas, mantenidas reforzadas)</v>
      </c>
      <c r="Z563" s="160" t="str">
        <f>CONCATENATE(X563,"-",Y563)</f>
        <v>08-Infraestructura física, mantenimiento y dotación (Sedes construidas, mantenidas reforzadas)</v>
      </c>
      <c r="AA563" s="158" t="s">
        <v>227</v>
      </c>
      <c r="AB563" s="159" t="str">
        <f>IFERROR(VLOOKUP(AA563,TD!$N$51:$O$66,2,0)," ")</f>
        <v>Sedes mantenidas</v>
      </c>
      <c r="AC563" s="160" t="str">
        <f>CONCATENATE(AA563,"_",AB563)</f>
        <v>016_Sedes mantenidas</v>
      </c>
      <c r="AD563" s="160" t="str">
        <f>CONCATENATE(Z563," ",AC563)</f>
        <v>08-Infraestructura física, mantenimiento y dotación (Sedes construidas, mantenidas reforzadas) 016_Sedes mantenidas</v>
      </c>
      <c r="AE563" s="159" t="str">
        <f>CONCATENATE(U563,V563,W563,X563,AA563)</f>
        <v>O23011745992024020708016</v>
      </c>
      <c r="AF563" s="159" t="str">
        <f>IFERROR(VLOOKUP(AD563,TD!$J$66:$K$89,2,0)," ")</f>
        <v>PM/0131/0108/45990160207</v>
      </c>
      <c r="AG563" s="118" t="s">
        <v>385</v>
      </c>
      <c r="AH563" s="167" t="s">
        <v>193</v>
      </c>
      <c r="AI563" s="161" t="str">
        <f>CONCATENATE(PAA[[#This Row],[Id Interno]],"-",PAA[[#This Row],[tipo de Contrato (TH talento humano - B/S bienes y/o servicios)]],"-",S563,"-",T563,"-",PAA[[#This Row],[Objeto de la contratación]])</f>
        <v>20260548-TH-8126-9-Prestar servicios como conductor a la UAECOB, para facilitar el transporte de recursos humanos y demás que le sean indicados en la Dirección General en concordancia al marco de sus funciones</v>
      </c>
    </row>
    <row r="564" spans="2:35" ht="70" x14ac:dyDescent="0.35">
      <c r="B564" s="23">
        <v>20260549</v>
      </c>
      <c r="C564" s="99" t="s">
        <v>812</v>
      </c>
      <c r="D564" s="23" t="s">
        <v>105</v>
      </c>
      <c r="E564" s="23" t="s">
        <v>363</v>
      </c>
      <c r="F564" s="23" t="s">
        <v>144</v>
      </c>
      <c r="G564" s="129" t="s">
        <v>374</v>
      </c>
      <c r="H564" s="136">
        <v>10</v>
      </c>
      <c r="I564" s="136">
        <v>0</v>
      </c>
      <c r="J564" s="127">
        <v>36000000</v>
      </c>
      <c r="K564" s="88" t="s">
        <v>398</v>
      </c>
      <c r="L564" s="155" t="s">
        <v>45</v>
      </c>
      <c r="M564" s="158" t="s">
        <v>401</v>
      </c>
      <c r="N564" s="23" t="s">
        <v>197</v>
      </c>
      <c r="O564" s="151" t="s">
        <v>957</v>
      </c>
      <c r="P564" s="158" t="s">
        <v>348</v>
      </c>
      <c r="Q564" s="53">
        <v>80111600</v>
      </c>
      <c r="R564" s="158" t="s">
        <v>208</v>
      </c>
      <c r="S564" s="158" t="str">
        <f>MID(PAA[[#This Row],[Meta Proyecto de Inversión]],1,4)</f>
        <v>8126</v>
      </c>
      <c r="T564" s="158" t="str">
        <f>MID(PAA[[#This Row],[Meta Proyecto de Inversión]],6,1)</f>
        <v>9</v>
      </c>
      <c r="U564" s="159" t="str">
        <f>IFERROR(VLOOKUP(N564,TD!$B$50:$F$54,2,0)," ")</f>
        <v>O230117</v>
      </c>
      <c r="V564" s="159" t="str">
        <f>IFERROR(VLOOKUP(N564,TD!$B$50:$F$54,3,0)," ")</f>
        <v>4599</v>
      </c>
      <c r="W564" s="159">
        <f>IFERROR(VLOOKUP(N564,TD!$B$50:$F$54,4,0)," ")</f>
        <v>20240207</v>
      </c>
      <c r="X564" s="158" t="s">
        <v>174</v>
      </c>
      <c r="Y564" s="159" t="str">
        <f>IFERROR(VLOOKUP(X564,TD!$J$51:$K$64,2,0)," ")</f>
        <v>Infraestructura física, mantenimiento y dotación (Sedes construidas, mantenidas reforzadas)</v>
      </c>
      <c r="Z564" s="160" t="str">
        <f>CONCATENATE(X564,"-",Y564)</f>
        <v>08-Infraestructura física, mantenimiento y dotación (Sedes construidas, mantenidas reforzadas)</v>
      </c>
      <c r="AA564" s="158" t="s">
        <v>227</v>
      </c>
      <c r="AB564" s="159" t="str">
        <f>IFERROR(VLOOKUP(AA564,TD!$N$51:$O$66,2,0)," ")</f>
        <v>Sedes mantenidas</v>
      </c>
      <c r="AC564" s="160" t="str">
        <f>CONCATENATE(AA564,"_",AB564)</f>
        <v>016_Sedes mantenidas</v>
      </c>
      <c r="AD564" s="160" t="str">
        <f>CONCATENATE(Z564," ",AC564)</f>
        <v>08-Infraestructura física, mantenimiento y dotación (Sedes construidas, mantenidas reforzadas) 016_Sedes mantenidas</v>
      </c>
      <c r="AE564" s="159" t="str">
        <f>CONCATENATE(U564,V564,W564,X564,AA564)</f>
        <v>O23011745992024020708016</v>
      </c>
      <c r="AF564" s="159" t="str">
        <f>IFERROR(VLOOKUP(AD564,TD!$J$66:$K$89,2,0)," ")</f>
        <v>PM/0131/0108/45990160207</v>
      </c>
      <c r="AG564" s="118" t="s">
        <v>385</v>
      </c>
      <c r="AH564" s="167" t="s">
        <v>193</v>
      </c>
      <c r="AI564" s="161" t="str">
        <f>CONCATENATE(PAA[[#This Row],[Id Interno]],"-",PAA[[#This Row],[tipo de Contrato (TH talento humano - B/S bienes y/o servicios)]],"-",S564,"-",T564,"-",PAA[[#This Row],[Objeto de la contratación]])</f>
        <v>20260549-TH-8126-9-Prestar servicios profesionales jurídicos en el desarrollo de las actividades estrategicas de la Dirección General de la UAE Cuerpo Oficial de Bomberos de Bogotá</v>
      </c>
    </row>
    <row r="565" spans="2:35" ht="70" x14ac:dyDescent="0.35">
      <c r="B565" s="23">
        <v>20260550</v>
      </c>
      <c r="C565" s="99" t="s">
        <v>813</v>
      </c>
      <c r="D565" s="23" t="s">
        <v>105</v>
      </c>
      <c r="E565" s="23" t="s">
        <v>363</v>
      </c>
      <c r="F565" s="23" t="s">
        <v>144</v>
      </c>
      <c r="G565" s="129" t="s">
        <v>374</v>
      </c>
      <c r="H565" s="136">
        <v>11</v>
      </c>
      <c r="I565" s="136">
        <v>0</v>
      </c>
      <c r="J565" s="127">
        <v>101200000</v>
      </c>
      <c r="K565" s="88" t="s">
        <v>398</v>
      </c>
      <c r="L565" s="155" t="s">
        <v>45</v>
      </c>
      <c r="M565" s="158" t="s">
        <v>401</v>
      </c>
      <c r="N565" s="23" t="s">
        <v>197</v>
      </c>
      <c r="O565" s="151" t="s">
        <v>957</v>
      </c>
      <c r="P565" s="158" t="s">
        <v>348</v>
      </c>
      <c r="Q565" s="53">
        <v>80111600</v>
      </c>
      <c r="R565" s="158" t="s">
        <v>208</v>
      </c>
      <c r="S565" s="158" t="str">
        <f>MID(PAA[[#This Row],[Meta Proyecto de Inversión]],1,4)</f>
        <v>8126</v>
      </c>
      <c r="T565" s="158" t="str">
        <f>MID(PAA[[#This Row],[Meta Proyecto de Inversión]],6,1)</f>
        <v>9</v>
      </c>
      <c r="U565" s="159" t="str">
        <f>IFERROR(VLOOKUP(N565,TD!$B$50:$F$54,2,0)," ")</f>
        <v>O230117</v>
      </c>
      <c r="V565" s="159" t="str">
        <f>IFERROR(VLOOKUP(N565,TD!$B$50:$F$54,3,0)," ")</f>
        <v>4599</v>
      </c>
      <c r="W565" s="159">
        <f>IFERROR(VLOOKUP(N565,TD!$B$50:$F$54,4,0)," ")</f>
        <v>20240207</v>
      </c>
      <c r="X565" s="158" t="s">
        <v>174</v>
      </c>
      <c r="Y565" s="159" t="str">
        <f>IFERROR(VLOOKUP(X565,TD!$J$51:$K$64,2,0)," ")</f>
        <v>Infraestructura física, mantenimiento y dotación (Sedes construidas, mantenidas reforzadas)</v>
      </c>
      <c r="Z565" s="160" t="str">
        <f>CONCATENATE(X565,"-",Y565)</f>
        <v>08-Infraestructura física, mantenimiento y dotación (Sedes construidas, mantenidas reforzadas)</v>
      </c>
      <c r="AA565" s="158" t="s">
        <v>227</v>
      </c>
      <c r="AB565" s="159" t="str">
        <f>IFERROR(VLOOKUP(AA565,TD!$N$51:$O$66,2,0)," ")</f>
        <v>Sedes mantenidas</v>
      </c>
      <c r="AC565" s="160" t="str">
        <f>CONCATENATE(AA565,"_",AB565)</f>
        <v>016_Sedes mantenidas</v>
      </c>
      <c r="AD565" s="160" t="str">
        <f>CONCATENATE(Z565," ",AC565)</f>
        <v>08-Infraestructura física, mantenimiento y dotación (Sedes construidas, mantenidas reforzadas) 016_Sedes mantenidas</v>
      </c>
      <c r="AE565" s="159" t="str">
        <f>CONCATENATE(U565,V565,W565,X565,AA565)</f>
        <v>O23011745992024020708016</v>
      </c>
      <c r="AF565" s="159" t="str">
        <f>IFERROR(VLOOKUP(AD565,TD!$J$66:$K$89,2,0)," ")</f>
        <v>PM/0131/0108/45990160207</v>
      </c>
      <c r="AG565" s="118" t="s">
        <v>385</v>
      </c>
      <c r="AH565" s="167" t="s">
        <v>193</v>
      </c>
      <c r="AI565" s="161" t="str">
        <f>CONCATENATE(PAA[[#This Row],[Id Interno]],"-",PAA[[#This Row],[tipo de Contrato (TH talento humano - B/S bienes y/o servicios)]],"-",S565,"-",T565,"-",PAA[[#This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66" spans="2:35" ht="70" x14ac:dyDescent="0.35">
      <c r="B566" s="23">
        <v>20260551</v>
      </c>
      <c r="C566" s="99" t="s">
        <v>814</v>
      </c>
      <c r="D566" s="23" t="s">
        <v>105</v>
      </c>
      <c r="E566" s="23" t="s">
        <v>363</v>
      </c>
      <c r="F566" s="23" t="s">
        <v>144</v>
      </c>
      <c r="G566" s="129" t="s">
        <v>374</v>
      </c>
      <c r="H566" s="136">
        <v>11</v>
      </c>
      <c r="I566" s="136">
        <v>0</v>
      </c>
      <c r="J566" s="127">
        <v>90750000</v>
      </c>
      <c r="K566" s="88" t="s">
        <v>398</v>
      </c>
      <c r="L566" s="155" t="s">
        <v>45</v>
      </c>
      <c r="M566" s="158" t="s">
        <v>401</v>
      </c>
      <c r="N566" s="23" t="s">
        <v>197</v>
      </c>
      <c r="O566" s="151" t="s">
        <v>957</v>
      </c>
      <c r="P566" s="158" t="s">
        <v>348</v>
      </c>
      <c r="Q566" s="53">
        <v>80111600</v>
      </c>
      <c r="R566" s="158" t="s">
        <v>208</v>
      </c>
      <c r="S566" s="158" t="str">
        <f>MID(PAA[[#This Row],[Meta Proyecto de Inversión]],1,4)</f>
        <v>8126</v>
      </c>
      <c r="T566" s="158" t="str">
        <f>MID(PAA[[#This Row],[Meta Proyecto de Inversión]],6,1)</f>
        <v>9</v>
      </c>
      <c r="U566" s="159" t="str">
        <f>IFERROR(VLOOKUP(N566,TD!$B$50:$F$54,2,0)," ")</f>
        <v>O230117</v>
      </c>
      <c r="V566" s="159" t="str">
        <f>IFERROR(VLOOKUP(N566,TD!$B$50:$F$54,3,0)," ")</f>
        <v>4599</v>
      </c>
      <c r="W566" s="159">
        <f>IFERROR(VLOOKUP(N566,TD!$B$50:$F$54,4,0)," ")</f>
        <v>20240207</v>
      </c>
      <c r="X566" s="158" t="s">
        <v>174</v>
      </c>
      <c r="Y566" s="159" t="str">
        <f>IFERROR(VLOOKUP(X566,TD!$J$51:$K$64,2,0)," ")</f>
        <v>Infraestructura física, mantenimiento y dotación (Sedes construidas, mantenidas reforzadas)</v>
      </c>
      <c r="Z566" s="160" t="str">
        <f>CONCATENATE(X566,"-",Y566)</f>
        <v>08-Infraestructura física, mantenimiento y dotación (Sedes construidas, mantenidas reforzadas)</v>
      </c>
      <c r="AA566" s="158" t="s">
        <v>227</v>
      </c>
      <c r="AB566" s="159" t="str">
        <f>IFERROR(VLOOKUP(AA566,TD!$N$51:$O$66,2,0)," ")</f>
        <v>Sedes mantenidas</v>
      </c>
      <c r="AC566" s="160" t="str">
        <f>CONCATENATE(AA566,"_",AB566)</f>
        <v>016_Sedes mantenidas</v>
      </c>
      <c r="AD566" s="160" t="str">
        <f>CONCATENATE(Z566," ",AC566)</f>
        <v>08-Infraestructura física, mantenimiento y dotación (Sedes construidas, mantenidas reforzadas) 016_Sedes mantenidas</v>
      </c>
      <c r="AE566" s="159" t="str">
        <f>CONCATENATE(U566,V566,W566,X566,AA566)</f>
        <v>O23011745992024020708016</v>
      </c>
      <c r="AF566" s="159" t="str">
        <f>IFERROR(VLOOKUP(AD566,TD!$J$66:$K$89,2,0)," ")</f>
        <v>PM/0131/0108/45990160207</v>
      </c>
      <c r="AG566" s="118" t="s">
        <v>385</v>
      </c>
      <c r="AH566" s="167" t="s">
        <v>193</v>
      </c>
      <c r="AI566" s="161" t="str">
        <f>CONCATENATE(PAA[[#This Row],[Id Interno]],"-",PAA[[#This Row],[tipo de Contrato (TH talento humano - B/S bienes y/o servicios)]],"-",S566,"-",T566,"-",PAA[[#This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67" spans="2:35" ht="70" x14ac:dyDescent="0.35">
      <c r="B567" s="23">
        <v>20260552</v>
      </c>
      <c r="C567" s="99" t="s">
        <v>815</v>
      </c>
      <c r="D567" s="23" t="s">
        <v>105</v>
      </c>
      <c r="E567" s="23" t="s">
        <v>363</v>
      </c>
      <c r="F567" s="23" t="s">
        <v>144</v>
      </c>
      <c r="G567" s="129" t="s">
        <v>374</v>
      </c>
      <c r="H567" s="136">
        <v>11</v>
      </c>
      <c r="I567" s="136">
        <v>0</v>
      </c>
      <c r="J567" s="127">
        <v>110000000</v>
      </c>
      <c r="K567" s="88" t="s">
        <v>398</v>
      </c>
      <c r="L567" s="155" t="s">
        <v>45</v>
      </c>
      <c r="M567" s="158" t="s">
        <v>401</v>
      </c>
      <c r="N567" s="23" t="s">
        <v>197</v>
      </c>
      <c r="O567" s="151" t="s">
        <v>957</v>
      </c>
      <c r="P567" s="158" t="s">
        <v>348</v>
      </c>
      <c r="Q567" s="53">
        <v>80111600</v>
      </c>
      <c r="R567" s="158" t="s">
        <v>208</v>
      </c>
      <c r="S567" s="158" t="str">
        <f>MID(PAA[[#This Row],[Meta Proyecto de Inversión]],1,4)</f>
        <v>8126</v>
      </c>
      <c r="T567" s="158" t="str">
        <f>MID(PAA[[#This Row],[Meta Proyecto de Inversión]],6,1)</f>
        <v>9</v>
      </c>
      <c r="U567" s="159" t="str">
        <f>IFERROR(VLOOKUP(N567,TD!$B$50:$F$54,2,0)," ")</f>
        <v>O230117</v>
      </c>
      <c r="V567" s="159" t="str">
        <f>IFERROR(VLOOKUP(N567,TD!$B$50:$F$54,3,0)," ")</f>
        <v>4599</v>
      </c>
      <c r="W567" s="159">
        <f>IFERROR(VLOOKUP(N567,TD!$B$50:$F$54,4,0)," ")</f>
        <v>20240207</v>
      </c>
      <c r="X567" s="158" t="s">
        <v>174</v>
      </c>
      <c r="Y567" s="159" t="str">
        <f>IFERROR(VLOOKUP(X567,TD!$J$51:$K$64,2,0)," ")</f>
        <v>Infraestructura física, mantenimiento y dotación (Sedes construidas, mantenidas reforzadas)</v>
      </c>
      <c r="Z567" s="160" t="str">
        <f>CONCATENATE(X567,"-",Y567)</f>
        <v>08-Infraestructura física, mantenimiento y dotación (Sedes construidas, mantenidas reforzadas)</v>
      </c>
      <c r="AA567" s="158" t="s">
        <v>227</v>
      </c>
      <c r="AB567" s="159" t="str">
        <f>IFERROR(VLOOKUP(AA567,TD!$N$51:$O$66,2,0)," ")</f>
        <v>Sedes mantenidas</v>
      </c>
      <c r="AC567" s="160" t="str">
        <f>CONCATENATE(AA567,"_",AB567)</f>
        <v>016_Sedes mantenidas</v>
      </c>
      <c r="AD567" s="160" t="str">
        <f>CONCATENATE(Z567," ",AC567)</f>
        <v>08-Infraestructura física, mantenimiento y dotación (Sedes construidas, mantenidas reforzadas) 016_Sedes mantenidas</v>
      </c>
      <c r="AE567" s="159" t="str">
        <f>CONCATENATE(U567,V567,W567,X567,AA567)</f>
        <v>O23011745992024020708016</v>
      </c>
      <c r="AF567" s="159" t="str">
        <f>IFERROR(VLOOKUP(AD567,TD!$J$66:$K$89,2,0)," ")</f>
        <v>PM/0131/0108/45990160207</v>
      </c>
      <c r="AG567" s="118" t="s">
        <v>385</v>
      </c>
      <c r="AH567" s="167" t="s">
        <v>193</v>
      </c>
      <c r="AI567" s="161" t="str">
        <f>CONCATENATE(PAA[[#This Row],[Id Interno]],"-",PAA[[#This Row],[tipo de Contrato (TH talento humano - B/S bienes y/o servicios)]],"-",S567,"-",T567,"-",PAA[[#This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68" spans="2:35" ht="70" x14ac:dyDescent="0.35">
      <c r="B568" s="23">
        <v>20260553</v>
      </c>
      <c r="C568" s="99" t="s">
        <v>816</v>
      </c>
      <c r="D568" s="23" t="s">
        <v>105</v>
      </c>
      <c r="E568" s="23" t="s">
        <v>363</v>
      </c>
      <c r="F568" s="23" t="s">
        <v>144</v>
      </c>
      <c r="G568" s="129" t="s">
        <v>374</v>
      </c>
      <c r="H568" s="136">
        <v>11</v>
      </c>
      <c r="I568" s="136">
        <v>0</v>
      </c>
      <c r="J568" s="127">
        <v>90750000</v>
      </c>
      <c r="K568" s="88" t="s">
        <v>398</v>
      </c>
      <c r="L568" s="155" t="s">
        <v>45</v>
      </c>
      <c r="M568" s="158" t="s">
        <v>401</v>
      </c>
      <c r="N568" s="23" t="s">
        <v>197</v>
      </c>
      <c r="O568" s="151" t="s">
        <v>957</v>
      </c>
      <c r="P568" s="158" t="s">
        <v>348</v>
      </c>
      <c r="Q568" s="53">
        <v>80111600</v>
      </c>
      <c r="R568" s="158" t="s">
        <v>208</v>
      </c>
      <c r="S568" s="158" t="str">
        <f>MID(PAA[[#This Row],[Meta Proyecto de Inversión]],1,4)</f>
        <v>8126</v>
      </c>
      <c r="T568" s="158" t="str">
        <f>MID(PAA[[#This Row],[Meta Proyecto de Inversión]],6,1)</f>
        <v>9</v>
      </c>
      <c r="U568" s="159" t="str">
        <f>IFERROR(VLOOKUP(N568,TD!$B$50:$F$54,2,0)," ")</f>
        <v>O230117</v>
      </c>
      <c r="V568" s="159" t="str">
        <f>IFERROR(VLOOKUP(N568,TD!$B$50:$F$54,3,0)," ")</f>
        <v>4599</v>
      </c>
      <c r="W568" s="159">
        <f>IFERROR(VLOOKUP(N568,TD!$B$50:$F$54,4,0)," ")</f>
        <v>20240207</v>
      </c>
      <c r="X568" s="158" t="s">
        <v>174</v>
      </c>
      <c r="Y568" s="159" t="str">
        <f>IFERROR(VLOOKUP(X568,TD!$J$51:$K$64,2,0)," ")</f>
        <v>Infraestructura física, mantenimiento y dotación (Sedes construidas, mantenidas reforzadas)</v>
      </c>
      <c r="Z568" s="160" t="str">
        <f>CONCATENATE(X568,"-",Y568)</f>
        <v>08-Infraestructura física, mantenimiento y dotación (Sedes construidas, mantenidas reforzadas)</v>
      </c>
      <c r="AA568" s="158" t="s">
        <v>227</v>
      </c>
      <c r="AB568" s="159" t="str">
        <f>IFERROR(VLOOKUP(AA568,TD!$N$51:$O$66,2,0)," ")</f>
        <v>Sedes mantenidas</v>
      </c>
      <c r="AC568" s="160" t="str">
        <f>CONCATENATE(AA568,"_",AB568)</f>
        <v>016_Sedes mantenidas</v>
      </c>
      <c r="AD568" s="160" t="str">
        <f>CONCATENATE(Z568," ",AC568)</f>
        <v>08-Infraestructura física, mantenimiento y dotación (Sedes construidas, mantenidas reforzadas) 016_Sedes mantenidas</v>
      </c>
      <c r="AE568" s="159" t="str">
        <f>CONCATENATE(U568,V568,W568,X568,AA568)</f>
        <v>O23011745992024020708016</v>
      </c>
      <c r="AF568" s="159" t="str">
        <f>IFERROR(VLOOKUP(AD568,TD!$J$66:$K$89,2,0)," ")</f>
        <v>PM/0131/0108/45990160207</v>
      </c>
      <c r="AG568" s="118" t="s">
        <v>385</v>
      </c>
      <c r="AH568" s="167" t="s">
        <v>193</v>
      </c>
      <c r="AI568" s="161" t="str">
        <f>CONCATENATE(PAA[[#This Row],[Id Interno]],"-",PAA[[#This Row],[tipo de Contrato (TH talento humano - B/S bienes y/o servicios)]],"-",S568,"-",T568,"-",PAA[[#This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69" spans="2:35" ht="70" x14ac:dyDescent="0.35">
      <c r="B569" s="23">
        <v>20260554</v>
      </c>
      <c r="C569" s="99" t="s">
        <v>817</v>
      </c>
      <c r="D569" s="23" t="s">
        <v>105</v>
      </c>
      <c r="E569" s="23" t="s">
        <v>363</v>
      </c>
      <c r="F569" s="23" t="s">
        <v>144</v>
      </c>
      <c r="G569" s="129" t="s">
        <v>374</v>
      </c>
      <c r="H569" s="136">
        <v>10</v>
      </c>
      <c r="I569" s="136">
        <v>0</v>
      </c>
      <c r="J569" s="127">
        <v>78300000</v>
      </c>
      <c r="K569" s="88" t="s">
        <v>398</v>
      </c>
      <c r="L569" s="155" t="s">
        <v>45</v>
      </c>
      <c r="M569" s="158" t="s">
        <v>401</v>
      </c>
      <c r="N569" s="23" t="s">
        <v>197</v>
      </c>
      <c r="O569" s="151" t="s">
        <v>957</v>
      </c>
      <c r="P569" s="158" t="s">
        <v>348</v>
      </c>
      <c r="Q569" s="53">
        <v>80111600</v>
      </c>
      <c r="R569" s="158" t="s">
        <v>208</v>
      </c>
      <c r="S569" s="158" t="str">
        <f>MID(PAA[[#This Row],[Meta Proyecto de Inversión]],1,4)</f>
        <v>8126</v>
      </c>
      <c r="T569" s="158" t="str">
        <f>MID(PAA[[#This Row],[Meta Proyecto de Inversión]],6,1)</f>
        <v>9</v>
      </c>
      <c r="U569" s="159" t="str">
        <f>IFERROR(VLOOKUP(N569,TD!$B$50:$F$54,2,0)," ")</f>
        <v>O230117</v>
      </c>
      <c r="V569" s="159" t="str">
        <f>IFERROR(VLOOKUP(N569,TD!$B$50:$F$54,3,0)," ")</f>
        <v>4599</v>
      </c>
      <c r="W569" s="159">
        <f>IFERROR(VLOOKUP(N569,TD!$B$50:$F$54,4,0)," ")</f>
        <v>20240207</v>
      </c>
      <c r="X569" s="158" t="s">
        <v>174</v>
      </c>
      <c r="Y569" s="159" t="str">
        <f>IFERROR(VLOOKUP(X569,TD!$J$51:$K$64,2,0)," ")</f>
        <v>Infraestructura física, mantenimiento y dotación (Sedes construidas, mantenidas reforzadas)</v>
      </c>
      <c r="Z569" s="160" t="str">
        <f>CONCATENATE(X569,"-",Y569)</f>
        <v>08-Infraestructura física, mantenimiento y dotación (Sedes construidas, mantenidas reforzadas)</v>
      </c>
      <c r="AA569" s="158" t="s">
        <v>227</v>
      </c>
      <c r="AB569" s="159" t="str">
        <f>IFERROR(VLOOKUP(AA569,TD!$N$51:$O$66,2,0)," ")</f>
        <v>Sedes mantenidas</v>
      </c>
      <c r="AC569" s="160" t="str">
        <f>CONCATENATE(AA569,"_",AB569)</f>
        <v>016_Sedes mantenidas</v>
      </c>
      <c r="AD569" s="160" t="str">
        <f>CONCATENATE(Z569," ",AC569)</f>
        <v>08-Infraestructura física, mantenimiento y dotación (Sedes construidas, mantenidas reforzadas) 016_Sedes mantenidas</v>
      </c>
      <c r="AE569" s="159" t="str">
        <f>CONCATENATE(U569,V569,W569,X569,AA569)</f>
        <v>O23011745992024020708016</v>
      </c>
      <c r="AF569" s="159" t="str">
        <f>IFERROR(VLOOKUP(AD569,TD!$J$66:$K$89,2,0)," ")</f>
        <v>PM/0131/0108/45990160207</v>
      </c>
      <c r="AG569" s="118" t="s">
        <v>385</v>
      </c>
      <c r="AH569" s="167" t="s">
        <v>193</v>
      </c>
      <c r="AI569" s="161" t="str">
        <f>CONCATENATE(PAA[[#This Row],[Id Interno]],"-",PAA[[#This Row],[tipo de Contrato (TH talento humano - B/S bienes y/o servicios)]],"-",S569,"-",T569,"-",PAA[[#This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70" spans="2:35" ht="70" x14ac:dyDescent="0.35">
      <c r="B570" s="23">
        <v>20260555</v>
      </c>
      <c r="C570" s="99" t="s">
        <v>818</v>
      </c>
      <c r="D570" s="23" t="s">
        <v>105</v>
      </c>
      <c r="E570" s="23" t="s">
        <v>363</v>
      </c>
      <c r="F570" s="23" t="s">
        <v>144</v>
      </c>
      <c r="G570" s="129" t="s">
        <v>374</v>
      </c>
      <c r="H570" s="136">
        <v>10</v>
      </c>
      <c r="I570" s="136">
        <v>0</v>
      </c>
      <c r="J570" s="127">
        <v>107000000</v>
      </c>
      <c r="K570" s="88" t="s">
        <v>398</v>
      </c>
      <c r="L570" s="155" t="s">
        <v>150</v>
      </c>
      <c r="M570" s="158" t="s">
        <v>401</v>
      </c>
      <c r="N570" s="23" t="s">
        <v>197</v>
      </c>
      <c r="O570" s="151" t="s">
        <v>957</v>
      </c>
      <c r="P570" s="158" t="s">
        <v>348</v>
      </c>
      <c r="Q570" s="53">
        <v>80111600</v>
      </c>
      <c r="R570" s="158" t="s">
        <v>209</v>
      </c>
      <c r="S570" s="158" t="str">
        <f>MID(PAA[[#This Row],[Meta Proyecto de Inversión]],1,4)</f>
        <v>8126</v>
      </c>
      <c r="T570" s="158" t="str">
        <f>MID(PAA[[#This Row],[Meta Proyecto de Inversión]],6,1)</f>
        <v>1</v>
      </c>
      <c r="U570" s="159" t="str">
        <f>IFERROR(VLOOKUP(N570,TD!$B$50:$F$54,2,0)," ")</f>
        <v>O230117</v>
      </c>
      <c r="V570" s="159" t="str">
        <f>IFERROR(VLOOKUP(N570,TD!$B$50:$F$54,3,0)," ")</f>
        <v>4599</v>
      </c>
      <c r="W570" s="159">
        <f>IFERROR(VLOOKUP(N570,TD!$B$50:$F$54,4,0)," ")</f>
        <v>20240207</v>
      </c>
      <c r="X570" s="158" t="s">
        <v>182</v>
      </c>
      <c r="Y570" s="159" t="str">
        <f>IFERROR(VLOOKUP(X570,TD!$J$51:$K$64,2,0)," ")</f>
        <v>Servicios para la planeación y sistemas de gestión y comunicación estratégica</v>
      </c>
      <c r="Z570" s="160" t="str">
        <f>CONCATENATE(X570,"-",Y570)</f>
        <v>13-Servicios para la planeación y sistemas de gestión y comunicación estratégica</v>
      </c>
      <c r="AA570" s="158" t="s">
        <v>231</v>
      </c>
      <c r="AB570" s="159" t="str">
        <f>IFERROR(VLOOKUP(AA570,TD!$N$51:$O$66,2,0)," ")</f>
        <v>Documentos de planeación</v>
      </c>
      <c r="AC570" s="160" t="str">
        <f>CONCATENATE(AA570,"_",AB570)</f>
        <v>019_Documentos de planeación</v>
      </c>
      <c r="AD570" s="160" t="str">
        <f>CONCATENATE(Z570," ",AC570)</f>
        <v>13-Servicios para la planeación y sistemas de gestión y comunicación estratégica 019_Documentos de planeación</v>
      </c>
      <c r="AE570" s="159" t="str">
        <f>CONCATENATE(U570,V570,W570,X570,AA570)</f>
        <v>O23011745992024020713019</v>
      </c>
      <c r="AF570" s="159" t="str">
        <f>IFERROR(VLOOKUP(AD570,TD!$J$66:$K$89,2,0)," ")</f>
        <v>PM/0131/0113/45990190207</v>
      </c>
      <c r="AG570" s="118" t="s">
        <v>385</v>
      </c>
      <c r="AH570" s="167" t="s">
        <v>193</v>
      </c>
      <c r="AI570" s="161" t="str">
        <f>CONCATENATE(PAA[[#This Row],[Id Interno]],"-",PAA[[#This Row],[tipo de Contrato (TH talento humano - B/S bienes y/o servicios)]],"-",S570,"-",T570,"-",PAA[[#This Row],[Objeto de la contratación]])</f>
        <v>20260555-TH-8126-1-Prestar servicios profesionales especializados en la Dirección General de la UAECOB en la organización y liderazgo de los asuntos relacionados con comunicaciones de conformidad a la misionalidad de la entidad.</v>
      </c>
    </row>
    <row r="571" spans="2:35" ht="70" x14ac:dyDescent="0.35">
      <c r="B571" s="23">
        <v>20260556</v>
      </c>
      <c r="C571" s="99" t="s">
        <v>819</v>
      </c>
      <c r="D571" s="23" t="s">
        <v>105</v>
      </c>
      <c r="E571" s="23" t="s">
        <v>363</v>
      </c>
      <c r="F571" s="23" t="s">
        <v>144</v>
      </c>
      <c r="G571" s="129" t="s">
        <v>374</v>
      </c>
      <c r="H571" s="136">
        <v>10</v>
      </c>
      <c r="I571" s="136">
        <v>0</v>
      </c>
      <c r="J571" s="127">
        <f>32000000-32000000</f>
        <v>0</v>
      </c>
      <c r="K571" s="88" t="s">
        <v>398</v>
      </c>
      <c r="L571" s="155" t="s">
        <v>150</v>
      </c>
      <c r="M571" s="158" t="s">
        <v>401</v>
      </c>
      <c r="N571" s="23" t="s">
        <v>197</v>
      </c>
      <c r="O571" s="151" t="s">
        <v>957</v>
      </c>
      <c r="P571" s="158" t="s">
        <v>348</v>
      </c>
      <c r="Q571" s="53">
        <v>80111600</v>
      </c>
      <c r="R571" s="158" t="s">
        <v>209</v>
      </c>
      <c r="S571" s="158" t="str">
        <f>MID(PAA[[#This Row],[Meta Proyecto de Inversión]],1,4)</f>
        <v>8126</v>
      </c>
      <c r="T571" s="158" t="str">
        <f>MID(PAA[[#This Row],[Meta Proyecto de Inversión]],6,1)</f>
        <v>1</v>
      </c>
      <c r="U571" s="159" t="str">
        <f>IFERROR(VLOOKUP(N571,TD!$B$50:$F$54,2,0)," ")</f>
        <v>O230117</v>
      </c>
      <c r="V571" s="159" t="str">
        <f>IFERROR(VLOOKUP(N571,TD!$B$50:$F$54,3,0)," ")</f>
        <v>4599</v>
      </c>
      <c r="W571" s="159">
        <f>IFERROR(VLOOKUP(N571,TD!$B$50:$F$54,4,0)," ")</f>
        <v>20240207</v>
      </c>
      <c r="X571" s="158" t="s">
        <v>182</v>
      </c>
      <c r="Y571" s="159" t="str">
        <f>IFERROR(VLOOKUP(X571,TD!$J$51:$K$64,2,0)," ")</f>
        <v>Servicios para la planeación y sistemas de gestión y comunicación estratégica</v>
      </c>
      <c r="Z571" s="160" t="str">
        <f>CONCATENATE(X571,"-",Y571)</f>
        <v>13-Servicios para la planeación y sistemas de gestión y comunicación estratégica</v>
      </c>
      <c r="AA571" s="158" t="s">
        <v>231</v>
      </c>
      <c r="AB571" s="159" t="str">
        <f>IFERROR(VLOOKUP(AA571,TD!$N$51:$O$66,2,0)," ")</f>
        <v>Documentos de planeación</v>
      </c>
      <c r="AC571" s="160" t="str">
        <f>CONCATENATE(AA571,"_",AB571)</f>
        <v>019_Documentos de planeación</v>
      </c>
      <c r="AD571" s="160" t="str">
        <f>CONCATENATE(Z571," ",AC571)</f>
        <v>13-Servicios para la planeación y sistemas de gestión y comunicación estratégica 019_Documentos de planeación</v>
      </c>
      <c r="AE571" s="159" t="str">
        <f>CONCATENATE(U571,V571,W571,X571,AA571)</f>
        <v>O23011745992024020713019</v>
      </c>
      <c r="AF571" s="159" t="str">
        <f>IFERROR(VLOOKUP(AD571,TD!$J$66:$K$89,2,0)," ")</f>
        <v>PM/0131/0113/45990190207</v>
      </c>
      <c r="AG571" s="118" t="s">
        <v>385</v>
      </c>
      <c r="AH571" s="167" t="s">
        <v>193</v>
      </c>
      <c r="AI571" s="161" t="str">
        <f>CONCATENATE(PAA[[#This Row],[Id Interno]],"-",PAA[[#This Row],[tipo de Contrato (TH talento humano - B/S bienes y/o servicios)]],"-",S571,"-",T571,"-",PAA[[#This Row],[Objeto de la contratación]])</f>
        <v>20260556-TH-8126-1-Prestación de servicios profesionales en la Dirección en comunicaciones y prensa, para apoyar la difusión de la información al público interno y externo de la UAECOB.</v>
      </c>
    </row>
    <row r="572" spans="2:35" ht="70" x14ac:dyDescent="0.35">
      <c r="B572" s="23">
        <v>20260557</v>
      </c>
      <c r="C572" s="99" t="s">
        <v>820</v>
      </c>
      <c r="D572" s="23" t="s">
        <v>105</v>
      </c>
      <c r="E572" s="23" t="s">
        <v>363</v>
      </c>
      <c r="F572" s="23" t="s">
        <v>145</v>
      </c>
      <c r="G572" s="129" t="s">
        <v>374</v>
      </c>
      <c r="H572" s="136">
        <v>10</v>
      </c>
      <c r="I572" s="136">
        <v>0</v>
      </c>
      <c r="J572" s="127">
        <f>23500000</f>
        <v>23500000</v>
      </c>
      <c r="K572" s="88" t="s">
        <v>398</v>
      </c>
      <c r="L572" s="155" t="s">
        <v>150</v>
      </c>
      <c r="M572" s="158" t="s">
        <v>401</v>
      </c>
      <c r="N572" s="23" t="s">
        <v>197</v>
      </c>
      <c r="O572" s="151" t="s">
        <v>957</v>
      </c>
      <c r="P572" s="158" t="s">
        <v>348</v>
      </c>
      <c r="Q572" s="53">
        <v>80111600</v>
      </c>
      <c r="R572" s="158" t="s">
        <v>209</v>
      </c>
      <c r="S572" s="158" t="str">
        <f>MID(PAA[[#This Row],[Meta Proyecto de Inversión]],1,4)</f>
        <v>8126</v>
      </c>
      <c r="T572" s="158" t="str">
        <f>MID(PAA[[#This Row],[Meta Proyecto de Inversión]],6,1)</f>
        <v>1</v>
      </c>
      <c r="U572" s="159" t="str">
        <f>IFERROR(VLOOKUP(N572,TD!$B$50:$F$54,2,0)," ")</f>
        <v>O230117</v>
      </c>
      <c r="V572" s="159" t="str">
        <f>IFERROR(VLOOKUP(N572,TD!$B$50:$F$54,3,0)," ")</f>
        <v>4599</v>
      </c>
      <c r="W572" s="159">
        <f>IFERROR(VLOOKUP(N572,TD!$B$50:$F$54,4,0)," ")</f>
        <v>20240207</v>
      </c>
      <c r="X572" s="158" t="s">
        <v>182</v>
      </c>
      <c r="Y572" s="159" t="str">
        <f>IFERROR(VLOOKUP(X572,TD!$J$51:$K$64,2,0)," ")</f>
        <v>Servicios para la planeación y sistemas de gestión y comunicación estratégica</v>
      </c>
      <c r="Z572" s="160" t="str">
        <f>CONCATENATE(X572,"-",Y572)</f>
        <v>13-Servicios para la planeación y sistemas de gestión y comunicación estratégica</v>
      </c>
      <c r="AA572" s="158" t="s">
        <v>231</v>
      </c>
      <c r="AB572" s="159" t="str">
        <f>IFERROR(VLOOKUP(AA572,TD!$N$51:$O$66,2,0)," ")</f>
        <v>Documentos de planeación</v>
      </c>
      <c r="AC572" s="160" t="str">
        <f>CONCATENATE(AA572,"_",AB572)</f>
        <v>019_Documentos de planeación</v>
      </c>
      <c r="AD572" s="160" t="str">
        <f>CONCATENATE(Z572," ",AC572)</f>
        <v>13-Servicios para la planeación y sistemas de gestión y comunicación estratégica 019_Documentos de planeación</v>
      </c>
      <c r="AE572" s="159" t="str">
        <f>CONCATENATE(U572,V572,W572,X572,AA572)</f>
        <v>O23011745992024020713019</v>
      </c>
      <c r="AF572" s="159" t="str">
        <f>IFERROR(VLOOKUP(AD572,TD!$J$66:$K$89,2,0)," ")</f>
        <v>PM/0131/0113/45990190207</v>
      </c>
      <c r="AG572" s="118" t="s">
        <v>385</v>
      </c>
      <c r="AH572" s="167" t="s">
        <v>193</v>
      </c>
      <c r="AI572" s="161" t="str">
        <f>CONCATENATE(PAA[[#This Row],[Id Interno]],"-",PAA[[#This Row],[tipo de Contrato (TH talento humano - B/S bienes y/o servicios)]],"-",S572,"-",T572,"-",PAA[[#This Row],[Objeto de la contratación]])</f>
        <v>20260557-TH-8126-1-Prestar servicios de apoyo para la gestión en asuntos de comunicaciones y prensa en la Dirección General, y demás acciones encaminadas al cumplimiento de las estrategias comunicacionales de la UAECOB</v>
      </c>
    </row>
    <row r="573" spans="2:35" ht="70" x14ac:dyDescent="0.35">
      <c r="B573" s="23">
        <v>20260558</v>
      </c>
      <c r="C573" s="99" t="s">
        <v>821</v>
      </c>
      <c r="D573" s="23" t="s">
        <v>105</v>
      </c>
      <c r="E573" s="23" t="s">
        <v>363</v>
      </c>
      <c r="F573" s="23" t="s">
        <v>144</v>
      </c>
      <c r="G573" s="129" t="s">
        <v>374</v>
      </c>
      <c r="H573" s="136">
        <v>10</v>
      </c>
      <c r="I573" s="136">
        <v>0</v>
      </c>
      <c r="J573" s="127">
        <v>70000000</v>
      </c>
      <c r="K573" s="88" t="s">
        <v>398</v>
      </c>
      <c r="L573" s="155" t="s">
        <v>150</v>
      </c>
      <c r="M573" s="158" t="s">
        <v>401</v>
      </c>
      <c r="N573" s="23" t="s">
        <v>197</v>
      </c>
      <c r="O573" s="151" t="s">
        <v>957</v>
      </c>
      <c r="P573" s="158" t="s">
        <v>348</v>
      </c>
      <c r="Q573" s="53">
        <v>80111600</v>
      </c>
      <c r="R573" s="158" t="s">
        <v>209</v>
      </c>
      <c r="S573" s="158" t="str">
        <f>MID(PAA[[#This Row],[Meta Proyecto de Inversión]],1,4)</f>
        <v>8126</v>
      </c>
      <c r="T573" s="158" t="str">
        <f>MID(PAA[[#This Row],[Meta Proyecto de Inversión]],6,1)</f>
        <v>1</v>
      </c>
      <c r="U573" s="159" t="str">
        <f>IFERROR(VLOOKUP(N573,TD!$B$50:$F$54,2,0)," ")</f>
        <v>O230117</v>
      </c>
      <c r="V573" s="159" t="str">
        <f>IFERROR(VLOOKUP(N573,TD!$B$50:$F$54,3,0)," ")</f>
        <v>4599</v>
      </c>
      <c r="W573" s="159">
        <f>IFERROR(VLOOKUP(N573,TD!$B$50:$F$54,4,0)," ")</f>
        <v>20240207</v>
      </c>
      <c r="X573" s="158" t="s">
        <v>182</v>
      </c>
      <c r="Y573" s="159" t="str">
        <f>IFERROR(VLOOKUP(X573,TD!$J$51:$K$64,2,0)," ")</f>
        <v>Servicios para la planeación y sistemas de gestión y comunicación estratégica</v>
      </c>
      <c r="Z573" s="160" t="str">
        <f>CONCATENATE(X573,"-",Y573)</f>
        <v>13-Servicios para la planeación y sistemas de gestión y comunicación estratégica</v>
      </c>
      <c r="AA573" s="158" t="s">
        <v>231</v>
      </c>
      <c r="AB573" s="159" t="str">
        <f>IFERROR(VLOOKUP(AA573,TD!$N$51:$O$66,2,0)," ")</f>
        <v>Documentos de planeación</v>
      </c>
      <c r="AC573" s="160" t="str">
        <f>CONCATENATE(AA573,"_",AB573)</f>
        <v>019_Documentos de planeación</v>
      </c>
      <c r="AD573" s="160" t="str">
        <f>CONCATENATE(Z573," ",AC573)</f>
        <v>13-Servicios para la planeación y sistemas de gestión y comunicación estratégica 019_Documentos de planeación</v>
      </c>
      <c r="AE573" s="159" t="str">
        <f>CONCATENATE(U573,V573,W573,X573,AA573)</f>
        <v>O23011745992024020713019</v>
      </c>
      <c r="AF573" s="159" t="str">
        <f>IFERROR(VLOOKUP(AD573,TD!$J$66:$K$89,2,0)," ")</f>
        <v>PM/0131/0113/45990190207</v>
      </c>
      <c r="AG573" s="118" t="s">
        <v>385</v>
      </c>
      <c r="AH573" s="167" t="s">
        <v>193</v>
      </c>
      <c r="AI573" s="161" t="str">
        <f>CONCATENATE(PAA[[#This Row],[Id Interno]],"-",PAA[[#This Row],[tipo de Contrato (TH talento humano - B/S bienes y/o servicios)]],"-",S573,"-",T573,"-",PAA[[#This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74" spans="2:35" ht="70" x14ac:dyDescent="0.35">
      <c r="B574" s="23">
        <v>20260559</v>
      </c>
      <c r="C574" s="99" t="s">
        <v>822</v>
      </c>
      <c r="D574" s="23" t="s">
        <v>105</v>
      </c>
      <c r="E574" s="23" t="s">
        <v>363</v>
      </c>
      <c r="F574" s="23" t="s">
        <v>144</v>
      </c>
      <c r="G574" s="129" t="s">
        <v>374</v>
      </c>
      <c r="H574" s="136">
        <v>10</v>
      </c>
      <c r="I574" s="136">
        <v>0</v>
      </c>
      <c r="J574" s="127">
        <v>82500000</v>
      </c>
      <c r="K574" s="88" t="s">
        <v>398</v>
      </c>
      <c r="L574" s="155" t="s">
        <v>150</v>
      </c>
      <c r="M574" s="158" t="s">
        <v>401</v>
      </c>
      <c r="N574" s="23" t="s">
        <v>197</v>
      </c>
      <c r="O574" s="151" t="s">
        <v>957</v>
      </c>
      <c r="P574" s="158" t="s">
        <v>348</v>
      </c>
      <c r="Q574" s="53">
        <v>80111600</v>
      </c>
      <c r="R574" s="158" t="s">
        <v>209</v>
      </c>
      <c r="S574" s="158" t="str">
        <f>MID(PAA[[#This Row],[Meta Proyecto de Inversión]],1,4)</f>
        <v>8126</v>
      </c>
      <c r="T574" s="158" t="str">
        <f>MID(PAA[[#This Row],[Meta Proyecto de Inversión]],6,1)</f>
        <v>1</v>
      </c>
      <c r="U574" s="159" t="str">
        <f>IFERROR(VLOOKUP(N574,TD!$B$50:$F$54,2,0)," ")</f>
        <v>O230117</v>
      </c>
      <c r="V574" s="159" t="str">
        <f>IFERROR(VLOOKUP(N574,TD!$B$50:$F$54,3,0)," ")</f>
        <v>4599</v>
      </c>
      <c r="W574" s="159">
        <f>IFERROR(VLOOKUP(N574,TD!$B$50:$F$54,4,0)," ")</f>
        <v>20240207</v>
      </c>
      <c r="X574" s="158" t="s">
        <v>182</v>
      </c>
      <c r="Y574" s="159" t="str">
        <f>IFERROR(VLOOKUP(X574,TD!$J$51:$K$64,2,0)," ")</f>
        <v>Servicios para la planeación y sistemas de gestión y comunicación estratégica</v>
      </c>
      <c r="Z574" s="160" t="str">
        <f>CONCATENATE(X574,"-",Y574)</f>
        <v>13-Servicios para la planeación y sistemas de gestión y comunicación estratégica</v>
      </c>
      <c r="AA574" s="158" t="s">
        <v>231</v>
      </c>
      <c r="AB574" s="159" t="str">
        <f>IFERROR(VLOOKUP(AA574,TD!$N$51:$O$66,2,0)," ")</f>
        <v>Documentos de planeación</v>
      </c>
      <c r="AC574" s="160" t="str">
        <f>CONCATENATE(AA574,"_",AB574)</f>
        <v>019_Documentos de planeación</v>
      </c>
      <c r="AD574" s="160" t="str">
        <f>CONCATENATE(Z574," ",AC574)</f>
        <v>13-Servicios para la planeación y sistemas de gestión y comunicación estratégica 019_Documentos de planeación</v>
      </c>
      <c r="AE574" s="159" t="str">
        <f>CONCATENATE(U574,V574,W574,X574,AA574)</f>
        <v>O23011745992024020713019</v>
      </c>
      <c r="AF574" s="159" t="str">
        <f>IFERROR(VLOOKUP(AD574,TD!$J$66:$K$89,2,0)," ")</f>
        <v>PM/0131/0113/45990190207</v>
      </c>
      <c r="AG574" s="118" t="s">
        <v>385</v>
      </c>
      <c r="AH574" s="167" t="s">
        <v>193</v>
      </c>
      <c r="AI574" s="161" t="str">
        <f>CONCATENATE(PAA[[#This Row],[Id Interno]],"-",PAA[[#This Row],[tipo de Contrato (TH talento humano - B/S bienes y/o servicios)]],"-",S574,"-",T574,"-",PAA[[#This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75" spans="2:35" ht="70" x14ac:dyDescent="0.35">
      <c r="B575" s="23">
        <v>20260560</v>
      </c>
      <c r="C575" s="99" t="s">
        <v>823</v>
      </c>
      <c r="D575" s="23" t="s">
        <v>105</v>
      </c>
      <c r="E575" s="23" t="s">
        <v>363</v>
      </c>
      <c r="F575" s="23" t="s">
        <v>144</v>
      </c>
      <c r="G575" s="129" t="s">
        <v>374</v>
      </c>
      <c r="H575" s="136">
        <v>10</v>
      </c>
      <c r="I575" s="136">
        <v>0</v>
      </c>
      <c r="J575" s="127">
        <v>65000000</v>
      </c>
      <c r="K575" s="88" t="s">
        <v>398</v>
      </c>
      <c r="L575" s="155" t="s">
        <v>150</v>
      </c>
      <c r="M575" s="158" t="s">
        <v>401</v>
      </c>
      <c r="N575" s="23" t="s">
        <v>197</v>
      </c>
      <c r="O575" s="151" t="s">
        <v>957</v>
      </c>
      <c r="P575" s="158" t="s">
        <v>348</v>
      </c>
      <c r="Q575" s="53">
        <v>80111600</v>
      </c>
      <c r="R575" s="158" t="s">
        <v>209</v>
      </c>
      <c r="S575" s="158" t="str">
        <f>MID(PAA[[#This Row],[Meta Proyecto de Inversión]],1,4)</f>
        <v>8126</v>
      </c>
      <c r="T575" s="158" t="str">
        <f>MID(PAA[[#This Row],[Meta Proyecto de Inversión]],6,1)</f>
        <v>1</v>
      </c>
      <c r="U575" s="159" t="str">
        <f>IFERROR(VLOOKUP(N575,TD!$B$50:$F$54,2,0)," ")</f>
        <v>O230117</v>
      </c>
      <c r="V575" s="159" t="str">
        <f>IFERROR(VLOOKUP(N575,TD!$B$50:$F$54,3,0)," ")</f>
        <v>4599</v>
      </c>
      <c r="W575" s="159">
        <f>IFERROR(VLOOKUP(N575,TD!$B$50:$F$54,4,0)," ")</f>
        <v>20240207</v>
      </c>
      <c r="X575" s="158" t="s">
        <v>182</v>
      </c>
      <c r="Y575" s="159" t="str">
        <f>IFERROR(VLOOKUP(X575,TD!$J$51:$K$64,2,0)," ")</f>
        <v>Servicios para la planeación y sistemas de gestión y comunicación estratégica</v>
      </c>
      <c r="Z575" s="160" t="str">
        <f>CONCATENATE(X575,"-",Y575)</f>
        <v>13-Servicios para la planeación y sistemas de gestión y comunicación estratégica</v>
      </c>
      <c r="AA575" s="158" t="s">
        <v>231</v>
      </c>
      <c r="AB575" s="159" t="str">
        <f>IFERROR(VLOOKUP(AA575,TD!$N$51:$O$66,2,0)," ")</f>
        <v>Documentos de planeación</v>
      </c>
      <c r="AC575" s="160" t="str">
        <f>CONCATENATE(AA575,"_",AB575)</f>
        <v>019_Documentos de planeación</v>
      </c>
      <c r="AD575" s="160" t="str">
        <f>CONCATENATE(Z575," ",AC575)</f>
        <v>13-Servicios para la planeación y sistemas de gestión y comunicación estratégica 019_Documentos de planeación</v>
      </c>
      <c r="AE575" s="159" t="str">
        <f>CONCATENATE(U575,V575,W575,X575,AA575)</f>
        <v>O23011745992024020713019</v>
      </c>
      <c r="AF575" s="159" t="str">
        <f>IFERROR(VLOOKUP(AD575,TD!$J$66:$K$89,2,0)," ")</f>
        <v>PM/0131/0113/45990190207</v>
      </c>
      <c r="AG575" s="118" t="s">
        <v>385</v>
      </c>
      <c r="AH575" s="167" t="s">
        <v>193</v>
      </c>
      <c r="AI575" s="161" t="str">
        <f>CONCATENATE(PAA[[#This Row],[Id Interno]],"-",PAA[[#This Row],[tipo de Contrato (TH talento humano - B/S bienes y/o servicios)]],"-",S575,"-",T575,"-",PAA[[#This Row],[Objeto de la contratación]])</f>
        <v>20260560-TH-8126-1-Prestar servicios profesionales en la Dirección General para  el manejo de redes sociales de la entidad y apoyo periodistico requerido en el marco de la estrategia de comunicaciones y prensa de la UEACOB.</v>
      </c>
    </row>
    <row r="576" spans="2:35" ht="70" x14ac:dyDescent="0.35">
      <c r="B576" s="23">
        <v>20260561</v>
      </c>
      <c r="C576" s="99" t="s">
        <v>824</v>
      </c>
      <c r="D576" s="23" t="s">
        <v>105</v>
      </c>
      <c r="E576" s="23" t="s">
        <v>363</v>
      </c>
      <c r="F576" s="23" t="s">
        <v>144</v>
      </c>
      <c r="G576" s="129" t="s">
        <v>374</v>
      </c>
      <c r="H576" s="136">
        <v>10</v>
      </c>
      <c r="I576" s="136">
        <v>0</v>
      </c>
      <c r="J576" s="127">
        <f>62000000</f>
        <v>62000000</v>
      </c>
      <c r="K576" s="88" t="s">
        <v>398</v>
      </c>
      <c r="L576" s="155" t="s">
        <v>150</v>
      </c>
      <c r="M576" s="158" t="s">
        <v>401</v>
      </c>
      <c r="N576" s="23" t="s">
        <v>197</v>
      </c>
      <c r="O576" s="151" t="s">
        <v>957</v>
      </c>
      <c r="P576" s="158" t="s">
        <v>348</v>
      </c>
      <c r="Q576" s="53">
        <v>80111600</v>
      </c>
      <c r="R576" s="158" t="s">
        <v>209</v>
      </c>
      <c r="S576" s="158" t="str">
        <f>MID(PAA[[#This Row],[Meta Proyecto de Inversión]],1,4)</f>
        <v>8126</v>
      </c>
      <c r="T576" s="158" t="str">
        <f>MID(PAA[[#This Row],[Meta Proyecto de Inversión]],6,1)</f>
        <v>1</v>
      </c>
      <c r="U576" s="159" t="str">
        <f>IFERROR(VLOOKUP(N576,TD!$B$50:$F$54,2,0)," ")</f>
        <v>O230117</v>
      </c>
      <c r="V576" s="159" t="str">
        <f>IFERROR(VLOOKUP(N576,TD!$B$50:$F$54,3,0)," ")</f>
        <v>4599</v>
      </c>
      <c r="W576" s="159">
        <f>IFERROR(VLOOKUP(N576,TD!$B$50:$F$54,4,0)," ")</f>
        <v>20240207</v>
      </c>
      <c r="X576" s="158" t="s">
        <v>182</v>
      </c>
      <c r="Y576" s="159" t="str">
        <f>IFERROR(VLOOKUP(X576,TD!$J$51:$K$64,2,0)," ")</f>
        <v>Servicios para la planeación y sistemas de gestión y comunicación estratégica</v>
      </c>
      <c r="Z576" s="160" t="str">
        <f>CONCATENATE(X576,"-",Y576)</f>
        <v>13-Servicios para la planeación y sistemas de gestión y comunicación estratégica</v>
      </c>
      <c r="AA576" s="158" t="s">
        <v>231</v>
      </c>
      <c r="AB576" s="159" t="str">
        <f>IFERROR(VLOOKUP(AA576,TD!$N$51:$O$66,2,0)," ")</f>
        <v>Documentos de planeación</v>
      </c>
      <c r="AC576" s="160" t="str">
        <f>CONCATENATE(AA576,"_",AB576)</f>
        <v>019_Documentos de planeación</v>
      </c>
      <c r="AD576" s="160" t="str">
        <f>CONCATENATE(Z576," ",AC576)</f>
        <v>13-Servicios para la planeación y sistemas de gestión y comunicación estratégica 019_Documentos de planeación</v>
      </c>
      <c r="AE576" s="159" t="str">
        <f>CONCATENATE(U576,V576,W576,X576,AA576)</f>
        <v>O23011745992024020713019</v>
      </c>
      <c r="AF576" s="159" t="str">
        <f>IFERROR(VLOOKUP(AD576,TD!$J$66:$K$89,2,0)," ")</f>
        <v>PM/0131/0113/45990190207</v>
      </c>
      <c r="AG576" s="118" t="s">
        <v>385</v>
      </c>
      <c r="AH576" s="167" t="s">
        <v>193</v>
      </c>
      <c r="AI576" s="161" t="str">
        <f>CONCATENATE(PAA[[#This Row],[Id Interno]],"-",PAA[[#This Row],[tipo de Contrato (TH talento humano - B/S bienes y/o servicios)]],"-",S576,"-",T576,"-",PAA[[#This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577" spans="2:35" ht="70" x14ac:dyDescent="0.35">
      <c r="B577" s="23">
        <v>20260562</v>
      </c>
      <c r="C577" s="99" t="s">
        <v>825</v>
      </c>
      <c r="D577" s="23" t="s">
        <v>105</v>
      </c>
      <c r="E577" s="23" t="s">
        <v>363</v>
      </c>
      <c r="F577" s="23" t="s">
        <v>144</v>
      </c>
      <c r="G577" s="129" t="s">
        <v>374</v>
      </c>
      <c r="H577" s="136">
        <v>10</v>
      </c>
      <c r="I577" s="136">
        <v>0</v>
      </c>
      <c r="J577" s="127">
        <v>65000000</v>
      </c>
      <c r="K577" s="88" t="s">
        <v>398</v>
      </c>
      <c r="L577" s="155" t="s">
        <v>150</v>
      </c>
      <c r="M577" s="158" t="s">
        <v>401</v>
      </c>
      <c r="N577" s="23" t="s">
        <v>197</v>
      </c>
      <c r="O577" s="151" t="s">
        <v>957</v>
      </c>
      <c r="P577" s="158" t="s">
        <v>348</v>
      </c>
      <c r="Q577" s="53">
        <v>80111600</v>
      </c>
      <c r="R577" s="158" t="s">
        <v>209</v>
      </c>
      <c r="S577" s="158" t="str">
        <f>MID(PAA[[#This Row],[Meta Proyecto de Inversión]],1,4)</f>
        <v>8126</v>
      </c>
      <c r="T577" s="158" t="str">
        <f>MID(PAA[[#This Row],[Meta Proyecto de Inversión]],6,1)</f>
        <v>1</v>
      </c>
      <c r="U577" s="159" t="str">
        <f>IFERROR(VLOOKUP(N577,TD!$B$50:$F$54,2,0)," ")</f>
        <v>O230117</v>
      </c>
      <c r="V577" s="159" t="str">
        <f>IFERROR(VLOOKUP(N577,TD!$B$50:$F$54,3,0)," ")</f>
        <v>4599</v>
      </c>
      <c r="W577" s="159">
        <f>IFERROR(VLOOKUP(N577,TD!$B$50:$F$54,4,0)," ")</f>
        <v>20240207</v>
      </c>
      <c r="X577" s="158" t="s">
        <v>182</v>
      </c>
      <c r="Y577" s="159" t="str">
        <f>IFERROR(VLOOKUP(X577,TD!$J$51:$K$64,2,0)," ")</f>
        <v>Servicios para la planeación y sistemas de gestión y comunicación estratégica</v>
      </c>
      <c r="Z577" s="160" t="str">
        <f>CONCATENATE(X577,"-",Y577)</f>
        <v>13-Servicios para la planeación y sistemas de gestión y comunicación estratégica</v>
      </c>
      <c r="AA577" s="158" t="s">
        <v>231</v>
      </c>
      <c r="AB577" s="159" t="str">
        <f>IFERROR(VLOOKUP(AA577,TD!$N$51:$O$66,2,0)," ")</f>
        <v>Documentos de planeación</v>
      </c>
      <c r="AC577" s="160" t="str">
        <f>CONCATENATE(AA577,"_",AB577)</f>
        <v>019_Documentos de planeación</v>
      </c>
      <c r="AD577" s="160" t="str">
        <f>CONCATENATE(Z577," ",AC577)</f>
        <v>13-Servicios para la planeación y sistemas de gestión y comunicación estratégica 019_Documentos de planeación</v>
      </c>
      <c r="AE577" s="159" t="str">
        <f>CONCATENATE(U577,V577,W577,X577,AA577)</f>
        <v>O23011745992024020713019</v>
      </c>
      <c r="AF577" s="159" t="str">
        <f>IFERROR(VLOOKUP(AD577,TD!$J$66:$K$89,2,0)," ")</f>
        <v>PM/0131/0113/45990190207</v>
      </c>
      <c r="AG577" s="118" t="s">
        <v>385</v>
      </c>
      <c r="AH577" s="167" t="s">
        <v>193</v>
      </c>
      <c r="AI577" s="161" t="str">
        <f>CONCATENATE(PAA[[#This Row],[Id Interno]],"-",PAA[[#This Row],[tipo de Contrato (TH talento humano - B/S bienes y/o servicios)]],"-",S577,"-",T577,"-",PAA[[#This Row],[Objeto de la contratación]])</f>
        <v>20260562-TH-8126-1-Prestación de servicios profesionales para apoyar a la Dirección en la elaboración, diseño y diagramación de piezas requeridas para los planes, programas, proyectos y procedimientos</v>
      </c>
    </row>
    <row r="578" spans="2:35" ht="70" x14ac:dyDescent="0.35">
      <c r="B578" s="142">
        <v>20260563</v>
      </c>
      <c r="C578" s="121" t="s">
        <v>826</v>
      </c>
      <c r="D578" s="130" t="s">
        <v>105</v>
      </c>
      <c r="E578" s="130" t="s">
        <v>363</v>
      </c>
      <c r="F578" s="130" t="s">
        <v>145</v>
      </c>
      <c r="G578" s="131" t="s">
        <v>374</v>
      </c>
      <c r="H578" s="137">
        <v>10</v>
      </c>
      <c r="I578" s="137">
        <v>0</v>
      </c>
      <c r="J578" s="132">
        <f>23500000</f>
        <v>23500000</v>
      </c>
      <c r="K578" s="133" t="s">
        <v>398</v>
      </c>
      <c r="L578" s="172" t="s">
        <v>150</v>
      </c>
      <c r="M578" s="170" t="s">
        <v>401</v>
      </c>
      <c r="N578" s="130" t="s">
        <v>197</v>
      </c>
      <c r="O578" s="151" t="s">
        <v>957</v>
      </c>
      <c r="P578" s="170" t="s">
        <v>348</v>
      </c>
      <c r="Q578" s="134">
        <v>80111600</v>
      </c>
      <c r="R578" s="170" t="s">
        <v>209</v>
      </c>
      <c r="S578" s="170" t="str">
        <f>MID(PAA[[#This Row],[Meta Proyecto de Inversión]],1,4)</f>
        <v>8126</v>
      </c>
      <c r="T578" s="170" t="str">
        <f>MID(PAA[[#This Row],[Meta Proyecto de Inversión]],6,1)</f>
        <v>1</v>
      </c>
      <c r="U578" s="173" t="str">
        <f>IFERROR(VLOOKUP(N578,TD!$B$50:$F$54,2,0)," ")</f>
        <v>O230117</v>
      </c>
      <c r="V578" s="173" t="str">
        <f>IFERROR(VLOOKUP(N578,TD!$B$50:$F$54,3,0)," ")</f>
        <v>4599</v>
      </c>
      <c r="W578" s="173">
        <f>IFERROR(VLOOKUP(N578,TD!$B$50:$F$54,4,0)," ")</f>
        <v>20240207</v>
      </c>
      <c r="X578" s="170" t="s">
        <v>182</v>
      </c>
      <c r="Y578" s="159" t="str">
        <f>IFERROR(VLOOKUP(X578,TD!$J$51:$K$64,2,0)," ")</f>
        <v>Servicios para la planeación y sistemas de gestión y comunicación estratégica</v>
      </c>
      <c r="Z578" s="171" t="str">
        <f>CONCATENATE(X578,"-",Y578)</f>
        <v>13-Servicios para la planeación y sistemas de gestión y comunicación estratégica</v>
      </c>
      <c r="AA578" s="158" t="s">
        <v>231</v>
      </c>
      <c r="AB578" s="159" t="str">
        <f>IFERROR(VLOOKUP(AA578,TD!$N$51:$O$66,2,0)," ")</f>
        <v>Documentos de planeación</v>
      </c>
      <c r="AC578" s="171" t="str">
        <f>CONCATENATE(AA578,"_",AB578)</f>
        <v>019_Documentos de planeación</v>
      </c>
      <c r="AD578" s="171" t="str">
        <f>CONCATENATE(Z578," ",AC578)</f>
        <v>13-Servicios para la planeación y sistemas de gestión y comunicación estratégica 019_Documentos de planeación</v>
      </c>
      <c r="AE578" s="173" t="str">
        <f>CONCATENATE(U578,V578,W578,X578,AA578)</f>
        <v>O23011745992024020713019</v>
      </c>
      <c r="AF578" s="159" t="str">
        <f>IFERROR(VLOOKUP(AD578,TD!$J$66:$K$89,2,0)," ")</f>
        <v>PM/0131/0113/45990190207</v>
      </c>
      <c r="AG578" s="118" t="s">
        <v>385</v>
      </c>
      <c r="AH578" s="167" t="s">
        <v>193</v>
      </c>
      <c r="AI578" s="161" t="str">
        <f>CONCATENATE(PAA[[#This Row],[Id Interno]],"-",PAA[[#This Row],[tipo de Contrato (TH talento humano - B/S bienes y/o servicios)]],"-",S578,"-",T578,"-",PAA[[#This Row],[Objeto de la contratación]])</f>
        <v>20260563-TH-8126-1-Prestar apoyo técnico en la Dirección, en asuntos de comunicaciones y prensa, para la producción, diseño y edición de material audiovisual de la UAECOB.</v>
      </c>
    </row>
    <row r="579" spans="2:35" ht="56" x14ac:dyDescent="0.35">
      <c r="B579" s="142">
        <v>20260564</v>
      </c>
      <c r="C579" s="121" t="s">
        <v>827</v>
      </c>
      <c r="D579" s="130" t="s">
        <v>105</v>
      </c>
      <c r="E579" s="130" t="s">
        <v>363</v>
      </c>
      <c r="F579" s="130" t="s">
        <v>144</v>
      </c>
      <c r="G579" s="131" t="s">
        <v>374</v>
      </c>
      <c r="H579" s="137">
        <v>10</v>
      </c>
      <c r="I579" s="137">
        <v>0</v>
      </c>
      <c r="J579" s="132">
        <v>100000000</v>
      </c>
      <c r="K579" s="133" t="s">
        <v>398</v>
      </c>
      <c r="L579" s="172" t="s">
        <v>150</v>
      </c>
      <c r="M579" s="170" t="s">
        <v>401</v>
      </c>
      <c r="N579" s="130" t="s">
        <v>197</v>
      </c>
      <c r="O579" s="151" t="s">
        <v>957</v>
      </c>
      <c r="P579" s="170" t="s">
        <v>348</v>
      </c>
      <c r="Q579" s="134">
        <v>80111600</v>
      </c>
      <c r="R579" s="170" t="s">
        <v>209</v>
      </c>
      <c r="S579" s="170" t="str">
        <f>MID(PAA[[#This Row],[Meta Proyecto de Inversión]],1,4)</f>
        <v>8126</v>
      </c>
      <c r="T579" s="170" t="str">
        <f>MID(PAA[[#This Row],[Meta Proyecto de Inversión]],6,1)</f>
        <v>1</v>
      </c>
      <c r="U579" s="173" t="str">
        <f>IFERROR(VLOOKUP(N579,TD!$B$50:$F$54,2,0)," ")</f>
        <v>O230117</v>
      </c>
      <c r="V579" s="173" t="str">
        <f>IFERROR(VLOOKUP(N579,TD!$B$50:$F$54,3,0)," ")</f>
        <v>4599</v>
      </c>
      <c r="W579" s="173">
        <f>IFERROR(VLOOKUP(N579,TD!$B$50:$F$54,4,0)," ")</f>
        <v>20240207</v>
      </c>
      <c r="X579" s="170" t="s">
        <v>182</v>
      </c>
      <c r="Y579" s="159" t="str">
        <f>IFERROR(VLOOKUP(X579,TD!$J$51:$K$64,2,0)," ")</f>
        <v>Servicios para la planeación y sistemas de gestión y comunicación estratégica</v>
      </c>
      <c r="Z579" s="171" t="str">
        <f>CONCATENATE(X579,"-",Y579)</f>
        <v>13-Servicios para la planeación y sistemas de gestión y comunicación estratégica</v>
      </c>
      <c r="AA579" s="158" t="s">
        <v>231</v>
      </c>
      <c r="AB579" s="159" t="str">
        <f>IFERROR(VLOOKUP(AA579,TD!$N$51:$O$66,2,0)," ")</f>
        <v>Documentos de planeación</v>
      </c>
      <c r="AC579" s="171" t="str">
        <f>CONCATENATE(AA579,"_",AB579)</f>
        <v>019_Documentos de planeación</v>
      </c>
      <c r="AD579" s="171" t="str">
        <f>CONCATENATE(Z579," ",AC579)</f>
        <v>13-Servicios para la planeación y sistemas de gestión y comunicación estratégica 019_Documentos de planeación</v>
      </c>
      <c r="AE579" s="173" t="str">
        <f>CONCATENATE(U579,V579,W579,X579,AA579)</f>
        <v>O23011745992024020713019</v>
      </c>
      <c r="AF579" s="159" t="str">
        <f>IFERROR(VLOOKUP(AD579,TD!$J$66:$K$89,2,0)," ")</f>
        <v>PM/0131/0113/45990190207</v>
      </c>
      <c r="AG579" s="118" t="s">
        <v>385</v>
      </c>
      <c r="AH579" s="167" t="s">
        <v>193</v>
      </c>
      <c r="AI579" s="161" t="str">
        <f>CONCATENATE(PAA[[#This Row],[Id Interno]],"-",PAA[[#This Row],[tipo de Contrato (TH talento humano - B/S bienes y/o servicios)]],"-",S579,"-",T579,"-",PAA[[#This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580" spans="2:35" ht="56" x14ac:dyDescent="0.35">
      <c r="B580" s="142">
        <v>20260565</v>
      </c>
      <c r="C580" s="121" t="s">
        <v>828</v>
      </c>
      <c r="D580" s="130" t="s">
        <v>105</v>
      </c>
      <c r="E580" s="130" t="s">
        <v>363</v>
      </c>
      <c r="F580" s="130" t="s">
        <v>144</v>
      </c>
      <c r="G580" s="131" t="s">
        <v>374</v>
      </c>
      <c r="H580" s="137">
        <v>10</v>
      </c>
      <c r="I580" s="137">
        <v>0</v>
      </c>
      <c r="J580" s="132">
        <v>54000000</v>
      </c>
      <c r="K580" s="133" t="s">
        <v>398</v>
      </c>
      <c r="L580" s="172" t="s">
        <v>150</v>
      </c>
      <c r="M580" s="170" t="s">
        <v>401</v>
      </c>
      <c r="N580" s="130" t="s">
        <v>197</v>
      </c>
      <c r="O580" s="151" t="s">
        <v>957</v>
      </c>
      <c r="P580" s="170" t="s">
        <v>348</v>
      </c>
      <c r="Q580" s="134">
        <v>80111600</v>
      </c>
      <c r="R580" s="170" t="s">
        <v>209</v>
      </c>
      <c r="S580" s="170" t="str">
        <f>MID(PAA[[#This Row],[Meta Proyecto de Inversión]],1,4)</f>
        <v>8126</v>
      </c>
      <c r="T580" s="170" t="str">
        <f>MID(PAA[[#This Row],[Meta Proyecto de Inversión]],6,1)</f>
        <v>1</v>
      </c>
      <c r="U580" s="173" t="str">
        <f>IFERROR(VLOOKUP(N580,TD!$B$50:$F$54,2,0)," ")</f>
        <v>O230117</v>
      </c>
      <c r="V580" s="173" t="str">
        <f>IFERROR(VLOOKUP(N580,TD!$B$50:$F$54,3,0)," ")</f>
        <v>4599</v>
      </c>
      <c r="W580" s="173">
        <f>IFERROR(VLOOKUP(N580,TD!$B$50:$F$54,4,0)," ")</f>
        <v>20240207</v>
      </c>
      <c r="X580" s="170" t="s">
        <v>182</v>
      </c>
      <c r="Y580" s="159" t="str">
        <f>IFERROR(VLOOKUP(X580,TD!$J$51:$K$64,2,0)," ")</f>
        <v>Servicios para la planeación y sistemas de gestión y comunicación estratégica</v>
      </c>
      <c r="Z580" s="171" t="str">
        <f>CONCATENATE(X580,"-",Y580)</f>
        <v>13-Servicios para la planeación y sistemas de gestión y comunicación estratégica</v>
      </c>
      <c r="AA580" s="158" t="s">
        <v>231</v>
      </c>
      <c r="AB580" s="159" t="str">
        <f>IFERROR(VLOOKUP(AA580,TD!$N$51:$O$66,2,0)," ")</f>
        <v>Documentos de planeación</v>
      </c>
      <c r="AC580" s="171" t="str">
        <f>CONCATENATE(AA580,"_",AB580)</f>
        <v>019_Documentos de planeación</v>
      </c>
      <c r="AD580" s="171" t="str">
        <f>CONCATENATE(Z580," ",AC580)</f>
        <v>13-Servicios para la planeación y sistemas de gestión y comunicación estratégica 019_Documentos de planeación</v>
      </c>
      <c r="AE580" s="173" t="str">
        <f>CONCATENATE(U580,V580,W580,X580,AA580)</f>
        <v>O23011745992024020713019</v>
      </c>
      <c r="AF580" s="159" t="str">
        <f>IFERROR(VLOOKUP(AD580,TD!$J$66:$K$89,2,0)," ")</f>
        <v>PM/0131/0113/45990190207</v>
      </c>
      <c r="AG580" s="118" t="s">
        <v>385</v>
      </c>
      <c r="AH580" s="167" t="s">
        <v>193</v>
      </c>
      <c r="AI580" s="205" t="str">
        <f>CONCATENATE(PAA[[#This Row],[Id Interno]],"-",PAA[[#This Row],[tipo de Contrato (TH talento humano - B/S bienes y/o servicios)]],"-",S580,"-",T580,"-",PAA[[#This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581" spans="2:35" ht="56" x14ac:dyDescent="0.35">
      <c r="B581" s="142">
        <v>20260566</v>
      </c>
      <c r="C581" s="121" t="s">
        <v>907</v>
      </c>
      <c r="D581" s="130" t="s">
        <v>105</v>
      </c>
      <c r="E581" s="130" t="s">
        <v>363</v>
      </c>
      <c r="F581" s="130" t="s">
        <v>144</v>
      </c>
      <c r="G581" s="131" t="s">
        <v>374</v>
      </c>
      <c r="H581" s="137">
        <v>10</v>
      </c>
      <c r="I581" s="137">
        <v>0</v>
      </c>
      <c r="J581" s="132">
        <v>54000000</v>
      </c>
      <c r="K581" s="133" t="s">
        <v>398</v>
      </c>
      <c r="L581" s="172" t="s">
        <v>150</v>
      </c>
      <c r="M581" s="170" t="s">
        <v>401</v>
      </c>
      <c r="N581" s="130" t="s">
        <v>197</v>
      </c>
      <c r="O581" s="151" t="s">
        <v>957</v>
      </c>
      <c r="P581" s="170" t="s">
        <v>348</v>
      </c>
      <c r="Q581" s="134">
        <v>80111600</v>
      </c>
      <c r="R581" s="170" t="s">
        <v>209</v>
      </c>
      <c r="S581" s="170" t="str">
        <f>MID(PAA[[#This Row],[Meta Proyecto de Inversión]],1,4)</f>
        <v>8126</v>
      </c>
      <c r="T581" s="170" t="str">
        <f>MID(PAA[[#This Row],[Meta Proyecto de Inversión]],6,1)</f>
        <v>1</v>
      </c>
      <c r="U581" s="173" t="str">
        <f>IFERROR(VLOOKUP(N581,TD!$B$50:$F$54,2,0)," ")</f>
        <v>O230117</v>
      </c>
      <c r="V581" s="173" t="str">
        <f>IFERROR(VLOOKUP(N581,TD!$B$50:$F$54,3,0)," ")</f>
        <v>4599</v>
      </c>
      <c r="W581" s="173">
        <f>IFERROR(VLOOKUP(N581,TD!$B$50:$F$54,4,0)," ")</f>
        <v>20240207</v>
      </c>
      <c r="X581" s="170" t="s">
        <v>182</v>
      </c>
      <c r="Y581" s="159" t="str">
        <f>IFERROR(VLOOKUP(X581,TD!$J$51:$K$64,2,0)," ")</f>
        <v>Servicios para la planeación y sistemas de gestión y comunicación estratégica</v>
      </c>
      <c r="Z581" s="171" t="str">
        <f>CONCATENATE(X581,"-",Y581)</f>
        <v>13-Servicios para la planeación y sistemas de gestión y comunicación estratégica</v>
      </c>
      <c r="AA581" s="158" t="s">
        <v>231</v>
      </c>
      <c r="AB581" s="159" t="str">
        <f>IFERROR(VLOOKUP(AA581,TD!$N$51:$O$66,2,0)," ")</f>
        <v>Documentos de planeación</v>
      </c>
      <c r="AC581" s="171" t="str">
        <f>CONCATENATE(AA581,"_",AB581)</f>
        <v>019_Documentos de planeación</v>
      </c>
      <c r="AD581" s="171" t="str">
        <f>CONCATENATE(Z581," ",AC581)</f>
        <v>13-Servicios para la planeación y sistemas de gestión y comunicación estratégica 019_Documentos de planeación</v>
      </c>
      <c r="AE581" s="173" t="str">
        <f>CONCATENATE(U581,V581,W581,X581,AA581)</f>
        <v>O23011745992024020713019</v>
      </c>
      <c r="AF581" s="159" t="str">
        <f>IFERROR(VLOOKUP(AD581,TD!$J$66:$K$89,2,0)," ")</f>
        <v>PM/0131/0113/45990190207</v>
      </c>
      <c r="AG581" s="118" t="s">
        <v>385</v>
      </c>
      <c r="AH581" s="167" t="s">
        <v>193</v>
      </c>
      <c r="AI581" s="205" t="str">
        <f>CONCATENATE(PAA[[#This Row],[Id Interno]],"-",PAA[[#This Row],[tipo de Contrato (TH talento humano - B/S bienes y/o servicios)]],"-",S581,"-",T581,"-",PAA[[#This Row],[Objeto de la contratación]])</f>
        <v>20260566-TH-8126-1-Prestar servicios profesionales en comunicación y prensa para apoyar la producción y difusión de contenidos periodísticos y audiovisuales de la UAECOB</v>
      </c>
    </row>
    <row r="582" spans="2:35" ht="84" x14ac:dyDescent="0.35">
      <c r="B582" s="142">
        <v>20260567</v>
      </c>
      <c r="C582" s="121" t="s">
        <v>830</v>
      </c>
      <c r="D582" s="130" t="s">
        <v>105</v>
      </c>
      <c r="E582" s="130" t="s">
        <v>363</v>
      </c>
      <c r="F582" s="130" t="s">
        <v>145</v>
      </c>
      <c r="G582" s="131" t="s">
        <v>374</v>
      </c>
      <c r="H582" s="137">
        <v>10</v>
      </c>
      <c r="I582" s="137">
        <v>0</v>
      </c>
      <c r="J582" s="132">
        <f>19500000-17322500</f>
        <v>2177500</v>
      </c>
      <c r="K582" s="133" t="s">
        <v>398</v>
      </c>
      <c r="L582" s="172" t="s">
        <v>150</v>
      </c>
      <c r="M582" s="170" t="s">
        <v>401</v>
      </c>
      <c r="N582" s="130" t="s">
        <v>197</v>
      </c>
      <c r="O582" s="151" t="s">
        <v>957</v>
      </c>
      <c r="P582" s="170" t="s">
        <v>348</v>
      </c>
      <c r="Q582" s="134">
        <v>80111600</v>
      </c>
      <c r="R582" s="170" t="s">
        <v>209</v>
      </c>
      <c r="S582" s="170" t="str">
        <f>MID(PAA[[#This Row],[Meta Proyecto de Inversión]],1,4)</f>
        <v>8126</v>
      </c>
      <c r="T582" s="170" t="str">
        <f>MID(PAA[[#This Row],[Meta Proyecto de Inversión]],6,1)</f>
        <v>1</v>
      </c>
      <c r="U582" s="173" t="str">
        <f>IFERROR(VLOOKUP(N582,TD!$B$50:$F$54,2,0)," ")</f>
        <v>O230117</v>
      </c>
      <c r="V582" s="173" t="str">
        <f>IFERROR(VLOOKUP(N582,TD!$B$50:$F$54,3,0)," ")</f>
        <v>4599</v>
      </c>
      <c r="W582" s="173">
        <f>IFERROR(VLOOKUP(N582,TD!$B$50:$F$54,4,0)," ")</f>
        <v>20240207</v>
      </c>
      <c r="X582" s="170" t="s">
        <v>182</v>
      </c>
      <c r="Y582" s="159" t="str">
        <f>IFERROR(VLOOKUP(X582,TD!$J$51:$K$64,2,0)," ")</f>
        <v>Servicios para la planeación y sistemas de gestión y comunicación estratégica</v>
      </c>
      <c r="Z582" s="171" t="str">
        <f>CONCATENATE(X582,"-",Y582)</f>
        <v>13-Servicios para la planeación y sistemas de gestión y comunicación estratégica</v>
      </c>
      <c r="AA582" s="158" t="s">
        <v>231</v>
      </c>
      <c r="AB582" s="159" t="str">
        <f>IFERROR(VLOOKUP(AA582,TD!$N$51:$O$66,2,0)," ")</f>
        <v>Documentos de planeación</v>
      </c>
      <c r="AC582" s="171" t="str">
        <f>CONCATENATE(AA582,"_",AB582)</f>
        <v>019_Documentos de planeación</v>
      </c>
      <c r="AD582" s="171" t="str">
        <f>CONCATENATE(Z582," ",AC582)</f>
        <v>13-Servicios para la planeación y sistemas de gestión y comunicación estratégica 019_Documentos de planeación</v>
      </c>
      <c r="AE582" s="173" t="str">
        <f>CONCATENATE(U582,V582,W582,X582,AA582)</f>
        <v>O23011745992024020713019</v>
      </c>
      <c r="AF582" s="159" t="str">
        <f>IFERROR(VLOOKUP(AD582,TD!$J$66:$K$89,2,0)," ")</f>
        <v>PM/0131/0113/45990190207</v>
      </c>
      <c r="AG582" s="118" t="s">
        <v>385</v>
      </c>
      <c r="AH582" s="167" t="s">
        <v>193</v>
      </c>
      <c r="AI582" s="205" t="str">
        <f>CONCATENATE(PAA[[#This Row],[Id Interno]],"-",PAA[[#This Row],[tipo de Contrato (TH talento humano - B/S bienes y/o servicios)]],"-",S582,"-",T582,"-",PAA[[#This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583" spans="2:35" ht="70" x14ac:dyDescent="0.35">
      <c r="B583" s="142">
        <v>20260568</v>
      </c>
      <c r="C583" s="121" t="s">
        <v>829</v>
      </c>
      <c r="D583" s="130" t="s">
        <v>105</v>
      </c>
      <c r="E583" s="130" t="s">
        <v>363</v>
      </c>
      <c r="F583" s="130" t="s">
        <v>144</v>
      </c>
      <c r="G583" s="131" t="s">
        <v>374</v>
      </c>
      <c r="H583" s="137">
        <v>10</v>
      </c>
      <c r="I583" s="137">
        <v>0</v>
      </c>
      <c r="J583" s="132">
        <f>28000000-28000000</f>
        <v>0</v>
      </c>
      <c r="K583" s="133" t="s">
        <v>398</v>
      </c>
      <c r="L583" s="172" t="s">
        <v>150</v>
      </c>
      <c r="M583" s="170" t="s">
        <v>401</v>
      </c>
      <c r="N583" s="130" t="s">
        <v>197</v>
      </c>
      <c r="O583" s="151" t="s">
        <v>957</v>
      </c>
      <c r="P583" s="170" t="s">
        <v>348</v>
      </c>
      <c r="Q583" s="134">
        <v>80111600</v>
      </c>
      <c r="R583" s="170" t="s">
        <v>209</v>
      </c>
      <c r="S583" s="170" t="str">
        <f>MID(PAA[[#This Row],[Meta Proyecto de Inversión]],1,4)</f>
        <v>8126</v>
      </c>
      <c r="T583" s="170" t="str">
        <f>MID(PAA[[#This Row],[Meta Proyecto de Inversión]],6,1)</f>
        <v>1</v>
      </c>
      <c r="U583" s="173" t="str">
        <f>IFERROR(VLOOKUP(N583,TD!$B$50:$F$54,2,0)," ")</f>
        <v>O230117</v>
      </c>
      <c r="V583" s="173" t="str">
        <f>IFERROR(VLOOKUP(N583,TD!$B$50:$F$54,3,0)," ")</f>
        <v>4599</v>
      </c>
      <c r="W583" s="173">
        <f>IFERROR(VLOOKUP(N583,TD!$B$50:$F$54,4,0)," ")</f>
        <v>20240207</v>
      </c>
      <c r="X583" s="170" t="s">
        <v>182</v>
      </c>
      <c r="Y583" s="159" t="str">
        <f>IFERROR(VLOOKUP(X583,TD!$J$51:$K$64,2,0)," ")</f>
        <v>Servicios para la planeación y sistemas de gestión y comunicación estratégica</v>
      </c>
      <c r="Z583" s="171" t="str">
        <f>CONCATENATE(X583,"-",Y583)</f>
        <v>13-Servicios para la planeación y sistemas de gestión y comunicación estratégica</v>
      </c>
      <c r="AA583" s="170" t="s">
        <v>231</v>
      </c>
      <c r="AB583" s="159" t="str">
        <f>IFERROR(VLOOKUP(AA583,TD!$N$51:$O$66,2,0)," ")</f>
        <v>Documentos de planeación</v>
      </c>
      <c r="AC583" s="171" t="str">
        <f>CONCATENATE(AA583,"_",AB583)</f>
        <v>019_Documentos de planeación</v>
      </c>
      <c r="AD583" s="171" t="str">
        <f>CONCATENATE(Z583," ",AC583)</f>
        <v>13-Servicios para la planeación y sistemas de gestión y comunicación estratégica 019_Documentos de planeación</v>
      </c>
      <c r="AE583" s="173" t="str">
        <f>CONCATENATE(U583,V583,W583,X583,AA583)</f>
        <v>O23011745992024020713019</v>
      </c>
      <c r="AF583" s="159" t="str">
        <f>IFERROR(VLOOKUP(AD583,TD!$J$66:$K$89,2,0)," ")</f>
        <v>PM/0131/0113/45990190207</v>
      </c>
      <c r="AG583" s="135" t="s">
        <v>385</v>
      </c>
      <c r="AH583" s="167" t="s">
        <v>193</v>
      </c>
      <c r="AI583" s="205" t="str">
        <f>CONCATENATE(PAA[[#This Row],[Id Interno]],"-",PAA[[#This Row],[tipo de Contrato (TH talento humano - B/S bienes y/o servicios)]],"-",S583,"-",T583,"-",PAA[[#This Row],[Objeto de la contratación]])</f>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584" spans="2:35" ht="84" x14ac:dyDescent="0.35">
      <c r="B584" s="142">
        <v>20260569</v>
      </c>
      <c r="C584" s="121" t="s">
        <v>908</v>
      </c>
      <c r="D584" s="130" t="s">
        <v>105</v>
      </c>
      <c r="E584" s="130" t="s">
        <v>363</v>
      </c>
      <c r="F584" s="130" t="s">
        <v>144</v>
      </c>
      <c r="G584" s="131" t="s">
        <v>379</v>
      </c>
      <c r="H584" s="137">
        <v>7</v>
      </c>
      <c r="I584" s="137">
        <v>0</v>
      </c>
      <c r="J584" s="132">
        <f>36050000-36050000</f>
        <v>0</v>
      </c>
      <c r="K584" s="133" t="s">
        <v>398</v>
      </c>
      <c r="L584" s="172" t="s">
        <v>150</v>
      </c>
      <c r="M584" s="170" t="s">
        <v>401</v>
      </c>
      <c r="N584" s="130" t="s">
        <v>197</v>
      </c>
      <c r="O584" s="151" t="s">
        <v>957</v>
      </c>
      <c r="P584" s="170" t="s">
        <v>348</v>
      </c>
      <c r="Q584" s="134">
        <v>80111600</v>
      </c>
      <c r="R584" s="170" t="s">
        <v>209</v>
      </c>
      <c r="S584" s="170" t="str">
        <f>MID(PAA[[#This Row],[Meta Proyecto de Inversión]],1,4)</f>
        <v>8126</v>
      </c>
      <c r="T584" s="170" t="str">
        <f>MID(PAA[[#This Row],[Meta Proyecto de Inversión]],6,1)</f>
        <v>1</v>
      </c>
      <c r="U584" s="173" t="str">
        <f>IFERROR(VLOOKUP(N584,TD!$B$50:$F$54,2,0)," ")</f>
        <v>O230117</v>
      </c>
      <c r="V584" s="173" t="str">
        <f>IFERROR(VLOOKUP(N584,TD!$B$50:$F$54,3,0)," ")</f>
        <v>4599</v>
      </c>
      <c r="W584" s="173">
        <f>IFERROR(VLOOKUP(N584,TD!$B$50:$F$54,4,0)," ")</f>
        <v>20240207</v>
      </c>
      <c r="X584" s="170" t="s">
        <v>182</v>
      </c>
      <c r="Y584" s="159" t="str">
        <f>IFERROR(VLOOKUP(X584,TD!$J$51:$K$64,2,0)," ")</f>
        <v>Servicios para la planeación y sistemas de gestión y comunicación estratégica</v>
      </c>
      <c r="Z584" s="171" t="str">
        <f>CONCATENATE(X584,"-",Y584)</f>
        <v>13-Servicios para la planeación y sistemas de gestión y comunicación estratégica</v>
      </c>
      <c r="AA584" s="170" t="s">
        <v>231</v>
      </c>
      <c r="AB584" s="159" t="str">
        <f>IFERROR(VLOOKUP(AA584,TD!$N$51:$O$66,2,0)," ")</f>
        <v>Documentos de planeación</v>
      </c>
      <c r="AC584" s="171" t="str">
        <f>CONCATENATE(AA584,"_",AB584)</f>
        <v>019_Documentos de planeación</v>
      </c>
      <c r="AD584" s="171" t="str">
        <f>CONCATENATE(Z584," ",AC584)</f>
        <v>13-Servicios para la planeación y sistemas de gestión y comunicación estratégica 019_Documentos de planeación</v>
      </c>
      <c r="AE584" s="173" t="str">
        <f>CONCATENATE(U584,V584,W584,X584,AA584)</f>
        <v>O23011745992024020713019</v>
      </c>
      <c r="AF584" s="159" t="str">
        <f>IFERROR(VLOOKUP(AD584,TD!$J$66:$K$89,2,0)," ")</f>
        <v>PM/0131/0113/45990190207</v>
      </c>
      <c r="AG584" s="135" t="s">
        <v>385</v>
      </c>
      <c r="AH584" s="167" t="s">
        <v>193</v>
      </c>
      <c r="AI584" s="205" t="str">
        <f>CONCATENATE(PAA[[#This Row],[Id Interno]],"-",PAA[[#This Row],[tipo de Contrato (TH talento humano - B/S bienes y/o servicios)]],"-",S584,"-",T584,"-",PAA[[#This Row],[Objeto de la contratación]])</f>
        <v>20260569-TH-8126-1-Prestación de servicios profesionales en la Dirección para el acompañamiento en las labores de gestión administrativa, en asuntos propios de comunicaciones y prensa de la UAECOB</v>
      </c>
    </row>
    <row r="585" spans="2:35" ht="84" x14ac:dyDescent="0.35">
      <c r="B585" s="142">
        <v>20260570</v>
      </c>
      <c r="C585" s="121" t="s">
        <v>919</v>
      </c>
      <c r="D585" s="130" t="s">
        <v>105</v>
      </c>
      <c r="E585" s="130" t="s">
        <v>363</v>
      </c>
      <c r="F585" s="130" t="s">
        <v>144</v>
      </c>
      <c r="G585" s="131" t="s">
        <v>374</v>
      </c>
      <c r="H585" s="137">
        <v>6</v>
      </c>
      <c r="I585" s="137">
        <v>0</v>
      </c>
      <c r="J585" s="132">
        <v>55200000</v>
      </c>
      <c r="K585" s="133" t="s">
        <v>398</v>
      </c>
      <c r="L585" s="172" t="s">
        <v>150</v>
      </c>
      <c r="M585" s="170" t="s">
        <v>401</v>
      </c>
      <c r="N585" s="130" t="s">
        <v>197</v>
      </c>
      <c r="O585" s="151" t="s">
        <v>957</v>
      </c>
      <c r="P585" s="170" t="s">
        <v>348</v>
      </c>
      <c r="Q585" s="134">
        <v>80111600</v>
      </c>
      <c r="R585" s="170" t="s">
        <v>209</v>
      </c>
      <c r="S585" s="170" t="str">
        <f>MID(PAA[[#This Row],[Meta Proyecto de Inversión]],1,4)</f>
        <v>8126</v>
      </c>
      <c r="T585" s="170" t="str">
        <f>MID(PAA[[#This Row],[Meta Proyecto de Inversión]],6,1)</f>
        <v>1</v>
      </c>
      <c r="U585" s="173" t="str">
        <f>IFERROR(VLOOKUP(N585,TD!$B$50:$F$54,2,0)," ")</f>
        <v>O230117</v>
      </c>
      <c r="V585" s="173" t="str">
        <f>IFERROR(VLOOKUP(N585,TD!$B$50:$F$54,3,0)," ")</f>
        <v>4599</v>
      </c>
      <c r="W585" s="173">
        <f>IFERROR(VLOOKUP(N585,TD!$B$50:$F$54,4,0)," ")</f>
        <v>20240207</v>
      </c>
      <c r="X585" s="170" t="s">
        <v>182</v>
      </c>
      <c r="Y585" s="159" t="str">
        <f>IFERROR(VLOOKUP(X585,TD!$J$51:$K$64,2,0)," ")</f>
        <v>Servicios para la planeación y sistemas de gestión y comunicación estratégica</v>
      </c>
      <c r="Z585" s="171" t="str">
        <f>CONCATENATE(X585,"-",Y585)</f>
        <v>13-Servicios para la planeación y sistemas de gestión y comunicación estratégica</v>
      </c>
      <c r="AA585" s="170" t="s">
        <v>231</v>
      </c>
      <c r="AB585" s="159" t="str">
        <f>IFERROR(VLOOKUP(AA585,TD!$N$51:$O$66,2,0)," ")</f>
        <v>Documentos de planeación</v>
      </c>
      <c r="AC585" s="171" t="str">
        <f>CONCATENATE(AA585,"_",AB585)</f>
        <v>019_Documentos de planeación</v>
      </c>
      <c r="AD585" s="171" t="str">
        <f>CONCATENATE(Z585," ",AC585)</f>
        <v>13-Servicios para la planeación y sistemas de gestión y comunicación estratégica 019_Documentos de planeación</v>
      </c>
      <c r="AE585" s="173" t="str">
        <f>CONCATENATE(U585,V585,W585,X585,AA585)</f>
        <v>O23011745992024020713019</v>
      </c>
      <c r="AF585" s="159" t="str">
        <f>IFERROR(VLOOKUP(AD585,TD!$J$66:$K$89,2,0)," ")</f>
        <v>PM/0131/0113/45990190207</v>
      </c>
      <c r="AG585" s="135" t="s">
        <v>385</v>
      </c>
      <c r="AH585" s="167" t="s">
        <v>193</v>
      </c>
      <c r="AI585" s="205" t="str">
        <f>CONCATENATE(PAA[[#This Row],[Id Interno]],"-",PAA[[#This Row],[tipo de Contrato (TH talento humano - B/S bienes y/o servicios)]],"-",S585,"-",T585,"-",PAA[[#This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586" spans="2:35" ht="84" x14ac:dyDescent="0.35">
      <c r="B586" s="142">
        <v>20260571</v>
      </c>
      <c r="C586" s="121" t="s">
        <v>831</v>
      </c>
      <c r="D586" s="130" t="s">
        <v>83</v>
      </c>
      <c r="E586" s="130" t="s">
        <v>402</v>
      </c>
      <c r="F586" s="130" t="s">
        <v>143</v>
      </c>
      <c r="G586" s="131" t="s">
        <v>376</v>
      </c>
      <c r="H586" s="137">
        <v>10</v>
      </c>
      <c r="I586" s="137">
        <v>0</v>
      </c>
      <c r="J586" s="132">
        <v>400000000</v>
      </c>
      <c r="K586" s="133" t="s">
        <v>398</v>
      </c>
      <c r="L586" s="172" t="s">
        <v>45</v>
      </c>
      <c r="M586" s="170" t="s">
        <v>401</v>
      </c>
      <c r="N586" s="130" t="s">
        <v>197</v>
      </c>
      <c r="O586" s="151" t="s">
        <v>957</v>
      </c>
      <c r="P586" s="170" t="s">
        <v>348</v>
      </c>
      <c r="Q586" s="134" t="s">
        <v>832</v>
      </c>
      <c r="R586" s="170" t="s">
        <v>208</v>
      </c>
      <c r="S586" s="170" t="str">
        <f>MID(PAA[[#This Row],[Meta Proyecto de Inversión]],1,4)</f>
        <v>8126</v>
      </c>
      <c r="T586" s="170" t="str">
        <f>MID(PAA[[#This Row],[Meta Proyecto de Inversión]],6,1)</f>
        <v>9</v>
      </c>
      <c r="U586" s="173" t="str">
        <f>IFERROR(VLOOKUP(N586,TD!$B$50:$F$54,2,0)," ")</f>
        <v>O230117</v>
      </c>
      <c r="V586" s="173" t="str">
        <f>IFERROR(VLOOKUP(N586,TD!$B$50:$F$54,3,0)," ")</f>
        <v>4599</v>
      </c>
      <c r="W586" s="173">
        <f>IFERROR(VLOOKUP(N586,TD!$B$50:$F$54,4,0)," ")</f>
        <v>20240207</v>
      </c>
      <c r="X586" s="170" t="s">
        <v>174</v>
      </c>
      <c r="Y586" s="159" t="str">
        <f>IFERROR(VLOOKUP(X586,TD!$J$51:$K$64,2,0)," ")</f>
        <v>Infraestructura física, mantenimiento y dotación (Sedes construidas, mantenidas reforzadas)</v>
      </c>
      <c r="Z586" s="171" t="str">
        <f>CONCATENATE(X586,"-",Y586)</f>
        <v>08-Infraestructura física, mantenimiento y dotación (Sedes construidas, mantenidas reforzadas)</v>
      </c>
      <c r="AA586" s="170" t="s">
        <v>227</v>
      </c>
      <c r="AB586" s="159" t="str">
        <f>IFERROR(VLOOKUP(AA586,TD!$N$51:$O$66,2,0)," ")</f>
        <v>Sedes mantenidas</v>
      </c>
      <c r="AC586" s="171" t="str">
        <f>CONCATENATE(AA586,"_",AB586)</f>
        <v>016_Sedes mantenidas</v>
      </c>
      <c r="AD586" s="171" t="str">
        <f>CONCATENATE(Z586," ",AC586)</f>
        <v>08-Infraestructura física, mantenimiento y dotación (Sedes construidas, mantenidas reforzadas) 016_Sedes mantenidas</v>
      </c>
      <c r="AE586" s="173" t="str">
        <f>CONCATENATE(U586,V586,W586,X586,AA586)</f>
        <v>O23011745992024020708016</v>
      </c>
      <c r="AF586" s="159" t="str">
        <f>IFERROR(VLOOKUP(AD586,TD!$J$66:$K$89,2,0)," ")</f>
        <v>PM/0131/0108/45990160207</v>
      </c>
      <c r="AG586" s="135" t="s">
        <v>931</v>
      </c>
      <c r="AH586" s="167" t="s">
        <v>193</v>
      </c>
      <c r="AI586" s="205" t="str">
        <f>CONCATENATE(PAA[[#This Row],[Id Interno]],"-",PAA[[#This Row],[tipo de Contrato (TH talento humano - B/S bienes y/o servicios)]],"-",S586,"-",T586,"-",PAA[[#This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587" spans="2:35" ht="84" x14ac:dyDescent="0.35">
      <c r="B587" s="142">
        <v>20260572</v>
      </c>
      <c r="C587" s="121" t="s">
        <v>568</v>
      </c>
      <c r="D587" s="130" t="s">
        <v>105</v>
      </c>
      <c r="E587" s="130" t="s">
        <v>363</v>
      </c>
      <c r="F587" s="130" t="s">
        <v>144</v>
      </c>
      <c r="G587" s="131" t="s">
        <v>373</v>
      </c>
      <c r="H587" s="137">
        <v>6</v>
      </c>
      <c r="I587" s="137">
        <v>0</v>
      </c>
      <c r="J587" s="132">
        <v>30000000</v>
      </c>
      <c r="K587" s="133" t="s">
        <v>398</v>
      </c>
      <c r="L587" s="172" t="s">
        <v>156</v>
      </c>
      <c r="M587" s="170" t="s">
        <v>513</v>
      </c>
      <c r="N587" s="130" t="s">
        <v>198</v>
      </c>
      <c r="O587" s="151" t="s">
        <v>958</v>
      </c>
      <c r="P587" s="170" t="s">
        <v>348</v>
      </c>
      <c r="Q587" s="134">
        <v>80111600</v>
      </c>
      <c r="R587" s="170" t="s">
        <v>214</v>
      </c>
      <c r="S587" s="170" t="str">
        <f>MID(PAA[[#This Row],[Meta Proyecto de Inversión]],1,4)</f>
        <v>8173</v>
      </c>
      <c r="T587" s="170" t="str">
        <f>MID(PAA[[#This Row],[Meta Proyecto de Inversión]],6,1)</f>
        <v>5</v>
      </c>
      <c r="U587" s="173" t="str">
        <f>IFERROR(VLOOKUP(N587,TD!$B$50:$F$54,2,0)," ")</f>
        <v>O230117</v>
      </c>
      <c r="V587" s="173" t="str">
        <f>IFERROR(VLOOKUP(N587,TD!$B$50:$F$54,3,0)," ")</f>
        <v>4503</v>
      </c>
      <c r="W587" s="173">
        <f>IFERROR(VLOOKUP(N587,TD!$B$50:$F$54,4,0)," ")</f>
        <v>20240255</v>
      </c>
      <c r="X587" s="170">
        <v>16</v>
      </c>
      <c r="Y587" s="159" t="str">
        <f>IFERROR(VLOOKUP(X587,TD!$J$51:$K$64,2,0)," ")</f>
        <v>Servicio de monitoreo y seguimiento para la gestión del riesgo</v>
      </c>
      <c r="Z587" s="171" t="str">
        <f>CONCATENATE(X587,"-",Y587)</f>
        <v>16-Servicio de monitoreo y seguimiento para la gestión del riesgo</v>
      </c>
      <c r="AA587" s="170" t="s">
        <v>224</v>
      </c>
      <c r="AB587" s="159" t="str">
        <f>IFERROR(VLOOKUP(AA587,TD!$N$51:$O$66,2,0)," ")</f>
        <v>Servicio de monitoreo y seguimiento para la gestión del riesgo</v>
      </c>
      <c r="AC587" s="171" t="str">
        <f>CONCATENATE(AA587,"_",AB587)</f>
        <v>018_Servicio de monitoreo y seguimiento para la gestión del riesgo</v>
      </c>
      <c r="AD587" s="171" t="str">
        <f>CONCATENATE(Z587," ",AC587)</f>
        <v>16-Servicio de monitoreo y seguimiento para la gestión del riesgo 018_Servicio de monitoreo y seguimiento para la gestión del riesgo</v>
      </c>
      <c r="AE587" s="173" t="str">
        <f>CONCATENATE(U587,V587,W587,X587,AA587)</f>
        <v>O23011745032024025516018</v>
      </c>
      <c r="AF587" s="159" t="str">
        <f>IFERROR(VLOOKUP(AD587,TD!$J$66:$K$89,2,0)," ")</f>
        <v>PM/0131/0116/45030180255</v>
      </c>
      <c r="AG587" s="135" t="s">
        <v>385</v>
      </c>
      <c r="AH587" s="167" t="s">
        <v>193</v>
      </c>
      <c r="AI587" s="205" t="str">
        <f>CONCATENATE(PAA[[#This Row],[Id Interno]],"-",PAA[[#This Row],[tipo de Contrato (TH talento humano - B/S bienes y/o servicios)]],"-",S587,"-",T587,"-",PAA[[#This Row],[Objeto de la contratación]])</f>
        <v>20260572-TH-8173-5-Prestar  servicios profesionales  en las actividades de proyeccion e innovacion para la Subdirección de Gestión del Riesgo._SGR</v>
      </c>
    </row>
    <row r="588" spans="2:35" ht="84" x14ac:dyDescent="0.35">
      <c r="B588" s="142">
        <v>20260573</v>
      </c>
      <c r="C588" s="121" t="s">
        <v>568</v>
      </c>
      <c r="D588" s="130" t="s">
        <v>105</v>
      </c>
      <c r="E588" s="130" t="s">
        <v>363</v>
      </c>
      <c r="F588" s="130" t="s">
        <v>144</v>
      </c>
      <c r="G588" s="131" t="s">
        <v>373</v>
      </c>
      <c r="H588" s="137">
        <v>6</v>
      </c>
      <c r="I588" s="137">
        <v>0</v>
      </c>
      <c r="J588" s="132">
        <v>36000000</v>
      </c>
      <c r="K588" s="133" t="s">
        <v>398</v>
      </c>
      <c r="L588" s="172" t="s">
        <v>156</v>
      </c>
      <c r="M588" s="170" t="s">
        <v>513</v>
      </c>
      <c r="N588" s="130" t="s">
        <v>198</v>
      </c>
      <c r="O588" s="151" t="s">
        <v>958</v>
      </c>
      <c r="P588" s="170" t="s">
        <v>348</v>
      </c>
      <c r="Q588" s="134">
        <v>80111600</v>
      </c>
      <c r="R588" s="170" t="s">
        <v>214</v>
      </c>
      <c r="S588" s="170" t="str">
        <f>MID(PAA[[#This Row],[Meta Proyecto de Inversión]],1,4)</f>
        <v>8173</v>
      </c>
      <c r="T588" s="170" t="str">
        <f>MID(PAA[[#This Row],[Meta Proyecto de Inversión]],6,1)</f>
        <v>5</v>
      </c>
      <c r="U588" s="173" t="str">
        <f>IFERROR(VLOOKUP(N588,TD!$B$50:$F$54,2,0)," ")</f>
        <v>O230117</v>
      </c>
      <c r="V588" s="173" t="str">
        <f>IFERROR(VLOOKUP(N588,TD!$B$50:$F$54,3,0)," ")</f>
        <v>4503</v>
      </c>
      <c r="W588" s="173">
        <f>IFERROR(VLOOKUP(N588,TD!$B$50:$F$54,4,0)," ")</f>
        <v>20240255</v>
      </c>
      <c r="X588" s="170">
        <v>16</v>
      </c>
      <c r="Y588" s="159" t="str">
        <f>IFERROR(VLOOKUP(X588,TD!$J$51:$K$64,2,0)," ")</f>
        <v>Servicio de monitoreo y seguimiento para la gestión del riesgo</v>
      </c>
      <c r="Z588" s="171" t="str">
        <f>CONCATENATE(X588,"-",Y588)</f>
        <v>16-Servicio de monitoreo y seguimiento para la gestión del riesgo</v>
      </c>
      <c r="AA588" s="170" t="s">
        <v>224</v>
      </c>
      <c r="AB588" s="159" t="str">
        <f>IFERROR(VLOOKUP(AA588,TD!$N$51:$O$66,2,0)," ")</f>
        <v>Servicio de monitoreo y seguimiento para la gestión del riesgo</v>
      </c>
      <c r="AC588" s="171" t="str">
        <f>CONCATENATE(AA588,"_",AB588)</f>
        <v>018_Servicio de monitoreo y seguimiento para la gestión del riesgo</v>
      </c>
      <c r="AD588" s="171" t="str">
        <f>CONCATENATE(Z588," ",AC588)</f>
        <v>16-Servicio de monitoreo y seguimiento para la gestión del riesgo 018_Servicio de monitoreo y seguimiento para la gestión del riesgo</v>
      </c>
      <c r="AE588" s="173" t="str">
        <f>CONCATENATE(U588,V588,W588,X588,AA588)</f>
        <v>O23011745032024025516018</v>
      </c>
      <c r="AF588" s="159" t="str">
        <f>IFERROR(VLOOKUP(AD588,TD!$J$66:$K$89,2,0)," ")</f>
        <v>PM/0131/0116/45030180255</v>
      </c>
      <c r="AG588" s="135" t="s">
        <v>385</v>
      </c>
      <c r="AH588" s="167" t="s">
        <v>193</v>
      </c>
      <c r="AI588" s="205" t="str">
        <f>CONCATENATE(PAA[[#This Row],[Id Interno]],"-",PAA[[#This Row],[tipo de Contrato (TH talento humano - B/S bienes y/o servicios)]],"-",S588,"-",T588,"-",PAA[[#This Row],[Objeto de la contratación]])</f>
        <v>20260573-TH-8173-5-Prestar  servicios profesionales  en las actividades de proyeccion e innovacion para la Subdirección de Gestión del Riesgo._SGR</v>
      </c>
    </row>
    <row r="589" spans="2:35" ht="84" x14ac:dyDescent="0.35">
      <c r="B589" s="142">
        <v>20260574</v>
      </c>
      <c r="C589" s="121" t="s">
        <v>568</v>
      </c>
      <c r="D589" s="130" t="s">
        <v>105</v>
      </c>
      <c r="E589" s="130" t="s">
        <v>363</v>
      </c>
      <c r="F589" s="130" t="s">
        <v>144</v>
      </c>
      <c r="G589" s="131" t="s">
        <v>373</v>
      </c>
      <c r="H589" s="137">
        <v>6</v>
      </c>
      <c r="I589" s="137">
        <v>0</v>
      </c>
      <c r="J589" s="132">
        <v>54600000</v>
      </c>
      <c r="K589" s="133" t="s">
        <v>398</v>
      </c>
      <c r="L589" s="172" t="s">
        <v>156</v>
      </c>
      <c r="M589" s="170" t="s">
        <v>513</v>
      </c>
      <c r="N589" s="130" t="s">
        <v>198</v>
      </c>
      <c r="O589" s="151" t="s">
        <v>958</v>
      </c>
      <c r="P589" s="170" t="s">
        <v>348</v>
      </c>
      <c r="Q589" s="134">
        <v>80111600</v>
      </c>
      <c r="R589" s="170" t="s">
        <v>214</v>
      </c>
      <c r="S589" s="170" t="str">
        <f>MID(PAA[[#This Row],[Meta Proyecto de Inversión]],1,4)</f>
        <v>8173</v>
      </c>
      <c r="T589" s="170" t="str">
        <f>MID(PAA[[#This Row],[Meta Proyecto de Inversión]],6,1)</f>
        <v>5</v>
      </c>
      <c r="U589" s="173" t="str">
        <f>IFERROR(VLOOKUP(N589,TD!$B$50:$F$54,2,0)," ")</f>
        <v>O230117</v>
      </c>
      <c r="V589" s="173" t="str">
        <f>IFERROR(VLOOKUP(N589,TD!$B$50:$F$54,3,0)," ")</f>
        <v>4503</v>
      </c>
      <c r="W589" s="173">
        <f>IFERROR(VLOOKUP(N589,TD!$B$50:$F$54,4,0)," ")</f>
        <v>20240255</v>
      </c>
      <c r="X589" s="170">
        <v>16</v>
      </c>
      <c r="Y589" s="159" t="str">
        <f>IFERROR(VLOOKUP(X589,TD!$J$51:$K$64,2,0)," ")</f>
        <v>Servicio de monitoreo y seguimiento para la gestión del riesgo</v>
      </c>
      <c r="Z589" s="171" t="str">
        <f>CONCATENATE(X589,"-",Y589)</f>
        <v>16-Servicio de monitoreo y seguimiento para la gestión del riesgo</v>
      </c>
      <c r="AA589" s="170" t="s">
        <v>224</v>
      </c>
      <c r="AB589" s="159" t="str">
        <f>IFERROR(VLOOKUP(AA589,TD!$N$51:$O$66,2,0)," ")</f>
        <v>Servicio de monitoreo y seguimiento para la gestión del riesgo</v>
      </c>
      <c r="AC589" s="171" t="str">
        <f>CONCATENATE(AA589,"_",AB589)</f>
        <v>018_Servicio de monitoreo y seguimiento para la gestión del riesgo</v>
      </c>
      <c r="AD589" s="171" t="str">
        <f>CONCATENATE(Z589," ",AC589)</f>
        <v>16-Servicio de monitoreo y seguimiento para la gestión del riesgo 018_Servicio de monitoreo y seguimiento para la gestión del riesgo</v>
      </c>
      <c r="AE589" s="173" t="str">
        <f>CONCATENATE(U589,V589,W589,X589,AA589)</f>
        <v>O23011745032024025516018</v>
      </c>
      <c r="AF589" s="159" t="str">
        <f>IFERROR(VLOOKUP(AD589,TD!$J$66:$K$89,2,0)," ")</f>
        <v>PM/0131/0116/45030180255</v>
      </c>
      <c r="AG589" s="135" t="s">
        <v>385</v>
      </c>
      <c r="AH589" s="167" t="s">
        <v>193</v>
      </c>
      <c r="AI589" s="176" t="str">
        <f>CONCATENATE(PAA[[#This Row],[Id Interno]],"-",PAA[[#This Row],[tipo de Contrato (TH talento humano - B/S bienes y/o servicios)]],"-",S589,"-",T589,"-",PAA[[#This Row],[Objeto de la contratación]])</f>
        <v>20260574-TH-8173-5-Prestar  servicios profesionales  en las actividades de proyeccion e innovacion para la Subdirección de Gestión del Riesgo._SGR</v>
      </c>
    </row>
    <row r="590" spans="2:35" ht="112" x14ac:dyDescent="0.35">
      <c r="B590" s="142">
        <v>20260575</v>
      </c>
      <c r="C590" s="121" t="s">
        <v>921</v>
      </c>
      <c r="D590" s="130" t="s">
        <v>105</v>
      </c>
      <c r="E590" s="130" t="s">
        <v>363</v>
      </c>
      <c r="F590" s="130" t="s">
        <v>144</v>
      </c>
      <c r="G590" s="131" t="s">
        <v>373</v>
      </c>
      <c r="H590" s="137">
        <v>8</v>
      </c>
      <c r="I590" s="137">
        <v>0</v>
      </c>
      <c r="J590" s="132">
        <v>56000000</v>
      </c>
      <c r="K590" s="133" t="s">
        <v>398</v>
      </c>
      <c r="L590" s="172" t="s">
        <v>154</v>
      </c>
      <c r="M590" s="170" t="s">
        <v>460</v>
      </c>
      <c r="N590" s="130" t="s">
        <v>198</v>
      </c>
      <c r="O590" s="151" t="s">
        <v>958</v>
      </c>
      <c r="P590" s="170" t="s">
        <v>348</v>
      </c>
      <c r="Q590" s="134">
        <v>80111600</v>
      </c>
      <c r="R590" s="170" t="s">
        <v>218</v>
      </c>
      <c r="S590" s="170" t="str">
        <f>MID(PAA[[#This Row],[Meta Proyecto de Inversión]],1,4)</f>
        <v>8173</v>
      </c>
      <c r="T590" s="170" t="str">
        <f>MID(PAA[[#This Row],[Meta Proyecto de Inversión]],6,1)</f>
        <v>9</v>
      </c>
      <c r="U590" s="173" t="str">
        <f>IFERROR(VLOOKUP(N590,TD!$B$50:$F$54,2,0)," ")</f>
        <v>O230117</v>
      </c>
      <c r="V590" s="173" t="str">
        <f>IFERROR(VLOOKUP(N590,TD!$B$50:$F$54,3,0)," ")</f>
        <v>4503</v>
      </c>
      <c r="W590" s="173">
        <f>IFERROR(VLOOKUP(N590,TD!$B$50:$F$54,4,0)," ")</f>
        <v>20240255</v>
      </c>
      <c r="X590" s="170" t="s">
        <v>172</v>
      </c>
      <c r="Y590" s="159" t="str">
        <f>IFERROR(VLOOKUP(X590,TD!$J$51:$K$64,2,0)," ")</f>
        <v>Servicio de formación en gestión del riesgo de incendios para el personal UAECOB</v>
      </c>
      <c r="Z590" s="171" t="str">
        <f>CONCATENATE(X590,"-",Y590)</f>
        <v>07-Servicio de formación en gestión del riesgo de incendios para el personal UAECOB</v>
      </c>
      <c r="AA590" s="170" t="s">
        <v>222</v>
      </c>
      <c r="AB590" s="159" t="str">
        <f>IFERROR(VLOOKUP(AA590,TD!$N$51:$O$66,2,0)," ")</f>
        <v>Servicio de educación informal</v>
      </c>
      <c r="AC590" s="171" t="str">
        <f>CONCATENATE(AA590,"_",AB590)</f>
        <v>002_Servicio de educación informal</v>
      </c>
      <c r="AD590" s="171" t="str">
        <f>CONCATENATE(Z590," ",AC590)</f>
        <v>07-Servicio de formación en gestión del riesgo de incendios para el personal UAECOB 002_Servicio de educación informal</v>
      </c>
      <c r="AE590" s="173" t="str">
        <f>CONCATENATE(U590,V590,W590,X590,AA590)</f>
        <v>O23011745032024025507002</v>
      </c>
      <c r="AF590" s="159" t="str">
        <f>IFERROR(VLOOKUP(AD590,TD!$J$66:$K$89,2,0)," ")</f>
        <v>PM/0131/0107/45030020255</v>
      </c>
      <c r="AG590" s="135" t="s">
        <v>385</v>
      </c>
      <c r="AH590" s="167" t="s">
        <v>193</v>
      </c>
      <c r="AI590" s="176" t="str">
        <f>CONCATENATE(PAA[[#This Row],[Id Interno]],"-",PAA[[#This Row],[tipo de Contrato (TH talento humano - B/S bienes y/o servicios)]],"-",S590,"-",T590,"-",PAA[[#This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591" spans="2:35" ht="56" x14ac:dyDescent="0.35">
      <c r="B591" s="142">
        <v>20260576</v>
      </c>
      <c r="C591" s="121" t="s">
        <v>920</v>
      </c>
      <c r="D591" s="130" t="s">
        <v>105</v>
      </c>
      <c r="E591" s="130" t="s">
        <v>363</v>
      </c>
      <c r="F591" s="130" t="s">
        <v>144</v>
      </c>
      <c r="G591" s="131" t="s">
        <v>374</v>
      </c>
      <c r="H591" s="137">
        <v>6</v>
      </c>
      <c r="I591" s="137">
        <v>0</v>
      </c>
      <c r="J591" s="132">
        <v>40800000</v>
      </c>
      <c r="K591" s="133" t="s">
        <v>398</v>
      </c>
      <c r="L591" s="172" t="s">
        <v>150</v>
      </c>
      <c r="M591" s="170" t="s">
        <v>401</v>
      </c>
      <c r="N591" s="130" t="s">
        <v>197</v>
      </c>
      <c r="O591" s="151" t="s">
        <v>957</v>
      </c>
      <c r="P591" s="170" t="s">
        <v>348</v>
      </c>
      <c r="Q591" s="134">
        <v>80111600</v>
      </c>
      <c r="R591" s="170" t="s">
        <v>209</v>
      </c>
      <c r="S591" s="170" t="str">
        <f>MID(PAA[[#This Row],[Meta Proyecto de Inversión]],1,4)</f>
        <v>8126</v>
      </c>
      <c r="T591" s="170" t="str">
        <f>MID(PAA[[#This Row],[Meta Proyecto de Inversión]],6,1)</f>
        <v>1</v>
      </c>
      <c r="U591" s="173" t="str">
        <f>IFERROR(VLOOKUP(N591,TD!$B$50:$F$54,2,0)," ")</f>
        <v>O230117</v>
      </c>
      <c r="V591" s="173" t="str">
        <f>IFERROR(VLOOKUP(N591,TD!$B$50:$F$54,3,0)," ")</f>
        <v>4599</v>
      </c>
      <c r="W591" s="173">
        <f>IFERROR(VLOOKUP(N591,TD!$B$50:$F$54,4,0)," ")</f>
        <v>20240207</v>
      </c>
      <c r="X591" s="170" t="s">
        <v>182</v>
      </c>
      <c r="Y591" s="159" t="str">
        <f>IFERROR(VLOOKUP(X591,TD!$J$51:$K$64,2,0)," ")</f>
        <v>Servicios para la planeación y sistemas de gestión y comunicación estratégica</v>
      </c>
      <c r="Z591" s="171" t="str">
        <f>CONCATENATE(X591,"-",Y591)</f>
        <v>13-Servicios para la planeación y sistemas de gestión y comunicación estratégica</v>
      </c>
      <c r="AA591" s="170" t="s">
        <v>231</v>
      </c>
      <c r="AB591" s="159" t="str">
        <f>IFERROR(VLOOKUP(AA591,TD!$N$51:$O$66,2,0)," ")</f>
        <v>Documentos de planeación</v>
      </c>
      <c r="AC591" s="171" t="str">
        <f>CONCATENATE(AA591,"_",AB591)</f>
        <v>019_Documentos de planeación</v>
      </c>
      <c r="AD591" s="171" t="str">
        <f>CONCATENATE(Z591," ",AC591)</f>
        <v>13-Servicios para la planeación y sistemas de gestión y comunicación estratégica 019_Documentos de planeación</v>
      </c>
      <c r="AE591" s="173" t="str">
        <f>CONCATENATE(U591,V591,W591,X591,AA591)</f>
        <v>O23011745992024020713019</v>
      </c>
      <c r="AF591" s="159" t="str">
        <f>IFERROR(VLOOKUP(AD591,TD!$J$66:$K$89,2,0)," ")</f>
        <v>PM/0131/0113/45990190207</v>
      </c>
      <c r="AG591" s="135" t="s">
        <v>385</v>
      </c>
      <c r="AH591" s="167" t="s">
        <v>193</v>
      </c>
      <c r="AI591" s="176" t="str">
        <f>CONCATENATE(PAA[[#This Row],[Id Interno]],"-",PAA[[#This Row],[tipo de Contrato (TH talento humano - B/S bienes y/o servicios)]],"-",S591,"-",T591,"-",PAA[[#This Row],[Objeto de la contratación]])</f>
        <v>20260576-TH-8126-1-Prestación de servicios profesionales en asuntos de comunicaciones y prensa para detectar las necesidades de la Entidad y facilitar la inserción de nuevas estrategias de comunicación</v>
      </c>
    </row>
    <row r="592" spans="2:35" ht="56" x14ac:dyDescent="0.35">
      <c r="B592" s="142">
        <v>20260577</v>
      </c>
      <c r="C592" s="121" t="s">
        <v>922</v>
      </c>
      <c r="D592" s="130" t="s">
        <v>105</v>
      </c>
      <c r="E592" s="130" t="s">
        <v>363</v>
      </c>
      <c r="F592" s="130" t="s">
        <v>145</v>
      </c>
      <c r="G592" s="131" t="s">
        <v>373</v>
      </c>
      <c r="H592" s="137">
        <v>6</v>
      </c>
      <c r="I592" s="137">
        <v>0</v>
      </c>
      <c r="J592" s="132">
        <v>21600000</v>
      </c>
      <c r="K592" s="133" t="s">
        <v>398</v>
      </c>
      <c r="L592" s="172" t="s">
        <v>157</v>
      </c>
      <c r="M592" s="170" t="s">
        <v>512</v>
      </c>
      <c r="N592" s="130" t="s">
        <v>198</v>
      </c>
      <c r="O592" s="151" t="s">
        <v>958</v>
      </c>
      <c r="P592" s="170" t="s">
        <v>348</v>
      </c>
      <c r="Q592" s="134">
        <v>80111600</v>
      </c>
      <c r="R592" s="170" t="s">
        <v>213</v>
      </c>
      <c r="S592" s="170" t="str">
        <f>MID(PAA[[#This Row],[Meta Proyecto de Inversión]],1,4)</f>
        <v>8173</v>
      </c>
      <c r="T592" s="170" t="str">
        <f>MID(PAA[[#This Row],[Meta Proyecto de Inversión]],6,1)</f>
        <v>4</v>
      </c>
      <c r="U592" s="173" t="str">
        <f>IFERROR(VLOOKUP(N592,TD!$B$50:$F$54,2,0)," ")</f>
        <v>O230117</v>
      </c>
      <c r="V592" s="173" t="str">
        <f>IFERROR(VLOOKUP(N592,TD!$B$50:$F$54,3,0)," ")</f>
        <v>4503</v>
      </c>
      <c r="W592" s="173">
        <f>IFERROR(VLOOKUP(N592,TD!$B$50:$F$54,4,0)," ")</f>
        <v>20240255</v>
      </c>
      <c r="X592" s="170" t="s">
        <v>176</v>
      </c>
      <c r="Y592" s="159" t="str">
        <f>IFERROR(VLOOKUP(X592,TD!$J$51:$K$64,2,0)," ")</f>
        <v>Servicio de mantenimiento, dotación (HEA´s y equipo menor) y adquisición de vehiculos   especializados para la atención de emergencias.</v>
      </c>
      <c r="Z592" s="171" t="str">
        <f>CONCATENATE(X592,"-",Y592)</f>
        <v>09-Servicio de mantenimiento, dotación (HEA´s y equipo menor) y adquisición de vehiculos   especializados para la atención de emergencias.</v>
      </c>
      <c r="AA592" s="170" t="s">
        <v>221</v>
      </c>
      <c r="AB592" s="159" t="str">
        <f>IFERROR(VLOOKUP(AA592,TD!$N$51:$O$66,2,0)," ")</f>
        <v>Servicio de atención a emergencias y desastres</v>
      </c>
      <c r="AC592" s="171" t="str">
        <f>CONCATENATE(AA592,"_",AB592)</f>
        <v>004_Servicio de atención a emergencias y desastres</v>
      </c>
      <c r="AD592" s="171" t="str">
        <f>CONCATENATE(Z592," ",AC592)</f>
        <v>09-Servicio de mantenimiento, dotación (HEA´s y equipo menor) y adquisición de vehiculos   especializados para la atención de emergencias. 004_Servicio de atención a emergencias y desastres</v>
      </c>
      <c r="AE592" s="173" t="str">
        <f>CONCATENATE(U592,V592,W592,X592,AA592)</f>
        <v>O23011745032024025509004</v>
      </c>
      <c r="AF592" s="159" t="str">
        <f>IFERROR(VLOOKUP(AD592,TD!$J$66:$K$89,2,0)," ")</f>
        <v>PM/0131/0109/45030040255</v>
      </c>
      <c r="AG592" s="135" t="s">
        <v>385</v>
      </c>
      <c r="AH592" s="167" t="s">
        <v>193</v>
      </c>
      <c r="AI592" s="176" t="str">
        <f>CONCATENATE(PAA[[#This Row],[Id Interno]],"-",PAA[[#This Row],[tipo de Contrato (TH talento humano - B/S bienes y/o servicios)]],"-",S592,"-",T592,"-",PAA[[#This Row],[Objeto de la contratación]])</f>
        <v>20260577-TH-8173-4-Prestar servicios de apoyo técnico en las herramientas tecnologicas para el desarrollo de las estrategias de la Subdirección  Logística-SBLG</v>
      </c>
    </row>
    <row r="593" spans="2:35" ht="84" x14ac:dyDescent="0.35">
      <c r="B593" s="142">
        <v>20260578</v>
      </c>
      <c r="C593" s="121" t="s">
        <v>923</v>
      </c>
      <c r="D593" s="130" t="s">
        <v>105</v>
      </c>
      <c r="E593" s="130" t="s">
        <v>363</v>
      </c>
      <c r="F593" s="130" t="s">
        <v>145</v>
      </c>
      <c r="G593" s="131" t="s">
        <v>373</v>
      </c>
      <c r="H593" s="137">
        <v>5</v>
      </c>
      <c r="I593" s="137">
        <v>0</v>
      </c>
      <c r="J593" s="132">
        <v>16400000</v>
      </c>
      <c r="K593" s="133" t="s">
        <v>398</v>
      </c>
      <c r="L593" s="172" t="s">
        <v>157</v>
      </c>
      <c r="M593" s="170" t="s">
        <v>512</v>
      </c>
      <c r="N593" s="130" t="s">
        <v>198</v>
      </c>
      <c r="O593" s="151" t="s">
        <v>958</v>
      </c>
      <c r="P593" s="170" t="s">
        <v>348</v>
      </c>
      <c r="Q593" s="134">
        <v>80111600</v>
      </c>
      <c r="R593" s="170" t="s">
        <v>213</v>
      </c>
      <c r="S593" s="170" t="str">
        <f>MID(PAA[[#This Row],[Meta Proyecto de Inversión]],1,4)</f>
        <v>8173</v>
      </c>
      <c r="T593" s="170" t="str">
        <f>MID(PAA[[#This Row],[Meta Proyecto de Inversión]],6,1)</f>
        <v>4</v>
      </c>
      <c r="U593" s="173" t="str">
        <f>IFERROR(VLOOKUP(N593,TD!$B$50:$F$54,2,0)," ")</f>
        <v>O230117</v>
      </c>
      <c r="V593" s="173" t="str">
        <f>IFERROR(VLOOKUP(N593,TD!$B$50:$F$54,3,0)," ")</f>
        <v>4503</v>
      </c>
      <c r="W593" s="173">
        <f>IFERROR(VLOOKUP(N593,TD!$B$50:$F$54,4,0)," ")</f>
        <v>20240255</v>
      </c>
      <c r="X593" s="170" t="s">
        <v>176</v>
      </c>
      <c r="Y593" s="159" t="str">
        <f>IFERROR(VLOOKUP(X593,TD!$J$51:$K$64,2,0)," ")</f>
        <v>Servicio de mantenimiento, dotación (HEA´s y equipo menor) y adquisición de vehiculos   especializados para la atención de emergencias.</v>
      </c>
      <c r="Z593" s="171" t="str">
        <f>CONCATENATE(X593,"-",Y593)</f>
        <v>09-Servicio de mantenimiento, dotación (HEA´s y equipo menor) y adquisición de vehiculos   especializados para la atención de emergencias.</v>
      </c>
      <c r="AA593" s="170" t="s">
        <v>221</v>
      </c>
      <c r="AB593" s="159" t="str">
        <f>IFERROR(VLOOKUP(AA593,TD!$N$51:$O$66,2,0)," ")</f>
        <v>Servicio de atención a emergencias y desastres</v>
      </c>
      <c r="AC593" s="171" t="str">
        <f>CONCATENATE(AA593,"_",AB593)</f>
        <v>004_Servicio de atención a emergencias y desastres</v>
      </c>
      <c r="AD593" s="171" t="str">
        <f>CONCATENATE(Z593," ",AC593)</f>
        <v>09-Servicio de mantenimiento, dotación (HEA´s y equipo menor) y adquisición de vehiculos   especializados para la atención de emergencias. 004_Servicio de atención a emergencias y desastres</v>
      </c>
      <c r="AE593" s="173" t="str">
        <f>CONCATENATE(U593,V593,W593,X593,AA593)</f>
        <v>O23011745032024025509004</v>
      </c>
      <c r="AF593" s="159" t="str">
        <f>IFERROR(VLOOKUP(AD593,TD!$J$66:$K$89,2,0)," ")</f>
        <v>PM/0131/0109/45030040255</v>
      </c>
      <c r="AG593" s="135" t="s">
        <v>385</v>
      </c>
      <c r="AH593" s="167" t="s">
        <v>193</v>
      </c>
      <c r="AI593" s="176" t="str">
        <f>CONCATENATE(PAA[[#This Row],[Id Interno]],"-",PAA[[#This Row],[tipo de Contrato (TH talento humano - B/S bienes y/o servicios)]],"-",S593,"-",T593,"-",PAA[[#This Row],[Objeto de la contratación]])</f>
        <v>20260578-TH-8173-4-Prestar servicios de apoyo a la gestión en las actividades de soporte operacional de la UAECOB Subdirección Logística. SBLG</v>
      </c>
    </row>
    <row r="594" spans="2:35" ht="98" x14ac:dyDescent="0.35">
      <c r="B594" s="142">
        <v>20260579</v>
      </c>
      <c r="C594" s="121" t="s">
        <v>924</v>
      </c>
      <c r="D594" s="130" t="s">
        <v>105</v>
      </c>
      <c r="E594" s="130" t="s">
        <v>363</v>
      </c>
      <c r="F594" s="130" t="s">
        <v>145</v>
      </c>
      <c r="G594" s="131" t="s">
        <v>373</v>
      </c>
      <c r="H594" s="137">
        <v>5</v>
      </c>
      <c r="I594" s="137">
        <v>0</v>
      </c>
      <c r="J594" s="132">
        <v>21388000</v>
      </c>
      <c r="K594" s="133" t="s">
        <v>398</v>
      </c>
      <c r="L594" s="172" t="s">
        <v>157</v>
      </c>
      <c r="M594" s="170" t="s">
        <v>512</v>
      </c>
      <c r="N594" s="130" t="s">
        <v>198</v>
      </c>
      <c r="O594" s="151" t="s">
        <v>958</v>
      </c>
      <c r="P594" s="170" t="s">
        <v>348</v>
      </c>
      <c r="Q594" s="134">
        <v>80111600</v>
      </c>
      <c r="R594" s="170" t="s">
        <v>213</v>
      </c>
      <c r="S594" s="170" t="str">
        <f>MID(PAA[[#This Row],[Meta Proyecto de Inversión]],1,4)</f>
        <v>8173</v>
      </c>
      <c r="T594" s="170" t="str">
        <f>MID(PAA[[#This Row],[Meta Proyecto de Inversión]],6,1)</f>
        <v>4</v>
      </c>
      <c r="U594" s="173" t="str">
        <f>IFERROR(VLOOKUP(N594,TD!$B$50:$F$54,2,0)," ")</f>
        <v>O230117</v>
      </c>
      <c r="V594" s="173" t="str">
        <f>IFERROR(VLOOKUP(N594,TD!$B$50:$F$54,3,0)," ")</f>
        <v>4503</v>
      </c>
      <c r="W594" s="173">
        <f>IFERROR(VLOOKUP(N594,TD!$B$50:$F$54,4,0)," ")</f>
        <v>20240255</v>
      </c>
      <c r="X594" s="170" t="s">
        <v>176</v>
      </c>
      <c r="Y594" s="159" t="str">
        <f>IFERROR(VLOOKUP(X594,TD!$J$51:$K$64,2,0)," ")</f>
        <v>Servicio de mantenimiento, dotación (HEA´s y equipo menor) y adquisición de vehiculos   especializados para la atención de emergencias.</v>
      </c>
      <c r="Z594" s="171" t="str">
        <f>CONCATENATE(X594,"-",Y594)</f>
        <v>09-Servicio de mantenimiento, dotación (HEA´s y equipo menor) y adquisición de vehiculos   especializados para la atención de emergencias.</v>
      </c>
      <c r="AA594" s="170" t="s">
        <v>221</v>
      </c>
      <c r="AB594" s="159" t="str">
        <f>IFERROR(VLOOKUP(AA594,TD!$N$51:$O$66,2,0)," ")</f>
        <v>Servicio de atención a emergencias y desastres</v>
      </c>
      <c r="AC594" s="171" t="str">
        <f>CONCATENATE(AA594,"_",AB594)</f>
        <v>004_Servicio de atención a emergencias y desastres</v>
      </c>
      <c r="AD594" s="171" t="str">
        <f>CONCATENATE(Z594," ",AC594)</f>
        <v>09-Servicio de mantenimiento, dotación (HEA´s y equipo menor) y adquisición de vehiculos   especializados para la atención de emergencias. 004_Servicio de atención a emergencias y desastres</v>
      </c>
      <c r="AE594" s="173" t="str">
        <f>CONCATENATE(U594,V594,W594,X594,AA594)</f>
        <v>O23011745032024025509004</v>
      </c>
      <c r="AF594" s="159" t="str">
        <f>IFERROR(VLOOKUP(AD594,TD!$J$66:$K$89,2,0)," ")</f>
        <v>PM/0131/0109/45030040255</v>
      </c>
      <c r="AG594" s="135" t="s">
        <v>385</v>
      </c>
      <c r="AH594" s="175" t="s">
        <v>193</v>
      </c>
      <c r="AI594" s="176" t="str">
        <f>CONCATENATE(PAA[[#This Row],[Id Interno]],"-",PAA[[#This Row],[tipo de Contrato (TH talento humano - B/S bienes y/o servicios)]],"-",S594,"-",T594,"-",PAA[[#This Row],[Objeto de la contratación]])</f>
        <v>20260579-TH-8173-4-Prestar servicios de apoyo a la gestión en actividades administrativas y documentales que se desarrollen en la Subdirección Logística – SBLG".</v>
      </c>
    </row>
    <row r="595" spans="2:35" ht="56" x14ac:dyDescent="0.35">
      <c r="B595" s="142">
        <v>20260580</v>
      </c>
      <c r="C595" s="121" t="s">
        <v>925</v>
      </c>
      <c r="D595" s="130" t="s">
        <v>105</v>
      </c>
      <c r="E595" s="130" t="s">
        <v>363</v>
      </c>
      <c r="F595" s="130" t="s">
        <v>145</v>
      </c>
      <c r="G595" s="131" t="s">
        <v>373</v>
      </c>
      <c r="H595" s="137">
        <v>6</v>
      </c>
      <c r="I595" s="137">
        <v>0</v>
      </c>
      <c r="J595" s="132">
        <v>19680000</v>
      </c>
      <c r="K595" s="133" t="s">
        <v>398</v>
      </c>
      <c r="L595" s="172" t="s">
        <v>157</v>
      </c>
      <c r="M595" s="170" t="s">
        <v>512</v>
      </c>
      <c r="N595" s="130" t="s">
        <v>198</v>
      </c>
      <c r="O595" s="151" t="s">
        <v>958</v>
      </c>
      <c r="P595" s="170" t="s">
        <v>348</v>
      </c>
      <c r="Q595" s="134">
        <v>80111600</v>
      </c>
      <c r="R595" s="170" t="s">
        <v>213</v>
      </c>
      <c r="S595" s="170" t="str">
        <f>MID(PAA[[#This Row],[Meta Proyecto de Inversión]],1,4)</f>
        <v>8173</v>
      </c>
      <c r="T595" s="170" t="str">
        <f>MID(PAA[[#This Row],[Meta Proyecto de Inversión]],6,1)</f>
        <v>4</v>
      </c>
      <c r="U595" s="173" t="str">
        <f>IFERROR(VLOOKUP(N595,TD!$B$50:$F$54,2,0)," ")</f>
        <v>O230117</v>
      </c>
      <c r="V595" s="173" t="str">
        <f>IFERROR(VLOOKUP(N595,TD!$B$50:$F$54,3,0)," ")</f>
        <v>4503</v>
      </c>
      <c r="W595" s="173">
        <f>IFERROR(VLOOKUP(N595,TD!$B$50:$F$54,4,0)," ")</f>
        <v>20240255</v>
      </c>
      <c r="X595" s="170" t="s">
        <v>176</v>
      </c>
      <c r="Y595" s="159" t="str">
        <f>IFERROR(VLOOKUP(X595,TD!$J$51:$K$64,2,0)," ")</f>
        <v>Servicio de mantenimiento, dotación (HEA´s y equipo menor) y adquisición de vehiculos   especializados para la atención de emergencias.</v>
      </c>
      <c r="Z595" s="171" t="str">
        <f>CONCATENATE(X595,"-",Y595)</f>
        <v>09-Servicio de mantenimiento, dotación (HEA´s y equipo menor) y adquisición de vehiculos   especializados para la atención de emergencias.</v>
      </c>
      <c r="AA595" s="170" t="s">
        <v>221</v>
      </c>
      <c r="AB595" s="159" t="str">
        <f>IFERROR(VLOOKUP(AA595,TD!$N$51:$O$66,2,0)," ")</f>
        <v>Servicio de atención a emergencias y desastres</v>
      </c>
      <c r="AC595" s="171" t="str">
        <f>CONCATENATE(AA595,"_",AB595)</f>
        <v>004_Servicio de atención a emergencias y desastres</v>
      </c>
      <c r="AD595" s="171" t="str">
        <f>CONCATENATE(Z595," ",AC595)</f>
        <v>09-Servicio de mantenimiento, dotación (HEA´s y equipo menor) y adquisición de vehiculos   especializados para la atención de emergencias. 004_Servicio de atención a emergencias y desastres</v>
      </c>
      <c r="AE595" s="173" t="str">
        <f>CONCATENATE(U595,V595,W595,X595,AA595)</f>
        <v>O23011745032024025509004</v>
      </c>
      <c r="AF595" s="159" t="str">
        <f>IFERROR(VLOOKUP(AD595,TD!$J$66:$K$89,2,0)," ")</f>
        <v>PM/0131/0109/45030040255</v>
      </c>
      <c r="AG595" s="135" t="s">
        <v>385</v>
      </c>
      <c r="AH595" s="175" t="s">
        <v>193</v>
      </c>
      <c r="AI595" s="176" t="str">
        <f>CONCATENATE(PAA[[#This Row],[Id Interno]],"-",PAA[[#This Row],[tipo de Contrato (TH talento humano - B/S bienes y/o servicios)]],"-",S595,"-",T595,"-",PAA[[#This Row],[Objeto de la contratación]])</f>
        <v>20260580-TH-8173-4-Prestación de servicios de apoyo a la gestión para realizar actividades documentales, administrativas relacionadas para el desarrollo de las estrategias de la Subdirección Logística. SBLG</v>
      </c>
    </row>
    <row r="596" spans="2:35" ht="42" x14ac:dyDescent="0.35">
      <c r="B596" s="142">
        <v>20260581</v>
      </c>
      <c r="C596" s="121" t="s">
        <v>926</v>
      </c>
      <c r="D596" s="130" t="s">
        <v>105</v>
      </c>
      <c r="E596" s="130" t="s">
        <v>363</v>
      </c>
      <c r="F596" s="130" t="s">
        <v>145</v>
      </c>
      <c r="G596" s="131" t="s">
        <v>373</v>
      </c>
      <c r="H596" s="137">
        <v>6</v>
      </c>
      <c r="I596" s="137">
        <v>0</v>
      </c>
      <c r="J596" s="132">
        <v>19680000</v>
      </c>
      <c r="K596" s="133" t="s">
        <v>398</v>
      </c>
      <c r="L596" s="172" t="s">
        <v>157</v>
      </c>
      <c r="M596" s="170" t="s">
        <v>512</v>
      </c>
      <c r="N596" s="130" t="s">
        <v>198</v>
      </c>
      <c r="O596" s="151" t="s">
        <v>958</v>
      </c>
      <c r="P596" s="170" t="s">
        <v>348</v>
      </c>
      <c r="Q596" s="134">
        <v>80111600</v>
      </c>
      <c r="R596" s="170" t="s">
        <v>213</v>
      </c>
      <c r="S596" s="170" t="str">
        <f>MID(PAA[[#This Row],[Meta Proyecto de Inversión]],1,4)</f>
        <v>8173</v>
      </c>
      <c r="T596" s="170" t="str">
        <f>MID(PAA[[#This Row],[Meta Proyecto de Inversión]],6,1)</f>
        <v>4</v>
      </c>
      <c r="U596" s="173" t="str">
        <f>IFERROR(VLOOKUP(N596,TD!$B$50:$F$54,2,0)," ")</f>
        <v>O230117</v>
      </c>
      <c r="V596" s="173" t="str">
        <f>IFERROR(VLOOKUP(N596,TD!$B$50:$F$54,3,0)," ")</f>
        <v>4503</v>
      </c>
      <c r="W596" s="173">
        <f>IFERROR(VLOOKUP(N596,TD!$B$50:$F$54,4,0)," ")</f>
        <v>20240255</v>
      </c>
      <c r="X596" s="170" t="s">
        <v>176</v>
      </c>
      <c r="Y596" s="159" t="str">
        <f>IFERROR(VLOOKUP(X596,TD!$J$51:$K$64,2,0)," ")</f>
        <v>Servicio de mantenimiento, dotación (HEA´s y equipo menor) y adquisición de vehiculos   especializados para la atención de emergencias.</v>
      </c>
      <c r="Z596" s="171" t="str">
        <f>CONCATENATE(X596,"-",Y596)</f>
        <v>09-Servicio de mantenimiento, dotación (HEA´s y equipo menor) y adquisición de vehiculos   especializados para la atención de emergencias.</v>
      </c>
      <c r="AA596" s="170" t="s">
        <v>221</v>
      </c>
      <c r="AB596" s="159" t="str">
        <f>IFERROR(VLOOKUP(AA596,TD!$N$51:$O$66,2,0)," ")</f>
        <v>Servicio de atención a emergencias y desastres</v>
      </c>
      <c r="AC596" s="171" t="str">
        <f>CONCATENATE(AA596,"_",AB596)</f>
        <v>004_Servicio de atención a emergencias y desastres</v>
      </c>
      <c r="AD596" s="171" t="str">
        <f>CONCATENATE(Z596," ",AC596)</f>
        <v>09-Servicio de mantenimiento, dotación (HEA´s y equipo menor) y adquisición de vehiculos   especializados para la atención de emergencias. 004_Servicio de atención a emergencias y desastres</v>
      </c>
      <c r="AE596" s="173" t="str">
        <f>CONCATENATE(U596,V596,W596,X596,AA596)</f>
        <v>O23011745032024025509004</v>
      </c>
      <c r="AF596" s="159" t="str">
        <f>IFERROR(VLOOKUP(AD596,TD!$J$66:$K$89,2,0)," ")</f>
        <v>PM/0131/0109/45030040255</v>
      </c>
      <c r="AG596" s="135" t="s">
        <v>385</v>
      </c>
      <c r="AH596" s="175" t="s">
        <v>193</v>
      </c>
      <c r="AI596" s="176" t="str">
        <f>CONCATENATE(PAA[[#This Row],[Id Interno]],"-",PAA[[#This Row],[tipo de Contrato (TH talento humano - B/S bienes y/o servicios)]],"-",S596,"-",T596,"-",PAA[[#This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597" spans="2:35" ht="70" x14ac:dyDescent="0.35">
      <c r="B597" s="142">
        <v>20260582</v>
      </c>
      <c r="C597" s="121" t="s">
        <v>929</v>
      </c>
      <c r="D597" s="130" t="s">
        <v>105</v>
      </c>
      <c r="E597" s="130" t="s">
        <v>363</v>
      </c>
      <c r="F597" s="130" t="s">
        <v>144</v>
      </c>
      <c r="G597" s="131" t="s">
        <v>373</v>
      </c>
      <c r="H597" s="137">
        <v>6</v>
      </c>
      <c r="I597" s="137">
        <v>0</v>
      </c>
      <c r="J597" s="132">
        <v>33000000</v>
      </c>
      <c r="K597" s="133" t="s">
        <v>398</v>
      </c>
      <c r="L597" s="172" t="s">
        <v>154</v>
      </c>
      <c r="M597" s="170" t="s">
        <v>460</v>
      </c>
      <c r="N597" s="130" t="s">
        <v>198</v>
      </c>
      <c r="O597" s="151" t="s">
        <v>958</v>
      </c>
      <c r="P597" s="170" t="s">
        <v>348</v>
      </c>
      <c r="Q597" s="134">
        <v>80111600</v>
      </c>
      <c r="R597" s="170" t="s">
        <v>218</v>
      </c>
      <c r="S597" s="170" t="str">
        <f>MID(PAA[[#This Row],[Meta Proyecto de Inversión]],1,4)</f>
        <v>8173</v>
      </c>
      <c r="T597" s="170" t="str">
        <f>MID(PAA[[#This Row],[Meta Proyecto de Inversión]],6,1)</f>
        <v>9</v>
      </c>
      <c r="U597" s="173" t="str">
        <f>IFERROR(VLOOKUP(N597,TD!$B$50:$F$54,2,0)," ")</f>
        <v>O230117</v>
      </c>
      <c r="V597" s="173" t="str">
        <f>IFERROR(VLOOKUP(N597,TD!$B$50:$F$54,3,0)," ")</f>
        <v>4503</v>
      </c>
      <c r="W597" s="173">
        <f>IFERROR(VLOOKUP(N597,TD!$B$50:$F$54,4,0)," ")</f>
        <v>20240255</v>
      </c>
      <c r="X597" s="170" t="s">
        <v>172</v>
      </c>
      <c r="Y597" s="159" t="str">
        <f>IFERROR(VLOOKUP(X597,TD!$J$51:$K$64,2,0)," ")</f>
        <v>Servicio de formación en gestión del riesgo de incendios para el personal UAECOB</v>
      </c>
      <c r="Z597" s="171" t="str">
        <f>CONCATENATE(X597,"-",Y597)</f>
        <v>07-Servicio de formación en gestión del riesgo de incendios para el personal UAECOB</v>
      </c>
      <c r="AA597" s="170" t="s">
        <v>222</v>
      </c>
      <c r="AB597" s="159" t="str">
        <f>IFERROR(VLOOKUP(AA597,TD!$N$51:$O$66,2,0)," ")</f>
        <v>Servicio de educación informal</v>
      </c>
      <c r="AC597" s="171" t="str">
        <f>CONCATENATE(AA597,"_",AB597)</f>
        <v>002_Servicio de educación informal</v>
      </c>
      <c r="AD597" s="171" t="str">
        <f>CONCATENATE(Z597," ",AC597)</f>
        <v>07-Servicio de formación en gestión del riesgo de incendios para el personal UAECOB 002_Servicio de educación informal</v>
      </c>
      <c r="AE597" s="173" t="str">
        <f>CONCATENATE(U597,V597,W597,X597,AA597)</f>
        <v>O23011745032024025507002</v>
      </c>
      <c r="AF597" s="159" t="str">
        <f>IFERROR(VLOOKUP(AD597,TD!$J$66:$K$89,2,0)," ")</f>
        <v>PM/0131/0107/45030020255</v>
      </c>
      <c r="AG597" s="135" t="s">
        <v>385</v>
      </c>
      <c r="AH597" s="175" t="s">
        <v>193</v>
      </c>
      <c r="AI597" s="176" t="str">
        <f>CONCATENATE(PAA[[#This Row],[Id Interno]],"-",PAA[[#This Row],[tipo de Contrato (TH talento humano - B/S bienes y/o servicios)]],"-",S597,"-",T597,"-",PAA[[#This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598" spans="2:35" ht="56" x14ac:dyDescent="0.35">
      <c r="B598" s="142">
        <v>20260583</v>
      </c>
      <c r="C598" s="121" t="s">
        <v>993</v>
      </c>
      <c r="D598" s="130" t="s">
        <v>105</v>
      </c>
      <c r="E598" s="130" t="s">
        <v>363</v>
      </c>
      <c r="F598" s="130" t="s">
        <v>145</v>
      </c>
      <c r="G598" s="131" t="s">
        <v>373</v>
      </c>
      <c r="H598" s="137">
        <v>6</v>
      </c>
      <c r="I598" s="137">
        <v>0</v>
      </c>
      <c r="J598" s="132">
        <v>24000000</v>
      </c>
      <c r="K598" s="133" t="s">
        <v>398</v>
      </c>
      <c r="L598" s="172" t="s">
        <v>154</v>
      </c>
      <c r="M598" s="170" t="s">
        <v>460</v>
      </c>
      <c r="N598" s="130" t="s">
        <v>197</v>
      </c>
      <c r="O598" s="151" t="s">
        <v>957</v>
      </c>
      <c r="P598" s="170" t="s">
        <v>348</v>
      </c>
      <c r="Q598" s="134">
        <v>80111600</v>
      </c>
      <c r="R598" s="170" t="s">
        <v>208</v>
      </c>
      <c r="S598" s="170" t="str">
        <f>MID(PAA[[#This Row],[Meta Proyecto de Inversión]],1,4)</f>
        <v>8126</v>
      </c>
      <c r="T598" s="170" t="str">
        <f>MID(PAA[[#This Row],[Meta Proyecto de Inversión]],6,1)</f>
        <v>9</v>
      </c>
      <c r="U598" s="173" t="str">
        <f>IFERROR(VLOOKUP(N598,TD!$B$50:$F$54,2,0)," ")</f>
        <v>O230117</v>
      </c>
      <c r="V598" s="173" t="str">
        <f>IFERROR(VLOOKUP(N598,TD!$B$50:$F$54,3,0)," ")</f>
        <v>4599</v>
      </c>
      <c r="W598" s="173">
        <f>IFERROR(VLOOKUP(N598,TD!$B$50:$F$54,4,0)," ")</f>
        <v>20240207</v>
      </c>
      <c r="X598" s="170" t="s">
        <v>174</v>
      </c>
      <c r="Y598" s="159" t="str">
        <f>IFERROR(VLOOKUP(X598,TD!$J$51:$K$64,2,0)," ")</f>
        <v>Infraestructura física, mantenimiento y dotación (Sedes construidas, mantenidas reforzadas)</v>
      </c>
      <c r="Z598" s="171" t="str">
        <f>CONCATENATE(X598,"-",Y598)</f>
        <v>08-Infraestructura física, mantenimiento y dotación (Sedes construidas, mantenidas reforzadas)</v>
      </c>
      <c r="AA598" s="170" t="s">
        <v>227</v>
      </c>
      <c r="AB598" s="159" t="str">
        <f>IFERROR(VLOOKUP(AA598,TD!$N$51:$O$66,2,0)," ")</f>
        <v>Sedes mantenidas</v>
      </c>
      <c r="AC598" s="171" t="str">
        <f>CONCATENATE(AA598,"_",AB598)</f>
        <v>016_Sedes mantenidas</v>
      </c>
      <c r="AD598" s="171" t="str">
        <f>CONCATENATE(Z598," ",AC598)</f>
        <v>08-Infraestructura física, mantenimiento y dotación (Sedes construidas, mantenidas reforzadas) 016_Sedes mantenidas</v>
      </c>
      <c r="AE598" s="173" t="str">
        <f>CONCATENATE(U598,V598,W598,X598,AA598)</f>
        <v>O23011745992024020708016</v>
      </c>
      <c r="AF598" s="159" t="str">
        <f>IFERROR(VLOOKUP(AD598,TD!$J$66:$K$89,2,0)," ")</f>
        <v>PM/0131/0108/45990160207</v>
      </c>
      <c r="AG598" s="135" t="s">
        <v>385</v>
      </c>
      <c r="AH598" s="175" t="s">
        <v>193</v>
      </c>
      <c r="AI598" s="176" t="str">
        <f>CONCATENATE(PAA[[#This Row],[Id Interno]],"-",PAA[[#This Row],[tipo de Contrato (TH talento humano - B/S bienes y/o servicios)]],"-",S598,"-",T598,"-",PAA[[#This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599" spans="2:35" ht="56" x14ac:dyDescent="0.35">
      <c r="B599" s="142">
        <v>20260584</v>
      </c>
      <c r="C599" s="121" t="s">
        <v>874</v>
      </c>
      <c r="D599" s="130" t="s">
        <v>105</v>
      </c>
      <c r="E599" s="130" t="s">
        <v>363</v>
      </c>
      <c r="F599" s="130" t="s">
        <v>145</v>
      </c>
      <c r="G599" s="131" t="s">
        <v>373</v>
      </c>
      <c r="H599" s="137">
        <v>7</v>
      </c>
      <c r="I599" s="137">
        <v>0</v>
      </c>
      <c r="J599" s="132">
        <v>21700000</v>
      </c>
      <c r="K599" s="133" t="s">
        <v>398</v>
      </c>
      <c r="L599" s="172" t="s">
        <v>158</v>
      </c>
      <c r="M599" s="170" t="s">
        <v>421</v>
      </c>
      <c r="N599" s="130" t="s">
        <v>198</v>
      </c>
      <c r="O599" s="151" t="s">
        <v>958</v>
      </c>
      <c r="P599" s="170" t="s">
        <v>348</v>
      </c>
      <c r="Q599" s="134">
        <v>80111600</v>
      </c>
      <c r="R599" s="170" t="s">
        <v>211</v>
      </c>
      <c r="S599" s="170" t="str">
        <f>MID(PAA[[#This Row],[Meta Proyecto de Inversión]],1,4)</f>
        <v>8173</v>
      </c>
      <c r="T599" s="170" t="str">
        <f>MID(PAA[[#This Row],[Meta Proyecto de Inversión]],6,1)</f>
        <v>2</v>
      </c>
      <c r="U599" s="173" t="str">
        <f>IFERROR(VLOOKUP(N599,TD!$B$50:$F$54,2,0)," ")</f>
        <v>O230117</v>
      </c>
      <c r="V599" s="173" t="str">
        <f>IFERROR(VLOOKUP(N599,TD!$B$50:$F$54,3,0)," ")</f>
        <v>4503</v>
      </c>
      <c r="W599" s="173">
        <f>IFERROR(VLOOKUP(N599,TD!$B$50:$F$54,4,0)," ")</f>
        <v>20240255</v>
      </c>
      <c r="X599" s="170" t="s">
        <v>164</v>
      </c>
      <c r="Y599" s="159" t="str">
        <f>IFERROR(VLOOKUP(X599,TD!$J$51:$K$64,2,0)," ")</f>
        <v>Servicio de atención a incidentes y emergencias.</v>
      </c>
      <c r="Z599" s="171" t="str">
        <f>CONCATENATE(X599,"-",Y599)</f>
        <v>04-Servicio de atención a incidentes y emergencias.</v>
      </c>
      <c r="AA599" s="170" t="s">
        <v>221</v>
      </c>
      <c r="AB599" s="159" t="str">
        <f>IFERROR(VLOOKUP(AA599,TD!$N$51:$O$66,2,0)," ")</f>
        <v>Servicio de atención a emergencias y desastres</v>
      </c>
      <c r="AC599" s="171" t="str">
        <f>CONCATENATE(AA599,"_",AB599)</f>
        <v>004_Servicio de atención a emergencias y desastres</v>
      </c>
      <c r="AD599" s="171" t="str">
        <f>CONCATENATE(Z599," ",AC599)</f>
        <v>04-Servicio de atención a incidentes y emergencias. 004_Servicio de atención a emergencias y desastres</v>
      </c>
      <c r="AE599" s="173" t="str">
        <f>CONCATENATE(U599,V599,W599,X599,AA599)</f>
        <v>O23011745032024025504004</v>
      </c>
      <c r="AF599" s="159" t="str">
        <f>IFERROR(VLOOKUP(AD599,TD!$J$66:$K$89,2,0)," ")</f>
        <v>PM/0131/0104/45030040255</v>
      </c>
      <c r="AG599" s="135" t="s">
        <v>385</v>
      </c>
      <c r="AH599" s="175" t="s">
        <v>193</v>
      </c>
      <c r="AI599" s="176" t="str">
        <f>CONCATENATE(PAA[[#This Row],[Id Interno]],"-",PAA[[#This Row],[tipo de Contrato (TH talento humano - B/S bienes y/o servicios)]],"-",S599,"-",T599,"-",PAA[[#This Row],[Objeto de la contratación]])</f>
        <v>20260584-TH-8173-2-Prestación de servicios de apoyo al proceso de comunicaciones en emergencias del centro de coordinación y comunicaciones (c.c.c.), para el desarrollo de los programas a cargo de la Subdirección Operativa-S.O.</v>
      </c>
    </row>
    <row r="600" spans="2:35" ht="84" x14ac:dyDescent="0.35">
      <c r="B600" s="142">
        <v>20260585</v>
      </c>
      <c r="C600" s="121" t="s">
        <v>930</v>
      </c>
      <c r="D600" s="130" t="s">
        <v>105</v>
      </c>
      <c r="E600" s="130" t="s">
        <v>363</v>
      </c>
      <c r="F600" s="130" t="s">
        <v>144</v>
      </c>
      <c r="G600" s="131" t="s">
        <v>373</v>
      </c>
      <c r="H600" s="137">
        <v>11</v>
      </c>
      <c r="I600" s="137">
        <v>0</v>
      </c>
      <c r="J600" s="132">
        <v>66000000</v>
      </c>
      <c r="K600" s="133" t="s">
        <v>398</v>
      </c>
      <c r="L600" s="172" t="s">
        <v>158</v>
      </c>
      <c r="M600" s="170" t="s">
        <v>421</v>
      </c>
      <c r="N600" s="130" t="s">
        <v>198</v>
      </c>
      <c r="O600" s="151" t="s">
        <v>958</v>
      </c>
      <c r="P600" s="170" t="s">
        <v>348</v>
      </c>
      <c r="Q600" s="134">
        <v>80111600</v>
      </c>
      <c r="R600" s="170" t="s">
        <v>211</v>
      </c>
      <c r="S600" s="170" t="str">
        <f>MID(PAA[[#This Row],[Meta Proyecto de Inversión]],1,4)</f>
        <v>8173</v>
      </c>
      <c r="T600" s="170" t="str">
        <f>MID(PAA[[#This Row],[Meta Proyecto de Inversión]],6,1)</f>
        <v>2</v>
      </c>
      <c r="U600" s="173" t="str">
        <f>IFERROR(VLOOKUP(N600,TD!$B$50:$F$54,2,0)," ")</f>
        <v>O230117</v>
      </c>
      <c r="V600" s="173" t="str">
        <f>IFERROR(VLOOKUP(N600,TD!$B$50:$F$54,3,0)," ")</f>
        <v>4503</v>
      </c>
      <c r="W600" s="173">
        <f>IFERROR(VLOOKUP(N600,TD!$B$50:$F$54,4,0)," ")</f>
        <v>20240255</v>
      </c>
      <c r="X600" s="170" t="s">
        <v>164</v>
      </c>
      <c r="Y600" s="159" t="str">
        <f>IFERROR(VLOOKUP(X600,TD!$J$51:$K$64,2,0)," ")</f>
        <v>Servicio de atención a incidentes y emergencias.</v>
      </c>
      <c r="Z600" s="171" t="str">
        <f>CONCATENATE(X600,"-",Y600)</f>
        <v>04-Servicio de atención a incidentes y emergencias.</v>
      </c>
      <c r="AA600" s="170" t="s">
        <v>221</v>
      </c>
      <c r="AB600" s="159" t="str">
        <f>IFERROR(VLOOKUP(AA600,TD!$N$51:$O$66,2,0)," ")</f>
        <v>Servicio de atención a emergencias y desastres</v>
      </c>
      <c r="AC600" s="171" t="str">
        <f>CONCATENATE(AA600,"_",AB600)</f>
        <v>004_Servicio de atención a emergencias y desastres</v>
      </c>
      <c r="AD600" s="171" t="str">
        <f>CONCATENATE(Z600," ",AC600)</f>
        <v>04-Servicio de atención a incidentes y emergencias. 004_Servicio de atención a emergencias y desastres</v>
      </c>
      <c r="AE600" s="173" t="str">
        <f>CONCATENATE(U600,V600,W600,X600,AA600)</f>
        <v>O23011745032024025504004</v>
      </c>
      <c r="AF600" s="159" t="str">
        <f>IFERROR(VLOOKUP(AD600,TD!$J$66:$K$89,2,0)," ")</f>
        <v>PM/0131/0104/45030040255</v>
      </c>
      <c r="AG600" s="135" t="s">
        <v>385</v>
      </c>
      <c r="AH600" s="175" t="s">
        <v>193</v>
      </c>
      <c r="AI600" s="176" t="str">
        <f>CONCATENATE(PAA[[#This Row],[Id Interno]],"-",PAA[[#This Row],[tipo de Contrato (TH talento humano - B/S bienes y/o servicios)]],"-",S600,"-",T600,"-",PAA[[#This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601" spans="2:35" ht="140" x14ac:dyDescent="0.35">
      <c r="B601" s="142">
        <v>20260586</v>
      </c>
      <c r="C601" s="121" t="s">
        <v>942</v>
      </c>
      <c r="D601" s="130" t="s">
        <v>105</v>
      </c>
      <c r="E601" s="130" t="s">
        <v>363</v>
      </c>
      <c r="F601" s="130" t="s">
        <v>144</v>
      </c>
      <c r="G601" s="131" t="s">
        <v>373</v>
      </c>
      <c r="H601" s="137">
        <v>6</v>
      </c>
      <c r="I601" s="137">
        <v>0</v>
      </c>
      <c r="J601" s="132">
        <v>36000000</v>
      </c>
      <c r="K601" s="133" t="s">
        <v>398</v>
      </c>
      <c r="L601" s="172" t="s">
        <v>151</v>
      </c>
      <c r="M601" s="170" t="s">
        <v>401</v>
      </c>
      <c r="N601" s="130" t="s">
        <v>197</v>
      </c>
      <c r="O601" s="151" t="s">
        <v>957</v>
      </c>
      <c r="P601" s="170" t="s">
        <v>348</v>
      </c>
      <c r="Q601" s="134">
        <v>80111600</v>
      </c>
      <c r="R601" s="170" t="s">
        <v>206</v>
      </c>
      <c r="S601" s="170" t="str">
        <f>MID(PAA[[#This Row],[Meta Proyecto de Inversión]],1,4)</f>
        <v>8126</v>
      </c>
      <c r="T601" s="170" t="str">
        <f>MID(PAA[[#This Row],[Meta Proyecto de Inversión]],6,1)</f>
        <v>7</v>
      </c>
      <c r="U601" s="173" t="str">
        <f>IFERROR(VLOOKUP(N601,TD!$B$50:$F$54,2,0)," ")</f>
        <v>O230117</v>
      </c>
      <c r="V601" s="173" t="str">
        <f>IFERROR(VLOOKUP(N601,TD!$B$50:$F$54,3,0)," ")</f>
        <v>4599</v>
      </c>
      <c r="W601" s="173">
        <f>IFERROR(VLOOKUP(N601,TD!$B$50:$F$54,4,0)," ")</f>
        <v>20240207</v>
      </c>
      <c r="X601" s="170" t="s">
        <v>168</v>
      </c>
      <c r="Y601" s="159" t="str">
        <f>IFERROR(VLOOKUP(X601,TD!$J$51:$K$64,2,0)," ")</f>
        <v>Infraestructura Tecnológica   (Sistemas de Información y Tecnologia)</v>
      </c>
      <c r="Z601" s="171" t="str">
        <f>CONCATENATE(X601,"-",Y601)</f>
        <v>11-Infraestructura Tecnológica   (Sistemas de Información y Tecnologia)</v>
      </c>
      <c r="AA601" s="170" t="s">
        <v>228</v>
      </c>
      <c r="AB601" s="159" t="str">
        <f>IFERROR(VLOOKUP(AA601,TD!$N$51:$O$66,2,0)," ")</f>
        <v>Servicios tecnológicos</v>
      </c>
      <c r="AC601" s="171" t="str">
        <f>CONCATENATE(AA601,"_",AB601)</f>
        <v>007_Servicios tecnológicos</v>
      </c>
      <c r="AD601" s="171" t="str">
        <f>CONCATENATE(Z601," ",AC601)</f>
        <v>11-Infraestructura Tecnológica   (Sistemas de Información y Tecnologia) 007_Servicios tecnológicos</v>
      </c>
      <c r="AE601" s="173" t="str">
        <f>CONCATENATE(U601,V601,W601,X601,AA601)</f>
        <v>O23011745992024020711007</v>
      </c>
      <c r="AF601" s="159" t="str">
        <f>IFERROR(VLOOKUP(AD601,TD!$J$66:$K$89,2,0)," ")</f>
        <v>PM/0131/0111/45990070207</v>
      </c>
      <c r="AG601" s="135" t="s">
        <v>385</v>
      </c>
      <c r="AH601" s="175" t="s">
        <v>193</v>
      </c>
      <c r="AI601" s="176" t="str">
        <f>CONCATENATE(PAA[[#This Row],[Id Interno]],"-",PAA[[#This Row],[tipo de Contrato (TH talento humano - B/S bienes y/o servicios)]],"-",S601,"-",T601,"-",PAA[[#This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602" spans="2:35" ht="140" x14ac:dyDescent="0.35">
      <c r="B602" s="142">
        <v>20260587</v>
      </c>
      <c r="C602" s="121" t="s">
        <v>943</v>
      </c>
      <c r="D602" s="130" t="s">
        <v>105</v>
      </c>
      <c r="E602" s="130" t="s">
        <v>363</v>
      </c>
      <c r="F602" s="130" t="s">
        <v>144</v>
      </c>
      <c r="G602" s="131" t="s">
        <v>373</v>
      </c>
      <c r="H602" s="137">
        <v>6</v>
      </c>
      <c r="I602" s="137">
        <v>0</v>
      </c>
      <c r="J602" s="132">
        <v>36000000</v>
      </c>
      <c r="K602" s="133" t="s">
        <v>398</v>
      </c>
      <c r="L602" s="172" t="s">
        <v>151</v>
      </c>
      <c r="M602" s="170" t="s">
        <v>401</v>
      </c>
      <c r="N602" s="130" t="s">
        <v>197</v>
      </c>
      <c r="O602" s="151" t="s">
        <v>957</v>
      </c>
      <c r="P602" s="170" t="s">
        <v>348</v>
      </c>
      <c r="Q602" s="134">
        <v>80111600</v>
      </c>
      <c r="R602" s="170" t="s">
        <v>206</v>
      </c>
      <c r="S602" s="170" t="str">
        <f>MID(PAA[[#This Row],[Meta Proyecto de Inversión]],1,4)</f>
        <v>8126</v>
      </c>
      <c r="T602" s="170" t="str">
        <f>MID(PAA[[#This Row],[Meta Proyecto de Inversión]],6,1)</f>
        <v>7</v>
      </c>
      <c r="U602" s="173" t="str">
        <f>IFERROR(VLOOKUP(N602,TD!$B$50:$F$54,2,0)," ")</f>
        <v>O230117</v>
      </c>
      <c r="V602" s="173" t="str">
        <f>IFERROR(VLOOKUP(N602,TD!$B$50:$F$54,3,0)," ")</f>
        <v>4599</v>
      </c>
      <c r="W602" s="173">
        <f>IFERROR(VLOOKUP(N602,TD!$B$50:$F$54,4,0)," ")</f>
        <v>20240207</v>
      </c>
      <c r="X602" s="170" t="s">
        <v>168</v>
      </c>
      <c r="Y602" s="159" t="str">
        <f>IFERROR(VLOOKUP(X602,TD!$J$51:$K$64,2,0)," ")</f>
        <v>Infraestructura Tecnológica   (Sistemas de Información y Tecnologia)</v>
      </c>
      <c r="Z602" s="171" t="str">
        <f>CONCATENATE(X602,"-",Y602)</f>
        <v>11-Infraestructura Tecnológica   (Sistemas de Información y Tecnologia)</v>
      </c>
      <c r="AA602" s="170" t="s">
        <v>228</v>
      </c>
      <c r="AB602" s="159" t="str">
        <f>IFERROR(VLOOKUP(AA602,TD!$N$51:$O$66,2,0)," ")</f>
        <v>Servicios tecnológicos</v>
      </c>
      <c r="AC602" s="171" t="str">
        <f>CONCATENATE(AA602,"_",AB602)</f>
        <v>007_Servicios tecnológicos</v>
      </c>
      <c r="AD602" s="171" t="str">
        <f>CONCATENATE(Z602," ",AC602)</f>
        <v>11-Infraestructura Tecnológica   (Sistemas de Información y Tecnologia) 007_Servicios tecnológicos</v>
      </c>
      <c r="AE602" s="173" t="str">
        <f>CONCATENATE(U602,V602,W602,X602,AA602)</f>
        <v>O23011745992024020711007</v>
      </c>
      <c r="AF602" s="159" t="str">
        <f>IFERROR(VLOOKUP(AD602,TD!$J$66:$K$89,2,0)," ")</f>
        <v>PM/0131/0111/45990070207</v>
      </c>
      <c r="AG602" s="135" t="s">
        <v>385</v>
      </c>
      <c r="AH602" s="175" t="s">
        <v>193</v>
      </c>
      <c r="AI602" s="176" t="str">
        <f>CONCATENATE(PAA[[#This Row],[Id Interno]],"-",PAA[[#This Row],[tipo de Contrato (TH talento humano - B/S bienes y/o servicios)]],"-",S602,"-",T602,"-",PAA[[#This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603" spans="2:35" ht="56" x14ac:dyDescent="0.35">
      <c r="B603" s="142">
        <v>20260588</v>
      </c>
      <c r="C603" s="121" t="s">
        <v>944</v>
      </c>
      <c r="D603" s="130" t="s">
        <v>92</v>
      </c>
      <c r="E603" s="130" t="s">
        <v>402</v>
      </c>
      <c r="F603" s="130" t="s">
        <v>111</v>
      </c>
      <c r="G603" s="131" t="s">
        <v>375</v>
      </c>
      <c r="H603" s="137">
        <v>1</v>
      </c>
      <c r="I603" s="137">
        <v>12</v>
      </c>
      <c r="J603" s="132">
        <v>2386600</v>
      </c>
      <c r="K603" s="133" t="s">
        <v>398</v>
      </c>
      <c r="L603" s="172" t="s">
        <v>155</v>
      </c>
      <c r="M603" s="170" t="s">
        <v>422</v>
      </c>
      <c r="N603" s="130" t="s">
        <v>197</v>
      </c>
      <c r="O603" s="151" t="s">
        <v>957</v>
      </c>
      <c r="P603" s="170" t="s">
        <v>348</v>
      </c>
      <c r="Q603" s="134" t="s">
        <v>780</v>
      </c>
      <c r="R603" s="170" t="s">
        <v>207</v>
      </c>
      <c r="S603" s="170" t="str">
        <f>MID(PAA[[#This Row],[Meta Proyecto de Inversión]],1,4)</f>
        <v>8126</v>
      </c>
      <c r="T603" s="170" t="str">
        <f>MID(PAA[[#This Row],[Meta Proyecto de Inversión]],6,1)</f>
        <v>8</v>
      </c>
      <c r="U603" s="173" t="str">
        <f>IFERROR(VLOOKUP(N603,TD!$B$50:$F$54,2,0)," ")</f>
        <v>O230117</v>
      </c>
      <c r="V603" s="173" t="str">
        <f>IFERROR(VLOOKUP(N603,TD!$B$50:$F$54,3,0)," ")</f>
        <v>4599</v>
      </c>
      <c r="W603" s="173">
        <f>IFERROR(VLOOKUP(N603,TD!$B$50:$F$54,4,0)," ")</f>
        <v>20240207</v>
      </c>
      <c r="X603" s="170" t="s">
        <v>174</v>
      </c>
      <c r="Y603" s="159" t="str">
        <f>IFERROR(VLOOKUP(X603,TD!$J$51:$K$64,2,0)," ")</f>
        <v>Infraestructura física, mantenimiento y dotación (Sedes construidas, mantenidas reforzadas)</v>
      </c>
      <c r="Z603" s="171" t="str">
        <f>CONCATENATE(X603,"-",Y603)</f>
        <v>08-Infraestructura física, mantenimiento y dotación (Sedes construidas, mantenidas reforzadas)</v>
      </c>
      <c r="AA603" s="170" t="s">
        <v>227</v>
      </c>
      <c r="AB603" s="159" t="str">
        <f>IFERROR(VLOOKUP(AA603,TD!$N$51:$O$66,2,0)," ")</f>
        <v>Sedes mantenidas</v>
      </c>
      <c r="AC603" s="171" t="str">
        <f>CONCATENATE(AA603,"_",AB603)</f>
        <v>016_Sedes mantenidas</v>
      </c>
      <c r="AD603" s="171" t="str">
        <f>CONCATENATE(Z603," ",AC603)</f>
        <v>08-Infraestructura física, mantenimiento y dotación (Sedes construidas, mantenidas reforzadas) 016_Sedes mantenidas</v>
      </c>
      <c r="AE603" s="173" t="str">
        <f>CONCATENATE(U603,V603,W603,X603,AA603)</f>
        <v>O23011745992024020708016</v>
      </c>
      <c r="AF603" s="159" t="str">
        <f>IFERROR(VLOOKUP(AD603,TD!$J$66:$K$89,2,0)," ")</f>
        <v>PM/0131/0108/45990160207</v>
      </c>
      <c r="AG603" s="135" t="s">
        <v>134</v>
      </c>
      <c r="AH603" s="175" t="s">
        <v>194</v>
      </c>
      <c r="AI603" s="176" t="str">
        <f>CONCATENATE(PAA[[#This Row],[Id Interno]],"-",PAA[[#This Row],[tipo de Contrato (TH talento humano - B/S bienes y/o servicios)]],"-",S603,"-",T603,"-",PAA[[#This Row],[Objeto de la contratación]])</f>
        <v>20260588-BS-8126-8-Adición y prórroga No. 1 al contrato 698 de 2025 que tiene como objeto “Prestar el servicio y mantenimiento de equipos de higienización, desodorización y aromatización para la UAECOB-SGC"</v>
      </c>
    </row>
    <row r="604" spans="2:35" ht="56" x14ac:dyDescent="0.35">
      <c r="B604" s="142">
        <v>20260589</v>
      </c>
      <c r="C604" s="121" t="s">
        <v>945</v>
      </c>
      <c r="D604" s="130" t="s">
        <v>105</v>
      </c>
      <c r="E604" s="130" t="s">
        <v>363</v>
      </c>
      <c r="F604" s="130" t="s">
        <v>144</v>
      </c>
      <c r="G604" s="131" t="s">
        <v>373</v>
      </c>
      <c r="H604" s="137">
        <v>10</v>
      </c>
      <c r="I604" s="137">
        <v>0</v>
      </c>
      <c r="J604" s="132">
        <v>51610870</v>
      </c>
      <c r="K604" s="133" t="s">
        <v>398</v>
      </c>
      <c r="L604" s="172" t="s">
        <v>155</v>
      </c>
      <c r="M604" s="170" t="s">
        <v>422</v>
      </c>
      <c r="N604" s="130" t="s">
        <v>198</v>
      </c>
      <c r="O604" s="151" t="s">
        <v>958</v>
      </c>
      <c r="P604" s="170" t="s">
        <v>348</v>
      </c>
      <c r="Q604" s="134" t="s">
        <v>778</v>
      </c>
      <c r="R604" s="170" t="s">
        <v>216</v>
      </c>
      <c r="S604" s="170" t="str">
        <f>MID(PAA[[#This Row],[Meta Proyecto de Inversión]],1,4)</f>
        <v>8173</v>
      </c>
      <c r="T604" s="170" t="str">
        <f>MID(PAA[[#This Row],[Meta Proyecto de Inversión]],6,1)</f>
        <v>7</v>
      </c>
      <c r="U604" s="173" t="str">
        <f>IFERROR(VLOOKUP(N604,TD!$B$50:$F$54,2,0)," ")</f>
        <v>O230117</v>
      </c>
      <c r="V604" s="173" t="str">
        <f>IFERROR(VLOOKUP(N604,TD!$B$50:$F$54,3,0)," ")</f>
        <v>4503</v>
      </c>
      <c r="W604" s="173">
        <f>IFERROR(VLOOKUP(N604,TD!$B$50:$F$54,4,0)," ")</f>
        <v>20240255</v>
      </c>
      <c r="X604" s="170">
        <v>14</v>
      </c>
      <c r="Y604" s="159" t="str">
        <f>IFERROR(VLOOKUP(X604,TD!$J$51:$K$64,2,0)," ")</f>
        <v xml:space="preserve">Infraestructura física misional construida mantenida y dotada </v>
      </c>
      <c r="Z604" s="171" t="str">
        <f>CONCATENATE(X604,"-",Y604)</f>
        <v xml:space="preserve">14-Infraestructura física misional construida mantenida y dotada </v>
      </c>
      <c r="AA604" s="170" t="s">
        <v>225</v>
      </c>
      <c r="AB604" s="159" t="str">
        <f>IFERROR(VLOOKUP(AA604,TD!$N$51:$O$66,2,0)," ")</f>
        <v>Estaciones de bomberos adecuadas</v>
      </c>
      <c r="AC604" s="171" t="str">
        <f>CONCATENATE(AA604,"_",AB604)</f>
        <v>014_Estaciones de bomberos adecuadas</v>
      </c>
      <c r="AD604" s="171" t="str">
        <f>CONCATENATE(Z604," ",AC604)</f>
        <v>14-Infraestructura física misional construida mantenida y dotada  014_Estaciones de bomberos adecuadas</v>
      </c>
      <c r="AE604" s="173" t="str">
        <f>CONCATENATE(U604,V604,W604,X604,AA604)</f>
        <v>O23011745032024025514014</v>
      </c>
      <c r="AF604" s="159" t="str">
        <f>IFERROR(VLOOKUP(AD604,TD!$J$66:$K$89,2,0)," ")</f>
        <v>PM/0131/0114/45030140255</v>
      </c>
      <c r="AG604" s="135" t="s">
        <v>385</v>
      </c>
      <c r="AH604" s="175" t="s">
        <v>193</v>
      </c>
      <c r="AI604" s="176" t="str">
        <f>CONCATENATE(PAA[[#This Row],[Id Interno]],"-",PAA[[#This Row],[tipo de Contrato (TH talento humano - B/S bienes y/o servicios)]],"-",S604,"-",T604,"-",PAA[[#This Row],[Objeto de la contratación]])</f>
        <v>20260589-TH-8173-7-Prestación de servicios profesionales para apoyar las actividades jurídicas de la Subdirección de Gestión Corporativa-SGC</v>
      </c>
    </row>
    <row r="605" spans="2:35" ht="84" x14ac:dyDescent="0.35">
      <c r="B605" s="142">
        <v>20260590</v>
      </c>
      <c r="C605" s="121" t="s">
        <v>712</v>
      </c>
      <c r="D605" s="130" t="s">
        <v>105</v>
      </c>
      <c r="E605" s="130" t="s">
        <v>363</v>
      </c>
      <c r="F605" s="130" t="s">
        <v>145</v>
      </c>
      <c r="G605" s="131" t="s">
        <v>373</v>
      </c>
      <c r="H605" s="137">
        <v>6</v>
      </c>
      <c r="I605" s="137">
        <v>0</v>
      </c>
      <c r="J605" s="132">
        <v>19705968</v>
      </c>
      <c r="K605" s="133" t="s">
        <v>398</v>
      </c>
      <c r="L605" s="172" t="s">
        <v>155</v>
      </c>
      <c r="M605" s="170" t="s">
        <v>422</v>
      </c>
      <c r="N605" s="130" t="s">
        <v>197</v>
      </c>
      <c r="O605" s="151" t="s">
        <v>957</v>
      </c>
      <c r="P605" s="170" t="s">
        <v>348</v>
      </c>
      <c r="Q605" s="134" t="s">
        <v>778</v>
      </c>
      <c r="R605" s="170" t="s">
        <v>207</v>
      </c>
      <c r="S605" s="170" t="str">
        <f>MID(PAA[[#This Row],[Meta Proyecto de Inversión]],1,4)</f>
        <v>8126</v>
      </c>
      <c r="T605" s="170" t="str">
        <f>MID(PAA[[#This Row],[Meta Proyecto de Inversión]],6,1)</f>
        <v>8</v>
      </c>
      <c r="U605" s="173" t="str">
        <f>IFERROR(VLOOKUP(N605,TD!$B$50:$F$54,2,0)," ")</f>
        <v>O230117</v>
      </c>
      <c r="V605" s="173" t="str">
        <f>IFERROR(VLOOKUP(N605,TD!$B$50:$F$54,3,0)," ")</f>
        <v>4599</v>
      </c>
      <c r="W605" s="173">
        <f>IFERROR(VLOOKUP(N605,TD!$B$50:$F$54,4,0)," ")</f>
        <v>20240207</v>
      </c>
      <c r="X605" s="170" t="s">
        <v>174</v>
      </c>
      <c r="Y605" s="159" t="str">
        <f>IFERROR(VLOOKUP(X605,TD!$J$51:$K$64,2,0)," ")</f>
        <v>Infraestructura física, mantenimiento y dotación (Sedes construidas, mantenidas reforzadas)</v>
      </c>
      <c r="Z605" s="171" t="str">
        <f>CONCATENATE(X605,"-",Y605)</f>
        <v>08-Infraestructura física, mantenimiento y dotación (Sedes construidas, mantenidas reforzadas)</v>
      </c>
      <c r="AA605" s="170" t="s">
        <v>227</v>
      </c>
      <c r="AB605" s="159" t="str">
        <f>IFERROR(VLOOKUP(AA605,TD!$N$51:$O$66,2,0)," ")</f>
        <v>Sedes mantenidas</v>
      </c>
      <c r="AC605" s="171" t="str">
        <f>CONCATENATE(AA605,"_",AB605)</f>
        <v>016_Sedes mantenidas</v>
      </c>
      <c r="AD605" s="171" t="str">
        <f>CONCATENATE(Z605," ",AC605)</f>
        <v>08-Infraestructura física, mantenimiento y dotación (Sedes construidas, mantenidas reforzadas) 016_Sedes mantenidas</v>
      </c>
      <c r="AE605" s="173" t="str">
        <f>CONCATENATE(U605,V605,W605,X605,AA605)</f>
        <v>O23011745992024020708016</v>
      </c>
      <c r="AF605" s="159" t="str">
        <f>IFERROR(VLOOKUP(AD605,TD!$J$66:$K$89,2,0)," ")</f>
        <v>PM/0131/0108/45990160207</v>
      </c>
      <c r="AG605" s="135" t="s">
        <v>385</v>
      </c>
      <c r="AH605" s="175" t="s">
        <v>193</v>
      </c>
      <c r="AI605" s="176" t="str">
        <f>CONCATENATE(PAA[[#This Row],[Id Interno]],"-",PAA[[#This Row],[tipo de Contrato (TH talento humano - B/S bienes y/o servicios)]],"-",S605,"-",T605,"-",PAA[[#This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06" spans="2:35" ht="70" x14ac:dyDescent="0.35">
      <c r="B606" s="142">
        <v>20260592</v>
      </c>
      <c r="C606" s="121" t="s">
        <v>693</v>
      </c>
      <c r="D606" s="130" t="s">
        <v>105</v>
      </c>
      <c r="E606" s="130" t="s">
        <v>363</v>
      </c>
      <c r="F606" s="130" t="s">
        <v>145</v>
      </c>
      <c r="G606" s="131" t="s">
        <v>373</v>
      </c>
      <c r="H606" s="137">
        <v>6</v>
      </c>
      <c r="I606" s="137">
        <v>0</v>
      </c>
      <c r="J606" s="132">
        <v>19705968</v>
      </c>
      <c r="K606" s="133" t="s">
        <v>398</v>
      </c>
      <c r="L606" s="172" t="s">
        <v>155</v>
      </c>
      <c r="M606" s="170" t="s">
        <v>422</v>
      </c>
      <c r="N606" s="130" t="s">
        <v>197</v>
      </c>
      <c r="O606" s="151" t="s">
        <v>957</v>
      </c>
      <c r="P606" s="170" t="s">
        <v>348</v>
      </c>
      <c r="Q606" s="134" t="s">
        <v>778</v>
      </c>
      <c r="R606" s="170" t="s">
        <v>208</v>
      </c>
      <c r="S606" s="170" t="str">
        <f>MID(PAA[[#This Row],[Meta Proyecto de Inversión]],1,4)</f>
        <v>8126</v>
      </c>
      <c r="T606" s="170" t="str">
        <f>MID(PAA[[#This Row],[Meta Proyecto de Inversión]],6,1)</f>
        <v>9</v>
      </c>
      <c r="U606" s="173" t="str">
        <f>IFERROR(VLOOKUP(N606,TD!$B$50:$F$54,2,0)," ")</f>
        <v>O230117</v>
      </c>
      <c r="V606" s="173" t="str">
        <f>IFERROR(VLOOKUP(N606,TD!$B$50:$F$54,3,0)," ")</f>
        <v>4599</v>
      </c>
      <c r="W606" s="173">
        <f>IFERROR(VLOOKUP(N606,TD!$B$50:$F$54,4,0)," ")</f>
        <v>20240207</v>
      </c>
      <c r="X606" s="170" t="s">
        <v>174</v>
      </c>
      <c r="Y606" s="159" t="str">
        <f>IFERROR(VLOOKUP(X606,TD!$J$51:$K$64,2,0)," ")</f>
        <v>Infraestructura física, mantenimiento y dotación (Sedes construidas, mantenidas reforzadas)</v>
      </c>
      <c r="Z606" s="171" t="str">
        <f>CONCATENATE(X606,"-",Y606)</f>
        <v>08-Infraestructura física, mantenimiento y dotación (Sedes construidas, mantenidas reforzadas)</v>
      </c>
      <c r="AA606" s="170" t="s">
        <v>227</v>
      </c>
      <c r="AB606" s="159" t="str">
        <f>IFERROR(VLOOKUP(AA606,TD!$N$51:$O$66,2,0)," ")</f>
        <v>Sedes mantenidas</v>
      </c>
      <c r="AC606" s="171" t="str">
        <f>CONCATENATE(AA606,"_",AB606)</f>
        <v>016_Sedes mantenidas</v>
      </c>
      <c r="AD606" s="171" t="str">
        <f>CONCATENATE(Z606," ",AC606)</f>
        <v>08-Infraestructura física, mantenimiento y dotación (Sedes construidas, mantenidas reforzadas) 016_Sedes mantenidas</v>
      </c>
      <c r="AE606" s="173" t="str">
        <f>CONCATENATE(U606,V606,W606,X606,AA606)</f>
        <v>O23011745992024020708016</v>
      </c>
      <c r="AF606" s="159" t="str">
        <f>IFERROR(VLOOKUP(AD606,TD!$J$66:$K$89,2,0)," ")</f>
        <v>PM/0131/0108/45990160207</v>
      </c>
      <c r="AG606" s="135" t="s">
        <v>385</v>
      </c>
      <c r="AH606" s="175" t="s">
        <v>193</v>
      </c>
      <c r="AI606" s="176" t="str">
        <f>CONCATENATE(PAA[[#This Row],[Id Interno]],"-",PAA[[#This Row],[tipo de Contrato (TH talento humano - B/S bienes y/o servicios)]],"-",S606,"-",T606,"-",PAA[[#This Row],[Objeto de la contratación]])</f>
        <v>20260592-TH-8126-9-Prestación de servicios de apoyo a la gestión del proceso de inventarios de la Subdirección de Gestión Corporativa.-SGC</v>
      </c>
    </row>
    <row r="607" spans="2:35" ht="70" x14ac:dyDescent="0.35">
      <c r="B607" s="142">
        <v>20260594</v>
      </c>
      <c r="C607" s="121" t="s">
        <v>946</v>
      </c>
      <c r="D607" s="130" t="s">
        <v>105</v>
      </c>
      <c r="E607" s="130" t="s">
        <v>363</v>
      </c>
      <c r="F607" s="130" t="s">
        <v>144</v>
      </c>
      <c r="G607" s="131" t="s">
        <v>373</v>
      </c>
      <c r="H607" s="137">
        <v>10</v>
      </c>
      <c r="I607" s="137">
        <v>0</v>
      </c>
      <c r="J607" s="132">
        <v>51610870</v>
      </c>
      <c r="K607" s="133" t="s">
        <v>398</v>
      </c>
      <c r="L607" s="172" t="s">
        <v>155</v>
      </c>
      <c r="M607" s="170" t="s">
        <v>422</v>
      </c>
      <c r="N607" s="130" t="s">
        <v>197</v>
      </c>
      <c r="O607" s="203" t="s">
        <v>957</v>
      </c>
      <c r="P607" s="170" t="s">
        <v>348</v>
      </c>
      <c r="Q607" s="134" t="s">
        <v>778</v>
      </c>
      <c r="R607" s="170" t="s">
        <v>208</v>
      </c>
      <c r="S607" s="170" t="str">
        <f>MID(PAA[[#This Row],[Meta Proyecto de Inversión]],1,4)</f>
        <v>8126</v>
      </c>
      <c r="T607" s="170" t="str">
        <f>MID(PAA[[#This Row],[Meta Proyecto de Inversión]],6,1)</f>
        <v>9</v>
      </c>
      <c r="U607" s="173" t="str">
        <f>IFERROR(VLOOKUP(N607,TD!$B$50:$F$54,2,0)," ")</f>
        <v>O230117</v>
      </c>
      <c r="V607" s="173" t="str">
        <f>IFERROR(VLOOKUP(N607,TD!$B$50:$F$54,3,0)," ")</f>
        <v>4599</v>
      </c>
      <c r="W607" s="173">
        <f>IFERROR(VLOOKUP(N607,TD!$B$50:$F$54,4,0)," ")</f>
        <v>20240207</v>
      </c>
      <c r="X607" s="170" t="s">
        <v>174</v>
      </c>
      <c r="Y607" s="159" t="str">
        <f>IFERROR(VLOOKUP(X607,TD!$J$51:$K$64,2,0)," ")</f>
        <v>Infraestructura física, mantenimiento y dotación (Sedes construidas, mantenidas reforzadas)</v>
      </c>
      <c r="Z607" s="171" t="str">
        <f>CONCATENATE(X607,"-",Y607)</f>
        <v>08-Infraestructura física, mantenimiento y dotación (Sedes construidas, mantenidas reforzadas)</v>
      </c>
      <c r="AA607" s="170" t="s">
        <v>227</v>
      </c>
      <c r="AB607" s="159" t="str">
        <f>IFERROR(VLOOKUP(AA607,TD!$N$51:$O$66,2,0)," ")</f>
        <v>Sedes mantenidas</v>
      </c>
      <c r="AC607" s="171" t="str">
        <f>CONCATENATE(AA607,"_",AB607)</f>
        <v>016_Sedes mantenidas</v>
      </c>
      <c r="AD607" s="171" t="str">
        <f>CONCATENATE(Z607," ",AC607)</f>
        <v>08-Infraestructura física, mantenimiento y dotación (Sedes construidas, mantenidas reforzadas) 016_Sedes mantenidas</v>
      </c>
      <c r="AE607" s="173" t="str">
        <f>CONCATENATE(U607,V607,W607,X607,AA607)</f>
        <v>O23011745992024020708016</v>
      </c>
      <c r="AF607" s="159" t="str">
        <f>IFERROR(VLOOKUP(AD607,TD!$J$66:$K$89,2,0)," ")</f>
        <v>PM/0131/0108/45990160207</v>
      </c>
      <c r="AG607" s="135" t="s">
        <v>385</v>
      </c>
      <c r="AH607" s="175" t="s">
        <v>193</v>
      </c>
      <c r="AI607" s="176" t="str">
        <f>CONCATENATE(PAA[[#This Row],[Id Interno]],"-",PAA[[#This Row],[tipo de Contrato (TH talento humano - B/S bienes y/o servicios)]],"-",S607,"-",T607,"-",PAA[[#This Row],[Objeto de la contratación]])</f>
        <v>20260594-TH-8126-9-Prestación de servicios profesionales, en temas jurídicos de la gestión administrativa a cargo de la Subdirección de Gestión Corporativa.- SGC</v>
      </c>
    </row>
    <row r="608" spans="2:35" ht="66" customHeight="1" x14ac:dyDescent="0.35">
      <c r="B608" s="142">
        <v>20260595</v>
      </c>
      <c r="C608" s="121" t="s">
        <v>947</v>
      </c>
      <c r="D608" s="130" t="s">
        <v>88</v>
      </c>
      <c r="E608" s="130" t="s">
        <v>402</v>
      </c>
      <c r="F608" s="130" t="s">
        <v>136</v>
      </c>
      <c r="G608" s="131" t="s">
        <v>374</v>
      </c>
      <c r="H608" s="137">
        <v>0</v>
      </c>
      <c r="I608" s="137">
        <v>0</v>
      </c>
      <c r="J608" s="132">
        <v>20000000</v>
      </c>
      <c r="K608" s="133" t="s">
        <v>398</v>
      </c>
      <c r="L608" s="172" t="s">
        <v>155</v>
      </c>
      <c r="M608" s="170" t="s">
        <v>422</v>
      </c>
      <c r="N608" s="130" t="s">
        <v>197</v>
      </c>
      <c r="O608" s="203" t="s">
        <v>957</v>
      </c>
      <c r="P608" s="170" t="s">
        <v>348</v>
      </c>
      <c r="Q608" s="134" t="s">
        <v>781</v>
      </c>
      <c r="R608" s="170" t="s">
        <v>207</v>
      </c>
      <c r="S608" s="170" t="str">
        <f>MID(PAA[[#This Row],[Meta Proyecto de Inversión]],1,4)</f>
        <v>8126</v>
      </c>
      <c r="T608" s="170" t="str">
        <f>MID(PAA[[#This Row],[Meta Proyecto de Inversión]],6,1)</f>
        <v>8</v>
      </c>
      <c r="U608" s="173" t="str">
        <f>IFERROR(VLOOKUP(N608,TD!$B$50:$F$54,2,0)," ")</f>
        <v>O230117</v>
      </c>
      <c r="V608" s="173" t="str">
        <f>IFERROR(VLOOKUP(N608,TD!$B$50:$F$54,3,0)," ")</f>
        <v>4599</v>
      </c>
      <c r="W608" s="173">
        <f>IFERROR(VLOOKUP(N608,TD!$B$50:$F$54,4,0)," ")</f>
        <v>20240207</v>
      </c>
      <c r="X608" s="170" t="s">
        <v>174</v>
      </c>
      <c r="Y608" s="159" t="str">
        <f>IFERROR(VLOOKUP(X608,TD!$J$51:$K$64,2,0)," ")</f>
        <v>Infraestructura física, mantenimiento y dotación (Sedes construidas, mantenidas reforzadas)</v>
      </c>
      <c r="Z608" s="171" t="str">
        <f>CONCATENATE(X608,"-",Y608)</f>
        <v>08-Infraestructura física, mantenimiento y dotación (Sedes construidas, mantenidas reforzadas)</v>
      </c>
      <c r="AA608" s="170" t="s">
        <v>227</v>
      </c>
      <c r="AB608" s="159" t="str">
        <f>IFERROR(VLOOKUP(AA608,TD!$N$51:$O$66,2,0)," ")</f>
        <v>Sedes mantenidas</v>
      </c>
      <c r="AC608" s="171" t="str">
        <f>CONCATENATE(AA608,"_",AB608)</f>
        <v>016_Sedes mantenidas</v>
      </c>
      <c r="AD608" s="171" t="str">
        <f>CONCATENATE(Z608," ",AC608)</f>
        <v>08-Infraestructura física, mantenimiento y dotación (Sedes construidas, mantenidas reforzadas) 016_Sedes mantenidas</v>
      </c>
      <c r="AE608" s="173" t="str">
        <f>CONCATENATE(U608,V608,W608,X608,AA608)</f>
        <v>O23011745992024020708016</v>
      </c>
      <c r="AF608" s="159" t="str">
        <f>IFERROR(VLOOKUP(AD608,TD!$J$66:$K$89,2,0)," ")</f>
        <v>PM/0131/0108/45990160207</v>
      </c>
      <c r="AG608" s="135" t="s">
        <v>80</v>
      </c>
      <c r="AH608" s="175" t="s">
        <v>194</v>
      </c>
      <c r="AI608" s="176" t="str">
        <f>CONCATENATE(PAA[[#This Row],[Id Interno]],"-",PAA[[#This Row],[tipo de Contrato (TH talento humano - B/S bienes y/o servicios)]],"-",S608,"-",T608,"-",PAA[[#This Row],[Objeto de la contratación]])</f>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v>
      </c>
    </row>
    <row r="609" spans="2:35" ht="56" x14ac:dyDescent="0.35">
      <c r="B609" s="142">
        <v>20260596</v>
      </c>
      <c r="C609" s="121" t="s">
        <v>948</v>
      </c>
      <c r="D609" s="130" t="s">
        <v>78</v>
      </c>
      <c r="E609" s="130" t="s">
        <v>402</v>
      </c>
      <c r="F609" s="130" t="s">
        <v>133</v>
      </c>
      <c r="G609" s="131" t="s">
        <v>376</v>
      </c>
      <c r="H609" s="137">
        <v>3</v>
      </c>
      <c r="I609" s="137">
        <v>12</v>
      </c>
      <c r="J609" s="132">
        <v>2066812200</v>
      </c>
      <c r="K609" s="133" t="s">
        <v>398</v>
      </c>
      <c r="L609" s="172" t="s">
        <v>155</v>
      </c>
      <c r="M609" s="170" t="s">
        <v>422</v>
      </c>
      <c r="N609" s="130" t="s">
        <v>330</v>
      </c>
      <c r="O609" s="203" t="s">
        <v>957</v>
      </c>
      <c r="P609" s="170" t="s">
        <v>161</v>
      </c>
      <c r="Q609" s="134" t="s">
        <v>801</v>
      </c>
      <c r="R609" s="170" t="s">
        <v>331</v>
      </c>
      <c r="S609" s="170" t="str">
        <f>MID(PAA[[#This Row],[Meta Proyecto de Inversión]],1,4)</f>
        <v>No a</v>
      </c>
      <c r="T609" s="170" t="str">
        <f>MID(PAA[[#This Row],[Meta Proyecto de Inversión]],6,1)</f>
        <v>l</v>
      </c>
      <c r="U609" s="173" t="str">
        <f>IFERROR(VLOOKUP(N609,TD!$B$50:$F$54,2,0)," ")</f>
        <v>NA</v>
      </c>
      <c r="V609" s="173" t="str">
        <f>IFERROR(VLOOKUP(N609,TD!$B$50:$F$54,3,0)," ")</f>
        <v>NA</v>
      </c>
      <c r="W609" s="173" t="str">
        <f>IFERROR(VLOOKUP(N609,TD!$B$50:$F$54,4,0)," ")</f>
        <v>NA</v>
      </c>
      <c r="X609" s="170" t="s">
        <v>335</v>
      </c>
      <c r="Y609" s="159" t="str">
        <f>IFERROR(VLOOKUP(X609,TD!$J$51:$K$64,2,0)," ")</f>
        <v>N/A</v>
      </c>
      <c r="Z609" s="171" t="str">
        <f>CONCATENATE(X609,"-",Y609)</f>
        <v>N/A-N/A</v>
      </c>
      <c r="AA609" s="170" t="s">
        <v>335</v>
      </c>
      <c r="AB609" s="159" t="str">
        <f>IFERROR(VLOOKUP(AA609,TD!$N$51:$O$66,2,0)," ")</f>
        <v>N/A</v>
      </c>
      <c r="AC609" s="171" t="str">
        <f>CONCATENATE(AA609,"_",AB609)</f>
        <v>N/A_N/A</v>
      </c>
      <c r="AD609" s="171" t="str">
        <f>CONCATENATE(Z609," ",AC609)</f>
        <v>N/A-N/A N/A_N/A</v>
      </c>
      <c r="AE609" s="173" t="str">
        <f>CONCATENATE(U609,V609,W609,X609,AA609)</f>
        <v>NANANAN/AN/A</v>
      </c>
      <c r="AF609" s="173" t="str">
        <f>IFERROR(VLOOKUP(AD609,TD!$J$66:$K$89,2,0)," ")</f>
        <v>N/A</v>
      </c>
      <c r="AG609" s="135" t="s">
        <v>332</v>
      </c>
      <c r="AH609" s="167" t="s">
        <v>194</v>
      </c>
      <c r="AI609" s="176" t="str">
        <f>CONCATENATE(PAA[[#This Row],[Id Interno]],"-",PAA[[#This Row],[tipo de Contrato (TH talento humano - B/S bienes y/o servicios)]],"-",S609,"-",T609,"-",PAA[[#This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10" spans="2:35" ht="70" x14ac:dyDescent="0.35">
      <c r="B610" s="149">
        <v>20260597</v>
      </c>
      <c r="C610" s="99" t="s">
        <v>949</v>
      </c>
      <c r="D610" s="23" t="s">
        <v>83</v>
      </c>
      <c r="E610" s="23" t="s">
        <v>402</v>
      </c>
      <c r="F610" s="23" t="s">
        <v>133</v>
      </c>
      <c r="G610" s="129" t="s">
        <v>378</v>
      </c>
      <c r="H610" s="136">
        <v>0</v>
      </c>
      <c r="I610" s="136">
        <v>365</v>
      </c>
      <c r="J610" s="127">
        <v>60000000</v>
      </c>
      <c r="K610" s="88" t="s">
        <v>398</v>
      </c>
      <c r="L610" s="155" t="s">
        <v>155</v>
      </c>
      <c r="M610" s="158" t="s">
        <v>422</v>
      </c>
      <c r="N610" s="23" t="s">
        <v>330</v>
      </c>
      <c r="O610" s="151" t="s">
        <v>957</v>
      </c>
      <c r="P610" s="158" t="s">
        <v>161</v>
      </c>
      <c r="Q610" s="53" t="s">
        <v>801</v>
      </c>
      <c r="R610" s="158" t="s">
        <v>331</v>
      </c>
      <c r="S610" s="158" t="str">
        <f>MID(PAA[[#This Row],[Meta Proyecto de Inversión]],1,4)</f>
        <v>No a</v>
      </c>
      <c r="T610" s="158" t="str">
        <f>MID(PAA[[#This Row],[Meta Proyecto de Inversión]],6,1)</f>
        <v>l</v>
      </c>
      <c r="U610" s="159" t="str">
        <f>IFERROR(VLOOKUP(N610,TD!$B$50:$F$54,2,0)," ")</f>
        <v>NA</v>
      </c>
      <c r="V610" s="159" t="str">
        <f>IFERROR(VLOOKUP(N610,TD!$B$50:$F$54,3,0)," ")</f>
        <v>NA</v>
      </c>
      <c r="W610" s="159" t="str">
        <f>IFERROR(VLOOKUP(N610,TD!$B$50:$F$54,4,0)," ")</f>
        <v>NA</v>
      </c>
      <c r="X610" s="170" t="s">
        <v>335</v>
      </c>
      <c r="Y610" s="159" t="str">
        <f>IFERROR(VLOOKUP(X610,TD!$J$51:$K$64,2,0)," ")</f>
        <v>N/A</v>
      </c>
      <c r="Z610" s="171" t="str">
        <f>CONCATENATE(X610,"-",Y610)</f>
        <v>N/A-N/A</v>
      </c>
      <c r="AA610" s="170" t="s">
        <v>335</v>
      </c>
      <c r="AB610" s="159" t="str">
        <f>IFERROR(VLOOKUP(AA610,TD!$N$51:$O$66,2,0)," ")</f>
        <v>N/A</v>
      </c>
      <c r="AC610" s="160" t="str">
        <f>CONCATENATE(AA610,"_",AB610)</f>
        <v>N/A_N/A</v>
      </c>
      <c r="AD610" s="160" t="str">
        <f>CONCATENATE(Z610," ",AC610)</f>
        <v>N/A-N/A N/A_N/A</v>
      </c>
      <c r="AE610" s="159" t="str">
        <f>CONCATENATE(U610,V610,W610,X610,AA610)</f>
        <v>NANANAN/AN/A</v>
      </c>
      <c r="AF610" s="159" t="str">
        <f>IFERROR(VLOOKUP(AD610,TD!$J$66:$K$89,2,0)," ")</f>
        <v>N/A</v>
      </c>
      <c r="AG610" s="135" t="s">
        <v>332</v>
      </c>
      <c r="AH610" s="167" t="s">
        <v>194</v>
      </c>
      <c r="AI610" s="176" t="str">
        <f>CONCATENATE(PAA[[#This Row],[Id Interno]],"-",PAA[[#This Row],[tipo de Contrato (TH talento humano - B/S bienes y/o servicios)]],"-",S610,"-",T610,"-",PAA[[#This Row],[Objeto de la contratación]])</f>
        <v>20260597-BS-No a-l-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11" spans="2:35" ht="56" x14ac:dyDescent="0.35">
      <c r="B611" s="149">
        <v>20260598</v>
      </c>
      <c r="C611" s="99" t="s">
        <v>950</v>
      </c>
      <c r="D611" s="23" t="s">
        <v>114</v>
      </c>
      <c r="E611" s="23" t="s">
        <v>402</v>
      </c>
      <c r="F611" s="23" t="s">
        <v>89</v>
      </c>
      <c r="G611" s="129" t="s">
        <v>373</v>
      </c>
      <c r="H611" s="136">
        <v>1</v>
      </c>
      <c r="I611" s="136">
        <v>0</v>
      </c>
      <c r="J611" s="127">
        <v>45000000</v>
      </c>
      <c r="K611" s="88" t="s">
        <v>398</v>
      </c>
      <c r="L611" s="155" t="s">
        <v>155</v>
      </c>
      <c r="M611" s="158" t="s">
        <v>422</v>
      </c>
      <c r="N611" s="23" t="s">
        <v>197</v>
      </c>
      <c r="O611" s="151" t="s">
        <v>957</v>
      </c>
      <c r="P611" s="158" t="s">
        <v>348</v>
      </c>
      <c r="Q611" s="53" t="s">
        <v>779</v>
      </c>
      <c r="R611" s="158" t="s">
        <v>207</v>
      </c>
      <c r="S611" s="158" t="str">
        <f>MID(PAA[[#This Row],[Meta Proyecto de Inversión]],1,4)</f>
        <v>8126</v>
      </c>
      <c r="T611" s="158" t="str">
        <f>MID(PAA[[#This Row],[Meta Proyecto de Inversión]],6,1)</f>
        <v>8</v>
      </c>
      <c r="U611" s="159" t="str">
        <f>IFERROR(VLOOKUP(N611,TD!$B$50:$F$54,2,0)," ")</f>
        <v>O230117</v>
      </c>
      <c r="V611" s="159" t="str">
        <f>IFERROR(VLOOKUP(N611,TD!$B$50:$F$54,3,0)," ")</f>
        <v>4599</v>
      </c>
      <c r="W611" s="159">
        <f>IFERROR(VLOOKUP(N611,TD!$B$50:$F$54,4,0)," ")</f>
        <v>20240207</v>
      </c>
      <c r="X611" s="170" t="s">
        <v>174</v>
      </c>
      <c r="Y611" s="159" t="str">
        <f>IFERROR(VLOOKUP(X611,TD!$J$51:$K$64,2,0)," ")</f>
        <v>Infraestructura física, mantenimiento y dotación (Sedes construidas, mantenidas reforzadas)</v>
      </c>
      <c r="Z611" s="171" t="str">
        <f>CONCATENATE(X611,"-",Y611)</f>
        <v>08-Infraestructura física, mantenimiento y dotación (Sedes construidas, mantenidas reforzadas)</v>
      </c>
      <c r="AA611" s="170" t="s">
        <v>227</v>
      </c>
      <c r="AB611" s="159" t="str">
        <f>IFERROR(VLOOKUP(AA611,TD!$N$51:$O$66,2,0)," ")</f>
        <v>Sedes mantenidas</v>
      </c>
      <c r="AC611" s="160" t="str">
        <f>CONCATENATE(AA611,"_",AB611)</f>
        <v>016_Sedes mantenidas</v>
      </c>
      <c r="AD611" s="160" t="str">
        <f>CONCATENATE(Z611," ",AC611)</f>
        <v>08-Infraestructura física, mantenimiento y dotación (Sedes construidas, mantenidas reforzadas) 016_Sedes mantenidas</v>
      </c>
      <c r="AE611" s="159" t="str">
        <f>CONCATENATE(U611,V611,W611,X611,AA611)</f>
        <v>O23011745992024020708016</v>
      </c>
      <c r="AF611" s="159" t="str">
        <f>IFERROR(VLOOKUP(AD611,TD!$J$66:$K$89,2,0)," ")</f>
        <v>PM/0131/0108/45990160207</v>
      </c>
      <c r="AG611" s="135" t="s">
        <v>134</v>
      </c>
      <c r="AH611" s="167" t="s">
        <v>194</v>
      </c>
      <c r="AI611" s="176" t="str">
        <f>CONCATENATE(PAA[[#This Row],[Id Interno]],"-",PAA[[#This Row],[tipo de Contrato (TH talento humano - B/S bienes y/o servicios)]],"-",S611,"-",T611,"-",PAA[[#This Row],[Objeto de la contratación]])</f>
        <v>20260598-BS-8126-8-Adición y prórroga No. 2 al contrato 597 de 2025  que tiene como objeto " Contratar la prestación del servicio de aseo y cafetería incluido insumos para la UAE Cuerpo Oficial de Bomberos -SGC</v>
      </c>
    </row>
    <row r="612" spans="2:35" ht="70" x14ac:dyDescent="0.35">
      <c r="B612" s="149">
        <v>20260599</v>
      </c>
      <c r="C612" s="99" t="s">
        <v>950</v>
      </c>
      <c r="D612" s="23" t="s">
        <v>114</v>
      </c>
      <c r="E612" s="23" t="s">
        <v>402</v>
      </c>
      <c r="F612" s="23" t="s">
        <v>89</v>
      </c>
      <c r="G612" s="129" t="s">
        <v>373</v>
      </c>
      <c r="H612" s="136">
        <v>1</v>
      </c>
      <c r="I612" s="136">
        <v>0</v>
      </c>
      <c r="J612" s="127">
        <v>45000000</v>
      </c>
      <c r="K612" s="88" t="s">
        <v>398</v>
      </c>
      <c r="L612" s="155" t="s">
        <v>155</v>
      </c>
      <c r="M612" s="158" t="s">
        <v>422</v>
      </c>
      <c r="N612" s="23" t="s">
        <v>330</v>
      </c>
      <c r="O612" s="151" t="s">
        <v>957</v>
      </c>
      <c r="P612" s="158" t="s">
        <v>161</v>
      </c>
      <c r="Q612" s="53" t="s">
        <v>779</v>
      </c>
      <c r="R612" s="158" t="s">
        <v>331</v>
      </c>
      <c r="S612" s="158" t="str">
        <f>MID(PAA[[#This Row],[Meta Proyecto de Inversión]],1,4)</f>
        <v>No a</v>
      </c>
      <c r="T612" s="158" t="str">
        <f>MID(PAA[[#This Row],[Meta Proyecto de Inversión]],6,1)</f>
        <v>l</v>
      </c>
      <c r="U612" s="159" t="str">
        <f>IFERROR(VLOOKUP(N612,TD!$B$50:$F$54,2,0)," ")</f>
        <v>NA</v>
      </c>
      <c r="V612" s="159" t="str">
        <f>IFERROR(VLOOKUP(N612,TD!$B$50:$F$54,3,0)," ")</f>
        <v>NA</v>
      </c>
      <c r="W612" s="159" t="str">
        <f>IFERROR(VLOOKUP(N612,TD!$B$50:$F$54,4,0)," ")</f>
        <v>NA</v>
      </c>
      <c r="X612" s="170" t="s">
        <v>335</v>
      </c>
      <c r="Y612" s="159" t="str">
        <f>IFERROR(VLOOKUP(X612,TD!$J$51:$K$64,2,0)," ")</f>
        <v>N/A</v>
      </c>
      <c r="Z612" s="171" t="str">
        <f>CONCATENATE(X612,"-",Y612)</f>
        <v>N/A-N/A</v>
      </c>
      <c r="AA612" s="170" t="s">
        <v>335</v>
      </c>
      <c r="AB612" s="159" t="str">
        <f>IFERROR(VLOOKUP(AA612,TD!$N$51:$O$66,2,0)," ")</f>
        <v>N/A</v>
      </c>
      <c r="AC612" s="160" t="str">
        <f>CONCATENATE(AA612,"_",AB612)</f>
        <v>N/A_N/A</v>
      </c>
      <c r="AD612" s="160" t="str">
        <f>CONCATENATE(Z612," ",AC612)</f>
        <v>N/A-N/A N/A_N/A</v>
      </c>
      <c r="AE612" s="159" t="str">
        <f>CONCATENATE(U612,V612,W612,X612,AA612)</f>
        <v>NANANAN/AN/A</v>
      </c>
      <c r="AF612" s="159" t="str">
        <f>IFERROR(VLOOKUP(AD612,TD!$J$66:$K$89,2,0)," ")</f>
        <v>N/A</v>
      </c>
      <c r="AG612" s="135" t="s">
        <v>332</v>
      </c>
      <c r="AH612" s="167" t="s">
        <v>194</v>
      </c>
      <c r="AI612" s="176" t="str">
        <f>CONCATENATE(PAA[[#This Row],[Id Interno]],"-",PAA[[#This Row],[tipo de Contrato (TH talento humano - B/S bienes y/o servicios)]],"-",S612,"-",T612,"-",PAA[[#This Row],[Objeto de la contratación]])</f>
        <v>20260599-BS-No a-l-Adición y prórroga No. 2 al contrato 597 de 2025  que tiene como objeto " Contratar la prestación del servicio de aseo y cafetería incluido insumos para la UAE Cuerpo Oficial de Bomberos -SGC</v>
      </c>
    </row>
    <row r="613" spans="2:35" ht="70" x14ac:dyDescent="0.35">
      <c r="B613" s="149">
        <v>20260600</v>
      </c>
      <c r="C613" s="99" t="s">
        <v>950</v>
      </c>
      <c r="D613" s="23" t="s">
        <v>114</v>
      </c>
      <c r="E613" s="23" t="s">
        <v>402</v>
      </c>
      <c r="F613" s="23" t="s">
        <v>89</v>
      </c>
      <c r="G613" s="129" t="s">
        <v>373</v>
      </c>
      <c r="H613" s="136">
        <v>1</v>
      </c>
      <c r="I613" s="136">
        <v>0</v>
      </c>
      <c r="J613" s="127">
        <v>25000000</v>
      </c>
      <c r="K613" s="88" t="s">
        <v>398</v>
      </c>
      <c r="L613" s="155" t="s">
        <v>155</v>
      </c>
      <c r="M613" s="158" t="s">
        <v>422</v>
      </c>
      <c r="N613" s="23" t="s">
        <v>330</v>
      </c>
      <c r="O613" s="151" t="s">
        <v>957</v>
      </c>
      <c r="P613" s="158" t="s">
        <v>161</v>
      </c>
      <c r="Q613" s="53" t="s">
        <v>779</v>
      </c>
      <c r="R613" s="158" t="s">
        <v>331</v>
      </c>
      <c r="S613" s="158" t="str">
        <f>MID(PAA[[#This Row],[Meta Proyecto de Inversión]],1,4)</f>
        <v>No a</v>
      </c>
      <c r="T613" s="158" t="str">
        <f>MID(PAA[[#This Row],[Meta Proyecto de Inversión]],6,1)</f>
        <v>l</v>
      </c>
      <c r="U613" s="159" t="str">
        <f>IFERROR(VLOOKUP(N613,TD!$B$50:$F$54,2,0)," ")</f>
        <v>NA</v>
      </c>
      <c r="V613" s="159" t="str">
        <f>IFERROR(VLOOKUP(N613,TD!$B$50:$F$54,3,0)," ")</f>
        <v>NA</v>
      </c>
      <c r="W613" s="159" t="str">
        <f>IFERROR(VLOOKUP(N613,TD!$B$50:$F$54,4,0)," ")</f>
        <v>NA</v>
      </c>
      <c r="X613" s="170" t="s">
        <v>335</v>
      </c>
      <c r="Y613" s="159" t="str">
        <f>IFERROR(VLOOKUP(X613,TD!$J$51:$K$64,2,0)," ")</f>
        <v>N/A</v>
      </c>
      <c r="Z613" s="171" t="str">
        <f>CONCATENATE(X613,"-",Y613)</f>
        <v>N/A-N/A</v>
      </c>
      <c r="AA613" s="170" t="s">
        <v>335</v>
      </c>
      <c r="AB613" s="159" t="str">
        <f>IFERROR(VLOOKUP(AA613,TD!$N$51:$O$66,2,0)," ")</f>
        <v>N/A</v>
      </c>
      <c r="AC613" s="160" t="str">
        <f>CONCATENATE(AA613,"_",AB613)</f>
        <v>N/A_N/A</v>
      </c>
      <c r="AD613" s="160" t="str">
        <f>CONCATENATE(Z613," ",AC613)</f>
        <v>N/A-N/A N/A_N/A</v>
      </c>
      <c r="AE613" s="159" t="str">
        <f>CONCATENATE(U613,V613,W613,X613,AA613)</f>
        <v>NANANAN/AN/A</v>
      </c>
      <c r="AF613" s="159" t="str">
        <f>IFERROR(VLOOKUP(AD613,TD!$J$66:$K$89,2,0)," ")</f>
        <v>N/A</v>
      </c>
      <c r="AG613" s="135" t="s">
        <v>332</v>
      </c>
      <c r="AH613" s="167" t="s">
        <v>194</v>
      </c>
      <c r="AI613" s="176" t="str">
        <f>CONCATENATE(PAA[[#This Row],[Id Interno]],"-",PAA[[#This Row],[tipo de Contrato (TH talento humano - B/S bienes y/o servicios)]],"-",S613,"-",T613,"-",PAA[[#This Row],[Objeto de la contratación]])</f>
        <v>20260600-BS-No a-l-Adición y prórroga No. 2 al contrato 597 de 2025  que tiene como objeto " Contratar la prestación del servicio de aseo y cafetería incluido insumos para la UAE Cuerpo Oficial de Bomberos -SGC</v>
      </c>
    </row>
    <row r="614" spans="2:35" ht="70" x14ac:dyDescent="0.35">
      <c r="B614" s="229">
        <v>20260602</v>
      </c>
      <c r="C614" s="99" t="s">
        <v>699</v>
      </c>
      <c r="D614" s="99" t="s">
        <v>105</v>
      </c>
      <c r="E614" s="99" t="s">
        <v>363</v>
      </c>
      <c r="F614" s="99" t="s">
        <v>144</v>
      </c>
      <c r="G614" s="129" t="s">
        <v>373</v>
      </c>
      <c r="H614" s="153">
        <v>4</v>
      </c>
      <c r="I614" s="153">
        <v>0</v>
      </c>
      <c r="J614" s="118">
        <f>22035670</f>
        <v>22035670</v>
      </c>
      <c r="K614" s="126" t="s">
        <v>398</v>
      </c>
      <c r="L614" s="156" t="s">
        <v>155</v>
      </c>
      <c r="M614" s="162" t="s">
        <v>422</v>
      </c>
      <c r="N614" s="99" t="s">
        <v>197</v>
      </c>
      <c r="O614" s="151" t="s">
        <v>957</v>
      </c>
      <c r="P614" s="162" t="s">
        <v>348</v>
      </c>
      <c r="Q614" s="128" t="s">
        <v>778</v>
      </c>
      <c r="R614" s="162" t="s">
        <v>208</v>
      </c>
      <c r="S614" s="158" t="str">
        <f>MID(PAA[[#This Row],[Meta Proyecto de Inversión]],1,4)</f>
        <v>8126</v>
      </c>
      <c r="T614" s="158" t="str">
        <f>MID(PAA[[#This Row],[Meta Proyecto de Inversión]],6,1)</f>
        <v>9</v>
      </c>
      <c r="U614" s="164" t="str">
        <f>IFERROR(VLOOKUP(N614,TD!$B$50:$F$54,2,0)," ")</f>
        <v>O230117</v>
      </c>
      <c r="V614" s="164" t="str">
        <f>IFERROR(VLOOKUP(N614,TD!$B$50:$F$54,3,0)," ")</f>
        <v>4599</v>
      </c>
      <c r="W614" s="164">
        <f>IFERROR(VLOOKUP(N614,TD!$B$50:$F$54,4,0)," ")</f>
        <v>20240207</v>
      </c>
      <c r="X614" s="169" t="s">
        <v>174</v>
      </c>
      <c r="Y614" s="164" t="str">
        <f>IFERROR(VLOOKUP(X614,TD!$J$51:$K$64,2,0)," ")</f>
        <v>Infraestructura física, mantenimiento y dotación (Sedes construidas, mantenidas reforzadas)</v>
      </c>
      <c r="Z614" s="171" t="str">
        <f>CONCATENATE(X614,"-",Y614)</f>
        <v>08-Infraestructura física, mantenimiento y dotación (Sedes construidas, mantenidas reforzadas)</v>
      </c>
      <c r="AA614" s="169" t="s">
        <v>227</v>
      </c>
      <c r="AB614" s="164" t="str">
        <f>IFERROR(VLOOKUP(AA614,TD!$N$51:$O$66,2,0)," ")</f>
        <v>Sedes mantenidas</v>
      </c>
      <c r="AC614" s="160" t="str">
        <f>CONCATENATE(AA614,"_",AB614)</f>
        <v>016_Sedes mantenidas</v>
      </c>
      <c r="AD614" s="160" t="str">
        <f>CONCATENATE(Z614," ",AC614)</f>
        <v>08-Infraestructura física, mantenimiento y dotación (Sedes construidas, mantenidas reforzadas) 016_Sedes mantenidas</v>
      </c>
      <c r="AE614" s="164" t="str">
        <f>CONCATENATE(U614,V614,W614,X614,AA614)</f>
        <v>O23011745992024020708016</v>
      </c>
      <c r="AF614" s="164" t="str">
        <f>IFERROR(VLOOKUP(AD614,TD!$J$66:$K$89,2,0)," ")</f>
        <v>PM/0131/0108/45990160207</v>
      </c>
      <c r="AG614" s="135" t="s">
        <v>385</v>
      </c>
      <c r="AH614" s="174" t="s">
        <v>193</v>
      </c>
      <c r="AI614" s="176" t="str">
        <f>CONCATENATE(PAA[[#This Row],[Id Interno]],"-",PAA[[#This Row],[tipo de Contrato (TH talento humano - B/S bienes y/o servicios)]],"-",S614,"-",T614,"-",PAA[[#This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15" spans="2:35" ht="70" x14ac:dyDescent="0.35">
      <c r="B615" s="149">
        <v>20260604</v>
      </c>
      <c r="C615" s="99" t="s">
        <v>971</v>
      </c>
      <c r="D615" s="23" t="s">
        <v>105</v>
      </c>
      <c r="E615" s="23" t="s">
        <v>363</v>
      </c>
      <c r="F615" s="23" t="s">
        <v>144</v>
      </c>
      <c r="G615" s="129" t="s">
        <v>374</v>
      </c>
      <c r="H615" s="136">
        <v>10</v>
      </c>
      <c r="I615" s="136">
        <v>0</v>
      </c>
      <c r="J615" s="127">
        <v>50000000</v>
      </c>
      <c r="K615" s="88" t="s">
        <v>398</v>
      </c>
      <c r="L615" s="155" t="s">
        <v>46</v>
      </c>
      <c r="M615" s="158" t="s">
        <v>421</v>
      </c>
      <c r="N615" s="23" t="s">
        <v>197</v>
      </c>
      <c r="O615" s="162" t="s">
        <v>957</v>
      </c>
      <c r="P615" s="158" t="s">
        <v>348</v>
      </c>
      <c r="Q615" s="53">
        <v>80111600</v>
      </c>
      <c r="R615" s="158" t="s">
        <v>208</v>
      </c>
      <c r="S615" s="158" t="str">
        <f>MID(PAA[[#This Row],[Meta Proyecto de Inversión]],1,4)</f>
        <v>8126</v>
      </c>
      <c r="T615" s="158" t="str">
        <f>MID(PAA[[#This Row],[Meta Proyecto de Inversión]],6,1)</f>
        <v>9</v>
      </c>
      <c r="U615" s="159" t="str">
        <f>IFERROR(VLOOKUP(N615,TD!$B$50:$F$54,2,0)," ")</f>
        <v>O230117</v>
      </c>
      <c r="V615" s="159" t="str">
        <f>IFERROR(VLOOKUP(N615,TD!$B$50:$F$54,3,0)," ")</f>
        <v>4599</v>
      </c>
      <c r="W615" s="159">
        <f>IFERROR(VLOOKUP(N615,TD!$B$50:$F$54,4,0)," ")</f>
        <v>20240207</v>
      </c>
      <c r="X615" s="169" t="s">
        <v>174</v>
      </c>
      <c r="Y615" s="164" t="str">
        <f>IFERROR(VLOOKUP(X615,TD!$J$51:$K$64,2,0)," ")</f>
        <v>Infraestructura física, mantenimiento y dotación (Sedes construidas, mantenidas reforzadas)</v>
      </c>
      <c r="Z615" s="171" t="str">
        <f>CONCATENATE(X615,"-",Y615)</f>
        <v>08-Infraestructura física, mantenimiento y dotación (Sedes construidas, mantenidas reforzadas)</v>
      </c>
      <c r="AA615" s="169" t="s">
        <v>227</v>
      </c>
      <c r="AB615" s="164" t="str">
        <f>IFERROR(VLOOKUP(AA615,TD!$N$51:$O$66,2,0)," ")</f>
        <v>Sedes mantenidas</v>
      </c>
      <c r="AC615" s="160" t="str">
        <f>CONCATENATE(AA615,"_",AB615)</f>
        <v>016_Sedes mantenidas</v>
      </c>
      <c r="AD615" s="160" t="str">
        <f>CONCATENATE(Z615," ",AC615)</f>
        <v>08-Infraestructura física, mantenimiento y dotación (Sedes construidas, mantenidas reforzadas) 016_Sedes mantenidas</v>
      </c>
      <c r="AE615" s="159" t="str">
        <f>CONCATENATE(U615,V615,W615,X615,AA615)</f>
        <v>O23011745992024020708016</v>
      </c>
      <c r="AF615" s="164" t="str">
        <f>IFERROR(VLOOKUP(AD615,TD!$J$66:$K$89,2,0)," ")</f>
        <v>PM/0131/0108/45990160207</v>
      </c>
      <c r="AG615" s="135" t="s">
        <v>385</v>
      </c>
      <c r="AH615" s="167" t="s">
        <v>193</v>
      </c>
      <c r="AI615" s="176" t="str">
        <f>CONCATENATE(PAA[[#This Row],[Id Interno]],"-",PAA[[#This Row],[tipo de Contrato (TH talento humano - B/S bienes y/o servicios)]],"-",S615,"-",T615,"-",PAA[[#This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16" spans="2:35" ht="70" x14ac:dyDescent="0.35">
      <c r="B616" s="149">
        <v>20260605</v>
      </c>
      <c r="C616" s="99" t="s">
        <v>972</v>
      </c>
      <c r="D616" s="23" t="s">
        <v>105</v>
      </c>
      <c r="E616" s="23" t="s">
        <v>363</v>
      </c>
      <c r="F616" s="23" t="s">
        <v>144</v>
      </c>
      <c r="G616" s="129" t="s">
        <v>374</v>
      </c>
      <c r="H616" s="136">
        <v>5</v>
      </c>
      <c r="I616" s="136">
        <v>15</v>
      </c>
      <c r="J616" s="127">
        <v>53900000</v>
      </c>
      <c r="K616" s="88" t="s">
        <v>398</v>
      </c>
      <c r="L616" s="155" t="s">
        <v>45</v>
      </c>
      <c r="M616" s="158" t="s">
        <v>401</v>
      </c>
      <c r="N616" s="23" t="s">
        <v>197</v>
      </c>
      <c r="O616" s="162" t="s">
        <v>957</v>
      </c>
      <c r="P616" s="158" t="s">
        <v>348</v>
      </c>
      <c r="Q616" s="53">
        <v>80111600</v>
      </c>
      <c r="R616" s="158" t="s">
        <v>208</v>
      </c>
      <c r="S616" s="158" t="str">
        <f>MID(PAA[[#This Row],[Meta Proyecto de Inversión]],1,4)</f>
        <v>8126</v>
      </c>
      <c r="T616" s="158" t="str">
        <f>MID(PAA[[#This Row],[Meta Proyecto de Inversión]],6,1)</f>
        <v>9</v>
      </c>
      <c r="U616" s="159" t="str">
        <f>IFERROR(VLOOKUP(N616,TD!$B$50:$F$54,2,0)," ")</f>
        <v>O230117</v>
      </c>
      <c r="V616" s="159" t="str">
        <f>IFERROR(VLOOKUP(N616,TD!$B$50:$F$54,3,0)," ")</f>
        <v>4599</v>
      </c>
      <c r="W616" s="159">
        <f>IFERROR(VLOOKUP(N616,TD!$B$50:$F$54,4,0)," ")</f>
        <v>20240207</v>
      </c>
      <c r="X616" s="169" t="s">
        <v>174</v>
      </c>
      <c r="Y616" s="164" t="str">
        <f>IFERROR(VLOOKUP(X616,TD!$J$51:$K$64,2,0)," ")</f>
        <v>Infraestructura física, mantenimiento y dotación (Sedes construidas, mantenidas reforzadas)</v>
      </c>
      <c r="Z616" s="171" t="str">
        <f>CONCATENATE(X616,"-",Y616)</f>
        <v>08-Infraestructura física, mantenimiento y dotación (Sedes construidas, mantenidas reforzadas)</v>
      </c>
      <c r="AA616" s="169" t="s">
        <v>227</v>
      </c>
      <c r="AB616" s="164" t="str">
        <f>IFERROR(VLOOKUP(AA616,TD!$N$51:$O$66,2,0)," ")</f>
        <v>Sedes mantenidas</v>
      </c>
      <c r="AC616" s="160" t="str">
        <f>CONCATENATE(AA616,"_",AB616)</f>
        <v>016_Sedes mantenidas</v>
      </c>
      <c r="AD616" s="160" t="str">
        <f>CONCATENATE(Z616," ",AC616)</f>
        <v>08-Infraestructura física, mantenimiento y dotación (Sedes construidas, mantenidas reforzadas) 016_Sedes mantenidas</v>
      </c>
      <c r="AE616" s="159" t="str">
        <f>CONCATENATE(U616,V616,W616,X616,AA616)</f>
        <v>O23011745992024020708016</v>
      </c>
      <c r="AF616" s="159" t="str">
        <f>IFERROR(VLOOKUP(AD616,TD!$J$66:$K$89,2,0)," ")</f>
        <v>PM/0131/0108/45990160207</v>
      </c>
      <c r="AG616" s="135" t="s">
        <v>385</v>
      </c>
      <c r="AH616" s="167" t="s">
        <v>194</v>
      </c>
      <c r="AI616" s="177" t="str">
        <f>CONCATENATE(PAA[[#This Row],[Id Interno]],"-",PAA[[#This Row],[tipo de Contrato (TH talento humano - B/S bienes y/o servicios)]],"-",S616,"-",T616,"-",PAA[[#This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17" spans="2:35" ht="70" x14ac:dyDescent="0.35">
      <c r="B617" s="142">
        <v>20260606</v>
      </c>
      <c r="C617" s="121" t="s">
        <v>973</v>
      </c>
      <c r="D617" s="130" t="s">
        <v>105</v>
      </c>
      <c r="E617" s="130" t="s">
        <v>363</v>
      </c>
      <c r="F617" s="130" t="s">
        <v>144</v>
      </c>
      <c r="G617" s="131" t="s">
        <v>374</v>
      </c>
      <c r="H617" s="137">
        <v>5</v>
      </c>
      <c r="I617" s="137">
        <v>0</v>
      </c>
      <c r="J617" s="132">
        <v>50000000</v>
      </c>
      <c r="K617" s="133" t="s">
        <v>398</v>
      </c>
      <c r="L617" s="172" t="s">
        <v>45</v>
      </c>
      <c r="M617" s="170" t="s">
        <v>401</v>
      </c>
      <c r="N617" s="130" t="s">
        <v>197</v>
      </c>
      <c r="O617" s="169" t="s">
        <v>957</v>
      </c>
      <c r="P617" s="170" t="s">
        <v>348</v>
      </c>
      <c r="Q617" s="134">
        <v>80111600</v>
      </c>
      <c r="R617" s="170" t="s">
        <v>208</v>
      </c>
      <c r="S617" s="170" t="str">
        <f>MID(PAA[[#This Row],[Meta Proyecto de Inversión]],1,4)</f>
        <v>8126</v>
      </c>
      <c r="T617" s="170" t="str">
        <f>MID(PAA[[#This Row],[Meta Proyecto de Inversión]],6,1)</f>
        <v>9</v>
      </c>
      <c r="U617" s="173" t="str">
        <f>IFERROR(VLOOKUP(N617,TD!$B$50:$F$54,2,0)," ")</f>
        <v>O230117</v>
      </c>
      <c r="V617" s="173" t="str">
        <f>IFERROR(VLOOKUP(N617,TD!$B$50:$F$54,3,0)," ")</f>
        <v>4599</v>
      </c>
      <c r="W617" s="173">
        <f>IFERROR(VLOOKUP(N617,TD!$B$50:$F$54,4,0)," ")</f>
        <v>20240207</v>
      </c>
      <c r="X617" s="169" t="s">
        <v>174</v>
      </c>
      <c r="Y617" s="164" t="str">
        <f>IFERROR(VLOOKUP(X617,TD!$J$51:$K$64,2,0)," ")</f>
        <v>Infraestructura física, mantenimiento y dotación (Sedes construidas, mantenidas reforzadas)</v>
      </c>
      <c r="Z617" s="171" t="str">
        <f>CONCATENATE(X617,"-",Y617)</f>
        <v>08-Infraestructura física, mantenimiento y dotación (Sedes construidas, mantenidas reforzadas)</v>
      </c>
      <c r="AA617" s="169" t="s">
        <v>227</v>
      </c>
      <c r="AB617" s="164" t="str">
        <f>IFERROR(VLOOKUP(AA617,TD!$N$51:$O$66,2,0)," ")</f>
        <v>Sedes mantenidas</v>
      </c>
      <c r="AC617" s="171" t="str">
        <f>CONCATENATE(AA617,"_",AB617)</f>
        <v>016_Sedes mantenidas</v>
      </c>
      <c r="AD617" s="171" t="str">
        <f>CONCATENATE(Z617," ",AC617)</f>
        <v>08-Infraestructura física, mantenimiento y dotación (Sedes construidas, mantenidas reforzadas) 016_Sedes mantenidas</v>
      </c>
      <c r="AE617" s="173" t="str">
        <f>CONCATENATE(U617,V617,W617,X617,AA617)</f>
        <v>O23011745992024020708016</v>
      </c>
      <c r="AF617" s="159" t="str">
        <f>IFERROR(VLOOKUP(AD617,TD!$J$66:$K$89,2,0)," ")</f>
        <v>PM/0131/0108/45990160207</v>
      </c>
      <c r="AG617" s="135" t="s">
        <v>385</v>
      </c>
      <c r="AH617" s="175" t="s">
        <v>194</v>
      </c>
      <c r="AI617" s="176" t="str">
        <f>CONCATENATE(PAA[[#This Row],[Id Interno]],"-",PAA[[#This Row],[tipo de Contrato (TH talento humano - B/S bienes y/o servicios)]],"-",S617,"-",T617,"-",PAA[[#This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618" spans="2:35" ht="84" x14ac:dyDescent="0.35">
      <c r="B618" s="142">
        <v>20260607</v>
      </c>
      <c r="C618" s="121" t="s">
        <v>974</v>
      </c>
      <c r="D618" s="130" t="s">
        <v>105</v>
      </c>
      <c r="E618" s="130" t="s">
        <v>363</v>
      </c>
      <c r="F618" s="130" t="s">
        <v>144</v>
      </c>
      <c r="G618" s="131" t="s">
        <v>374</v>
      </c>
      <c r="H618" s="137">
        <v>5</v>
      </c>
      <c r="I618" s="137">
        <v>0</v>
      </c>
      <c r="J618" s="132">
        <v>30000000</v>
      </c>
      <c r="K618" s="133" t="s">
        <v>398</v>
      </c>
      <c r="L618" s="172" t="s">
        <v>150</v>
      </c>
      <c r="M618" s="170" t="s">
        <v>401</v>
      </c>
      <c r="N618" s="130" t="s">
        <v>197</v>
      </c>
      <c r="O618" s="162" t="s">
        <v>957</v>
      </c>
      <c r="P618" s="170" t="s">
        <v>348</v>
      </c>
      <c r="Q618" s="134">
        <v>80111600</v>
      </c>
      <c r="R618" s="170" t="s">
        <v>209</v>
      </c>
      <c r="S618" s="170" t="str">
        <f>MID(PAA[[#This Row],[Meta Proyecto de Inversión]],1,4)</f>
        <v>8126</v>
      </c>
      <c r="T618" s="170" t="str">
        <f>MID(PAA[[#This Row],[Meta Proyecto de Inversión]],6,1)</f>
        <v>1</v>
      </c>
      <c r="U618" s="173" t="str">
        <f>IFERROR(VLOOKUP(N618,TD!$B$50:$F$54,2,0)," ")</f>
        <v>O230117</v>
      </c>
      <c r="V618" s="173" t="str">
        <f>IFERROR(VLOOKUP(N618,TD!$B$50:$F$54,3,0)," ")</f>
        <v>4599</v>
      </c>
      <c r="W618" s="173">
        <f>IFERROR(VLOOKUP(N618,TD!$B$50:$F$54,4,0)," ")</f>
        <v>20240207</v>
      </c>
      <c r="X618" s="169" t="s">
        <v>182</v>
      </c>
      <c r="Y618" s="164" t="str">
        <f>IFERROR(VLOOKUP(X618,TD!$J$51:$K$64,2,0)," ")</f>
        <v>Servicios para la planeación y sistemas de gestión y comunicación estratégica</v>
      </c>
      <c r="Z618" s="171" t="str">
        <f>CONCATENATE(X618,"-",Y618)</f>
        <v>13-Servicios para la planeación y sistemas de gestión y comunicación estratégica</v>
      </c>
      <c r="AA618" s="169" t="s">
        <v>231</v>
      </c>
      <c r="AB618" s="164" t="str">
        <f>IFERROR(VLOOKUP(AA618,TD!$N$51:$O$66,2,0)," ")</f>
        <v>Documentos de planeación</v>
      </c>
      <c r="AC618" s="171" t="str">
        <f>CONCATENATE(AA618,"_",AB618)</f>
        <v>019_Documentos de planeación</v>
      </c>
      <c r="AD618" s="171" t="str">
        <f>CONCATENATE(Z618," ",AC618)</f>
        <v>13-Servicios para la planeación y sistemas de gestión y comunicación estratégica 019_Documentos de planeación</v>
      </c>
      <c r="AE618" s="173" t="str">
        <f>CONCATENATE(U618,V618,W618,X618,AA618)</f>
        <v>O23011745992024020713019</v>
      </c>
      <c r="AF618" s="159" t="str">
        <f>IFERROR(VLOOKUP(AD618,TD!$J$66:$K$89,2,0)," ")</f>
        <v>PM/0131/0113/45990190207</v>
      </c>
      <c r="AG618" s="135" t="s">
        <v>385</v>
      </c>
      <c r="AH618" s="175" t="s">
        <v>194</v>
      </c>
      <c r="AI618" s="176" t="str">
        <f>CONCATENATE(PAA[[#This Row],[Id Interno]],"-",PAA[[#This Row],[tipo de Contrato (TH talento humano - B/S bienes y/o servicios)]],"-",S618,"-",T618,"-",PAA[[#This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19" spans="2:35" ht="56" x14ac:dyDescent="0.35">
      <c r="B619" s="142">
        <v>20260608</v>
      </c>
      <c r="C619" s="121" t="s">
        <v>975</v>
      </c>
      <c r="D619" s="130" t="s">
        <v>105</v>
      </c>
      <c r="E619" s="130" t="s">
        <v>363</v>
      </c>
      <c r="F619" s="130" t="s">
        <v>144</v>
      </c>
      <c r="G619" s="131" t="s">
        <v>374</v>
      </c>
      <c r="H619" s="137">
        <v>5</v>
      </c>
      <c r="I619" s="137">
        <v>0</v>
      </c>
      <c r="J619" s="132">
        <v>22000000</v>
      </c>
      <c r="K619" s="133" t="s">
        <v>398</v>
      </c>
      <c r="L619" s="172" t="s">
        <v>150</v>
      </c>
      <c r="M619" s="170" t="s">
        <v>401</v>
      </c>
      <c r="N619" s="130" t="s">
        <v>197</v>
      </c>
      <c r="O619" s="162" t="s">
        <v>957</v>
      </c>
      <c r="P619" s="170" t="s">
        <v>348</v>
      </c>
      <c r="Q619" s="134">
        <v>80111600</v>
      </c>
      <c r="R619" s="170" t="s">
        <v>209</v>
      </c>
      <c r="S619" s="170" t="str">
        <f>MID(PAA[[#This Row],[Meta Proyecto de Inversión]],1,4)</f>
        <v>8126</v>
      </c>
      <c r="T619" s="170" t="str">
        <f>MID(PAA[[#This Row],[Meta Proyecto de Inversión]],6,1)</f>
        <v>1</v>
      </c>
      <c r="U619" s="173" t="str">
        <f>IFERROR(VLOOKUP(N619,TD!$B$50:$F$54,2,0)," ")</f>
        <v>O230117</v>
      </c>
      <c r="V619" s="173" t="str">
        <f>IFERROR(VLOOKUP(N619,TD!$B$50:$F$54,3,0)," ")</f>
        <v>4599</v>
      </c>
      <c r="W619" s="173">
        <f>IFERROR(VLOOKUP(N619,TD!$B$50:$F$54,4,0)," ")</f>
        <v>20240207</v>
      </c>
      <c r="X619" s="169" t="s">
        <v>182</v>
      </c>
      <c r="Y619" s="164" t="str">
        <f>IFERROR(VLOOKUP(X619,TD!$J$51:$K$64,2,0)," ")</f>
        <v>Servicios para la planeación y sistemas de gestión y comunicación estratégica</v>
      </c>
      <c r="Z619" s="171" t="str">
        <f>CONCATENATE(X619,"-",Y619)</f>
        <v>13-Servicios para la planeación y sistemas de gestión y comunicación estratégica</v>
      </c>
      <c r="AA619" s="169" t="s">
        <v>231</v>
      </c>
      <c r="AB619" s="164" t="str">
        <f>IFERROR(VLOOKUP(AA619,TD!$N$51:$O$66,2,0)," ")</f>
        <v>Documentos de planeación</v>
      </c>
      <c r="AC619" s="171" t="str">
        <f>CONCATENATE(AA619,"_",AB619)</f>
        <v>019_Documentos de planeación</v>
      </c>
      <c r="AD619" s="171" t="str">
        <f>CONCATENATE(Z619," ",AC619)</f>
        <v>13-Servicios para la planeación y sistemas de gestión y comunicación estratégica 019_Documentos de planeación</v>
      </c>
      <c r="AE619" s="173" t="str">
        <f>CONCATENATE(U619,V619,W619,X619,AA619)</f>
        <v>O23011745992024020713019</v>
      </c>
      <c r="AF619" s="159" t="str">
        <f>IFERROR(VLOOKUP(AD619,TD!$J$66:$K$89,2,0)," ")</f>
        <v>PM/0131/0113/45990190207</v>
      </c>
      <c r="AG619" s="135" t="s">
        <v>385</v>
      </c>
      <c r="AH619" s="175" t="s">
        <v>194</v>
      </c>
      <c r="AI619" s="176" t="str">
        <f>CONCATENATE(PAA[[#This Row],[Id Interno]],"-",PAA[[#This Row],[tipo de Contrato (TH talento humano - B/S bienes y/o servicios)]],"-",S619,"-",T619,"-",PAA[[#This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20" spans="2:35" ht="56" x14ac:dyDescent="0.35">
      <c r="B620" s="142">
        <v>20260609</v>
      </c>
      <c r="C620" s="121" t="s">
        <v>976</v>
      </c>
      <c r="D620" s="130" t="s">
        <v>105</v>
      </c>
      <c r="E620" s="130" t="s">
        <v>363</v>
      </c>
      <c r="F620" s="130" t="s">
        <v>144</v>
      </c>
      <c r="G620" s="131" t="s">
        <v>374</v>
      </c>
      <c r="H620" s="137">
        <v>5</v>
      </c>
      <c r="I620" s="137">
        <v>0</v>
      </c>
      <c r="J620" s="132">
        <v>22000000</v>
      </c>
      <c r="K620" s="133" t="s">
        <v>398</v>
      </c>
      <c r="L620" s="172" t="s">
        <v>150</v>
      </c>
      <c r="M620" s="170" t="s">
        <v>401</v>
      </c>
      <c r="N620" s="130" t="s">
        <v>197</v>
      </c>
      <c r="O620" s="169" t="s">
        <v>957</v>
      </c>
      <c r="P620" s="170" t="s">
        <v>348</v>
      </c>
      <c r="Q620" s="134">
        <v>80111600</v>
      </c>
      <c r="R620" s="170" t="s">
        <v>209</v>
      </c>
      <c r="S620" s="170" t="str">
        <f>MID(PAA[[#This Row],[Meta Proyecto de Inversión]],1,4)</f>
        <v>8126</v>
      </c>
      <c r="T620" s="170" t="str">
        <f>MID(PAA[[#This Row],[Meta Proyecto de Inversión]],6,1)</f>
        <v>1</v>
      </c>
      <c r="U620" s="173" t="str">
        <f>IFERROR(VLOOKUP(N620,TD!$B$50:$F$54,2,0)," ")</f>
        <v>O230117</v>
      </c>
      <c r="V620" s="173" t="str">
        <f>IFERROR(VLOOKUP(N620,TD!$B$50:$F$54,3,0)," ")</f>
        <v>4599</v>
      </c>
      <c r="W620" s="173">
        <f>IFERROR(VLOOKUP(N620,TD!$B$50:$F$54,4,0)," ")</f>
        <v>20240207</v>
      </c>
      <c r="X620" s="169" t="s">
        <v>182</v>
      </c>
      <c r="Y620" s="164" t="str">
        <f>IFERROR(VLOOKUP(X620,TD!$J$51:$K$64,2,0)," ")</f>
        <v>Servicios para la planeación y sistemas de gestión y comunicación estratégica</v>
      </c>
      <c r="Z620" s="171" t="str">
        <f>CONCATENATE(X620,"-",Y620)</f>
        <v>13-Servicios para la planeación y sistemas de gestión y comunicación estratégica</v>
      </c>
      <c r="AA620" s="169" t="s">
        <v>231</v>
      </c>
      <c r="AB620" s="164" t="str">
        <f>IFERROR(VLOOKUP(AA620,TD!$N$51:$O$66,2,0)," ")</f>
        <v>Documentos de planeación</v>
      </c>
      <c r="AC620" s="171" t="str">
        <f>CONCATENATE(AA620,"_",AB620)</f>
        <v>019_Documentos de planeación</v>
      </c>
      <c r="AD620" s="171" t="str">
        <f>CONCATENATE(Z620," ",AC620)</f>
        <v>13-Servicios para la planeación y sistemas de gestión y comunicación estratégica 019_Documentos de planeación</v>
      </c>
      <c r="AE620" s="173" t="str">
        <f>CONCATENATE(U620,V620,W620,X620,AA620)</f>
        <v>O23011745992024020713019</v>
      </c>
      <c r="AF620" s="159" t="str">
        <f>IFERROR(VLOOKUP(AD620,TD!$J$66:$K$89,2,0)," ")</f>
        <v>PM/0131/0113/45990190207</v>
      </c>
      <c r="AG620" s="135" t="s">
        <v>385</v>
      </c>
      <c r="AH620" s="175" t="s">
        <v>194</v>
      </c>
      <c r="AI620" s="176" t="str">
        <f>CONCATENATE(PAA[[#This Row],[Id Interno]],"-",PAA[[#This Row],[tipo de Contrato (TH talento humano - B/S bienes y/o servicios)]],"-",S620,"-",T620,"-",PAA[[#This Row],[Objeto de la contratación]])</f>
        <v>20260609-TH-8126-1-Adición y prórroga al Contrato 285 de 2025 con objeto "Prestar apoyo técnico en la Dirección, en asuntos de comunicaciones y prensa, para la producción, diseño y edición de material audiovisual de la UAECOB"</v>
      </c>
    </row>
    <row r="621" spans="2:35" ht="56" x14ac:dyDescent="0.35">
      <c r="B621" s="142">
        <v>20260610</v>
      </c>
      <c r="C621" s="121" t="s">
        <v>977</v>
      </c>
      <c r="D621" s="130" t="s">
        <v>105</v>
      </c>
      <c r="E621" s="130" t="s">
        <v>363</v>
      </c>
      <c r="F621" s="130" t="s">
        <v>145</v>
      </c>
      <c r="G621" s="131" t="s">
        <v>374</v>
      </c>
      <c r="H621" s="137">
        <v>5</v>
      </c>
      <c r="I621" s="137">
        <v>0</v>
      </c>
      <c r="J621" s="132">
        <v>17500000</v>
      </c>
      <c r="K621" s="133" t="s">
        <v>398</v>
      </c>
      <c r="L621" s="172" t="s">
        <v>150</v>
      </c>
      <c r="M621" s="170" t="s">
        <v>401</v>
      </c>
      <c r="N621" s="130" t="s">
        <v>197</v>
      </c>
      <c r="O621" s="169" t="s">
        <v>957</v>
      </c>
      <c r="P621" s="170" t="s">
        <v>348</v>
      </c>
      <c r="Q621" s="134">
        <v>80111600</v>
      </c>
      <c r="R621" s="170" t="s">
        <v>209</v>
      </c>
      <c r="S621" s="170" t="str">
        <f>MID(PAA[[#This Row],[Meta Proyecto de Inversión]],1,4)</f>
        <v>8126</v>
      </c>
      <c r="T621" s="170" t="str">
        <f>MID(PAA[[#This Row],[Meta Proyecto de Inversión]],6,1)</f>
        <v>1</v>
      </c>
      <c r="U621" s="173" t="str">
        <f>IFERROR(VLOOKUP(N621,TD!$B$50:$F$54,2,0)," ")</f>
        <v>O230117</v>
      </c>
      <c r="V621" s="173" t="str">
        <f>IFERROR(VLOOKUP(N621,TD!$B$50:$F$54,3,0)," ")</f>
        <v>4599</v>
      </c>
      <c r="W621" s="173">
        <f>IFERROR(VLOOKUP(N621,TD!$B$50:$F$54,4,0)," ")</f>
        <v>20240207</v>
      </c>
      <c r="X621" s="169" t="s">
        <v>182</v>
      </c>
      <c r="Y621" s="164" t="str">
        <f>IFERROR(VLOOKUP(X621,TD!$J$51:$K$64,2,0)," ")</f>
        <v>Servicios para la planeación y sistemas de gestión y comunicación estratégica</v>
      </c>
      <c r="Z621" s="171" t="str">
        <f>CONCATENATE(X621,"-",Y621)</f>
        <v>13-Servicios para la planeación y sistemas de gestión y comunicación estratégica</v>
      </c>
      <c r="AA621" s="169" t="s">
        <v>231</v>
      </c>
      <c r="AB621" s="164" t="str">
        <f>IFERROR(VLOOKUP(AA621,TD!$N$51:$O$66,2,0)," ")</f>
        <v>Documentos de planeación</v>
      </c>
      <c r="AC621" s="171" t="str">
        <f>CONCATENATE(AA621,"_",AB621)</f>
        <v>019_Documentos de planeación</v>
      </c>
      <c r="AD621" s="171" t="str">
        <f>CONCATENATE(Z621," ",AC621)</f>
        <v>13-Servicios para la planeación y sistemas de gestión y comunicación estratégica 019_Documentos de planeación</v>
      </c>
      <c r="AE621" s="173" t="str">
        <f>CONCATENATE(U621,V621,W621,X621,AA621)</f>
        <v>O23011745992024020713019</v>
      </c>
      <c r="AF621" s="159" t="str">
        <f>IFERROR(VLOOKUP(AD621,TD!$J$66:$K$89,2,0)," ")</f>
        <v>PM/0131/0113/45990190207</v>
      </c>
      <c r="AG621" s="135" t="s">
        <v>385</v>
      </c>
      <c r="AH621" s="175" t="s">
        <v>194</v>
      </c>
      <c r="AI621" s="176" t="str">
        <f>CONCATENATE(PAA[[#This Row],[Id Interno]],"-",PAA[[#This Row],[tipo de Contrato (TH talento humano - B/S bienes y/o servicios)]],"-",S621,"-",T621,"-",PAA[[#This Row],[Objeto de la contratación]])</f>
        <v>20260610-TH-8126-1-Adición y prórroga al Contrato 278 de 2025 con objeto "Prestación de servicios como conductor en los diferentes recorridos de carácter operativo que se requieran en la Dirección General"</v>
      </c>
    </row>
    <row r="622" spans="2:35" ht="70" x14ac:dyDescent="0.35">
      <c r="B622" s="149">
        <v>20260611</v>
      </c>
      <c r="C622" s="99" t="s">
        <v>978</v>
      </c>
      <c r="D622" s="23" t="s">
        <v>105</v>
      </c>
      <c r="E622" s="23" t="s">
        <v>363</v>
      </c>
      <c r="F622" s="23" t="s">
        <v>144</v>
      </c>
      <c r="G622" s="129" t="s">
        <v>374</v>
      </c>
      <c r="H622" s="136">
        <v>5</v>
      </c>
      <c r="I622" s="136">
        <v>0</v>
      </c>
      <c r="J622" s="127">
        <v>26000000</v>
      </c>
      <c r="K622" s="88" t="s">
        <v>398</v>
      </c>
      <c r="L622" s="155" t="s">
        <v>150</v>
      </c>
      <c r="M622" s="158" t="s">
        <v>401</v>
      </c>
      <c r="N622" s="23" t="s">
        <v>197</v>
      </c>
      <c r="O622" s="169" t="s">
        <v>957</v>
      </c>
      <c r="P622" s="158" t="s">
        <v>348</v>
      </c>
      <c r="Q622" s="53">
        <v>80111600</v>
      </c>
      <c r="R622" s="158" t="s">
        <v>209</v>
      </c>
      <c r="S622" s="158" t="str">
        <f>MID(PAA[[#This Row],[Meta Proyecto de Inversión]],1,4)</f>
        <v>8126</v>
      </c>
      <c r="T622" s="158" t="str">
        <f>MID(PAA[[#This Row],[Meta Proyecto de Inversión]],6,1)</f>
        <v>1</v>
      </c>
      <c r="U622" s="159" t="str">
        <f>IFERROR(VLOOKUP(N622,TD!$B$50:$F$54,2,0)," ")</f>
        <v>O230117</v>
      </c>
      <c r="V622" s="159" t="str">
        <f>IFERROR(VLOOKUP(N622,TD!$B$50:$F$54,3,0)," ")</f>
        <v>4599</v>
      </c>
      <c r="W622" s="159">
        <f>IFERROR(VLOOKUP(N622,TD!$B$50:$F$54,4,0)," ")</f>
        <v>20240207</v>
      </c>
      <c r="X622" s="169" t="s">
        <v>182</v>
      </c>
      <c r="Y622" s="164" t="str">
        <f>IFERROR(VLOOKUP(X622,TD!$J$51:$K$64,2,0)," ")</f>
        <v>Servicios para la planeación y sistemas de gestión y comunicación estratégica</v>
      </c>
      <c r="Z622" s="171" t="str">
        <f>CONCATENATE(X622,"-",Y622)</f>
        <v>13-Servicios para la planeación y sistemas de gestión y comunicación estratégica</v>
      </c>
      <c r="AA622" s="169" t="s">
        <v>231</v>
      </c>
      <c r="AB622" s="164" t="str">
        <f>IFERROR(VLOOKUP(AA622,TD!$N$51:$O$66,2,0)," ")</f>
        <v>Documentos de planeación</v>
      </c>
      <c r="AC622" s="160" t="str">
        <f>CONCATENATE(AA622,"_",AB622)</f>
        <v>019_Documentos de planeación</v>
      </c>
      <c r="AD622" s="160" t="str">
        <f>CONCATENATE(Z622," ",AC622)</f>
        <v>13-Servicios para la planeación y sistemas de gestión y comunicación estratégica 019_Documentos de planeación</v>
      </c>
      <c r="AE622" s="159" t="str">
        <f>CONCATENATE(U622,V622,W622,X622,AA622)</f>
        <v>O23011745992024020713019</v>
      </c>
      <c r="AF622" s="159" t="str">
        <f>IFERROR(VLOOKUP(AD622,TD!$J$66:$K$89,2,0)," ")</f>
        <v>PM/0131/0113/45990190207</v>
      </c>
      <c r="AG622" s="118" t="s">
        <v>385</v>
      </c>
      <c r="AH622" s="167" t="s">
        <v>194</v>
      </c>
      <c r="AI622" s="176" t="str">
        <f>CONCATENATE(PAA[[#This Row],[Id Interno]],"-",PAA[[#This Row],[tipo de Contrato (TH talento humano - B/S bienes y/o servicios)]],"-",S622,"-",T622,"-",PAA[[#This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23" spans="2:35" ht="42" x14ac:dyDescent="0.35">
      <c r="B623" s="142">
        <v>20260612</v>
      </c>
      <c r="C623" s="121" t="s">
        <v>979</v>
      </c>
      <c r="D623" s="130" t="s">
        <v>105</v>
      </c>
      <c r="E623" s="130" t="s">
        <v>363</v>
      </c>
      <c r="F623" s="130" t="s">
        <v>145</v>
      </c>
      <c r="G623" s="131" t="s">
        <v>374</v>
      </c>
      <c r="H623" s="137">
        <v>11</v>
      </c>
      <c r="I623" s="137">
        <v>0</v>
      </c>
      <c r="J623" s="132">
        <f>47300000</f>
        <v>47300000</v>
      </c>
      <c r="K623" s="133" t="s">
        <v>398</v>
      </c>
      <c r="L623" s="172" t="s">
        <v>150</v>
      </c>
      <c r="M623" s="170" t="s">
        <v>401</v>
      </c>
      <c r="N623" s="130" t="s">
        <v>197</v>
      </c>
      <c r="O623" s="169" t="s">
        <v>957</v>
      </c>
      <c r="P623" s="170" t="s">
        <v>348</v>
      </c>
      <c r="Q623" s="134">
        <v>80111600</v>
      </c>
      <c r="R623" s="170" t="s">
        <v>209</v>
      </c>
      <c r="S623" s="170" t="str">
        <f>MID(PAA[[#This Row],[Meta Proyecto de Inversión]],1,4)</f>
        <v>8126</v>
      </c>
      <c r="T623" s="170" t="str">
        <f>MID(PAA[[#This Row],[Meta Proyecto de Inversión]],6,1)</f>
        <v>1</v>
      </c>
      <c r="U623" s="173" t="str">
        <f>IFERROR(VLOOKUP(N623,TD!$B$50:$F$54,2,0)," ")</f>
        <v>O230117</v>
      </c>
      <c r="V623" s="173" t="str">
        <f>IFERROR(VLOOKUP(N623,TD!$B$50:$F$54,3,0)," ")</f>
        <v>4599</v>
      </c>
      <c r="W623" s="173">
        <f>IFERROR(VLOOKUP(N623,TD!$B$50:$F$54,4,0)," ")</f>
        <v>20240207</v>
      </c>
      <c r="X623" s="169" t="s">
        <v>182</v>
      </c>
      <c r="Y623" s="164" t="str">
        <f>IFERROR(VLOOKUP(X623,TD!$J$51:$K$64,2,0)," ")</f>
        <v>Servicios para la planeación y sistemas de gestión y comunicación estratégica</v>
      </c>
      <c r="Z623" s="171" t="str">
        <f>CONCATENATE(X623,"-",Y623)</f>
        <v>13-Servicios para la planeación y sistemas de gestión y comunicación estratégica</v>
      </c>
      <c r="AA623" s="169" t="s">
        <v>231</v>
      </c>
      <c r="AB623" s="164" t="str">
        <f>IFERROR(VLOOKUP(AA623,TD!$N$51:$O$66,2,0)," ")</f>
        <v>Documentos de planeación</v>
      </c>
      <c r="AC623" s="171" t="str">
        <f>CONCATENATE(AA623,"_",AB623)</f>
        <v>019_Documentos de planeación</v>
      </c>
      <c r="AD623" s="171" t="str">
        <f>CONCATENATE(Z623," ",AC623)</f>
        <v>13-Servicios para la planeación y sistemas de gestión y comunicación estratégica 019_Documentos de planeación</v>
      </c>
      <c r="AE623" s="173" t="str">
        <f>CONCATENATE(U623,V623,W623,X623,AA623)</f>
        <v>O23011745992024020713019</v>
      </c>
      <c r="AF623" s="159" t="str">
        <f>IFERROR(VLOOKUP(AD623,TD!$J$66:$K$89,2,0)," ")</f>
        <v>PM/0131/0113/45990190207</v>
      </c>
      <c r="AG623" s="118" t="s">
        <v>385</v>
      </c>
      <c r="AH623" s="167" t="s">
        <v>193</v>
      </c>
      <c r="AI623" s="176" t="str">
        <f>CONCATENATE(PAA[[#This Row],[Id Interno]],"-",PAA[[#This Row],[tipo de Contrato (TH talento humano - B/S bienes y/o servicios)]],"-",S623,"-",T623,"-",PAA[[#This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624" spans="2:35" ht="84" x14ac:dyDescent="0.35">
      <c r="B624" s="142">
        <v>20260613</v>
      </c>
      <c r="C624" s="121" t="s">
        <v>980</v>
      </c>
      <c r="D624" s="130" t="s">
        <v>83</v>
      </c>
      <c r="E624" s="130" t="s">
        <v>402</v>
      </c>
      <c r="F624" s="130" t="s">
        <v>124</v>
      </c>
      <c r="G624" s="131" t="s">
        <v>375</v>
      </c>
      <c r="H624" s="137">
        <v>3</v>
      </c>
      <c r="I624" s="137">
        <v>0</v>
      </c>
      <c r="J624" s="132">
        <v>182388960</v>
      </c>
      <c r="K624" s="133" t="s">
        <v>398</v>
      </c>
      <c r="L624" s="172" t="s">
        <v>156</v>
      </c>
      <c r="M624" s="170" t="s">
        <v>513</v>
      </c>
      <c r="N624" s="130" t="s">
        <v>198</v>
      </c>
      <c r="O624" s="169" t="s">
        <v>958</v>
      </c>
      <c r="P624" s="170" t="s">
        <v>348</v>
      </c>
      <c r="Q624" s="134" t="s">
        <v>539</v>
      </c>
      <c r="R624" s="158" t="s">
        <v>210</v>
      </c>
      <c r="S624" s="170" t="str">
        <f>MID(PAA[[#This Row],[Meta Proyecto de Inversión]],1,4)</f>
        <v>8173</v>
      </c>
      <c r="T624" s="170" t="str">
        <f>MID(PAA[[#This Row],[Meta Proyecto de Inversión]],6,1)</f>
        <v>1</v>
      </c>
      <c r="U624" s="173" t="str">
        <f>IFERROR(VLOOKUP(N624,TD!$B$50:$F$54,2,0)," ")</f>
        <v>O230117</v>
      </c>
      <c r="V624" s="173" t="str">
        <f>IFERROR(VLOOKUP(N624,TD!$B$50:$F$54,3,0)," ")</f>
        <v>4503</v>
      </c>
      <c r="W624" s="173">
        <f>IFERROR(VLOOKUP(N624,TD!$B$50:$F$54,4,0)," ")</f>
        <v>20240255</v>
      </c>
      <c r="X624" s="169" t="s">
        <v>166</v>
      </c>
      <c r="Y624" s="164" t="str">
        <f>IFERROR(VLOOKUP(X624,TD!$J$51:$K$64,2,0)," ")</f>
        <v>Servicio de capacitaciones en gestión del riesgo de incendios  a la ciudadania.</v>
      </c>
      <c r="Z624" s="171" t="str">
        <f>CONCATENATE(X624,"-",Y624)</f>
        <v>05-Servicio de capacitaciones en gestión del riesgo de incendios  a la ciudadania.</v>
      </c>
      <c r="AA624" s="169" t="s">
        <v>223</v>
      </c>
      <c r="AB624" s="164" t="str">
        <f>IFERROR(VLOOKUP(AA624,TD!$N$51:$O$66,2,0)," ")</f>
        <v>Servicio prevención y control de incendios</v>
      </c>
      <c r="AC624" s="171" t="str">
        <f>CONCATENATE(AA624,"_",AB624)</f>
        <v>035_Servicio prevención y control de incendios</v>
      </c>
      <c r="AD624" s="171" t="str">
        <f>CONCATENATE(Z624," ",AC624)</f>
        <v>05-Servicio de capacitaciones en gestión del riesgo de incendios  a la ciudadania. 035_Servicio prevención y control de incendios</v>
      </c>
      <c r="AE624" s="173" t="str">
        <f>CONCATENATE(U624,V624,W624,X624,AA624)</f>
        <v>O23011745032024025505035</v>
      </c>
      <c r="AF624" s="159" t="str">
        <f>IFERROR(VLOOKUP(AD624,TD!$J$66:$K$89,2,0)," ")</f>
        <v>PM/0131/0105/45030350255</v>
      </c>
      <c r="AG624" s="135" t="s">
        <v>570</v>
      </c>
      <c r="AH624" s="175" t="s">
        <v>194</v>
      </c>
      <c r="AI624" s="176" t="str">
        <f>CONCATENATE(PAA[[#This Row],[Id Interno]],"-",PAA[[#This Row],[tipo de Contrato (TH talento humano - B/S bienes y/o servicios)]],"-",S624,"-",T624,"-",PAA[[#This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25" spans="2:35" ht="70" x14ac:dyDescent="0.35">
      <c r="B625" s="142">
        <v>20260614</v>
      </c>
      <c r="C625" s="121" t="s">
        <v>982</v>
      </c>
      <c r="D625" s="130" t="s">
        <v>105</v>
      </c>
      <c r="E625" s="130" t="s">
        <v>363</v>
      </c>
      <c r="F625" s="130" t="s">
        <v>144</v>
      </c>
      <c r="G625" s="131" t="s">
        <v>983</v>
      </c>
      <c r="H625" s="137">
        <v>10</v>
      </c>
      <c r="I625" s="137">
        <v>0</v>
      </c>
      <c r="J625" s="132">
        <v>65000000</v>
      </c>
      <c r="K625" s="133" t="s">
        <v>398</v>
      </c>
      <c r="L625" s="172" t="s">
        <v>152</v>
      </c>
      <c r="M625" s="170" t="s">
        <v>970</v>
      </c>
      <c r="N625" s="130" t="s">
        <v>197</v>
      </c>
      <c r="O625" s="169" t="s">
        <v>957</v>
      </c>
      <c r="P625" s="170" t="s">
        <v>348</v>
      </c>
      <c r="Q625" s="134">
        <v>80111600</v>
      </c>
      <c r="R625" s="158" t="s">
        <v>208</v>
      </c>
      <c r="S625" s="170" t="str">
        <f>MID(PAA[[#This Row],[Meta Proyecto de Inversión]],1,4)</f>
        <v>8126</v>
      </c>
      <c r="T625" s="170" t="str">
        <f>MID(PAA[[#This Row],[Meta Proyecto de Inversión]],6,1)</f>
        <v>9</v>
      </c>
      <c r="U625" s="173" t="str">
        <f>IFERROR(VLOOKUP(N625,TD!$B$50:$F$54,2,0)," ")</f>
        <v>O230117</v>
      </c>
      <c r="V625" s="173" t="str">
        <f>IFERROR(VLOOKUP(N625,TD!$B$50:$F$54,3,0)," ")</f>
        <v>4599</v>
      </c>
      <c r="W625" s="173">
        <f>IFERROR(VLOOKUP(N625,TD!$B$50:$F$54,4,0)," ")</f>
        <v>20240207</v>
      </c>
      <c r="X625" s="169" t="s">
        <v>174</v>
      </c>
      <c r="Y625" s="164" t="str">
        <f>IFERROR(VLOOKUP(X625,TD!$J$51:$K$64,2,0)," ")</f>
        <v>Infraestructura física, mantenimiento y dotación (Sedes construidas, mantenidas reforzadas)</v>
      </c>
      <c r="Z625" s="171" t="str">
        <f>CONCATENATE(X625,"-",Y625)</f>
        <v>08-Infraestructura física, mantenimiento y dotación (Sedes construidas, mantenidas reforzadas)</v>
      </c>
      <c r="AA625" s="169" t="s">
        <v>227</v>
      </c>
      <c r="AB625" s="164" t="str">
        <f>IFERROR(VLOOKUP(AA625,TD!$N$51:$O$66,2,0)," ")</f>
        <v>Sedes mantenidas</v>
      </c>
      <c r="AC625" s="171" t="str">
        <f>CONCATENATE(AA625,"_",AB625)</f>
        <v>016_Sedes mantenidas</v>
      </c>
      <c r="AD625" s="171" t="str">
        <f>CONCATENATE(Z625," ",AC625)</f>
        <v>08-Infraestructura física, mantenimiento y dotación (Sedes construidas, mantenidas reforzadas) 016_Sedes mantenidas</v>
      </c>
      <c r="AE625" s="173" t="str">
        <f>CONCATENATE(U625,V625,W625,X625,AA625)</f>
        <v>O23011745992024020708016</v>
      </c>
      <c r="AF625" s="159" t="str">
        <f>IFERROR(VLOOKUP(AD625,TD!$J$66:$K$89,2,0)," ")</f>
        <v>PM/0131/0108/45990160207</v>
      </c>
      <c r="AG625" s="135" t="s">
        <v>385</v>
      </c>
      <c r="AH625" s="175" t="s">
        <v>193</v>
      </c>
      <c r="AI625" s="176" t="str">
        <f>CONCATENATE(PAA[[#This Row],[Id Interno]],"-",PAA[[#This Row],[tipo de Contrato (TH talento humano - B/S bienes y/o servicios)]],"-",S625,"-",T625,"-",PAA[[#This Row],[Objeto de la contratación]])</f>
        <v>20260614-TH-8126-9-Prestar los servicios profesionales  en la Oficina de Control Interno para el desarrollo del Plan Anual de Auditorías.</v>
      </c>
    </row>
    <row r="626" spans="2:35" ht="98" x14ac:dyDescent="0.35">
      <c r="B626" s="142">
        <v>20260615</v>
      </c>
      <c r="C626" s="121" t="s">
        <v>982</v>
      </c>
      <c r="D626" s="130" t="s">
        <v>105</v>
      </c>
      <c r="E626" s="130" t="s">
        <v>363</v>
      </c>
      <c r="F626" s="130" t="s">
        <v>144</v>
      </c>
      <c r="G626" s="131" t="s">
        <v>983</v>
      </c>
      <c r="H626" s="137">
        <v>10</v>
      </c>
      <c r="I626" s="137">
        <v>0</v>
      </c>
      <c r="J626" s="132">
        <v>77000000</v>
      </c>
      <c r="K626" s="133" t="s">
        <v>398</v>
      </c>
      <c r="L626" s="172" t="s">
        <v>152</v>
      </c>
      <c r="M626" s="170" t="s">
        <v>970</v>
      </c>
      <c r="N626" s="130" t="s">
        <v>197</v>
      </c>
      <c r="O626" s="169" t="s">
        <v>957</v>
      </c>
      <c r="P626" s="170" t="s">
        <v>348</v>
      </c>
      <c r="Q626" s="134">
        <v>80111600</v>
      </c>
      <c r="R626" s="170" t="s">
        <v>208</v>
      </c>
      <c r="S626" s="170" t="str">
        <f>MID(PAA[[#This Row],[Meta Proyecto de Inversión]],1,4)</f>
        <v>8126</v>
      </c>
      <c r="T626" s="170" t="str">
        <f>MID(PAA[[#This Row],[Meta Proyecto de Inversión]],6,1)</f>
        <v>9</v>
      </c>
      <c r="U626" s="173" t="str">
        <f>IFERROR(VLOOKUP(N626,TD!$B$50:$F$54,2,0)," ")</f>
        <v>O230117</v>
      </c>
      <c r="V626" s="173" t="str">
        <f>IFERROR(VLOOKUP(N626,TD!$B$50:$F$54,3,0)," ")</f>
        <v>4599</v>
      </c>
      <c r="W626" s="173">
        <f>IFERROR(VLOOKUP(N626,TD!$B$50:$F$54,4,0)," ")</f>
        <v>20240207</v>
      </c>
      <c r="X626" s="162" t="s">
        <v>174</v>
      </c>
      <c r="Y626" s="164" t="str">
        <f>IFERROR(VLOOKUP(X626,TD!$J$51:$K$64,2,0)," ")</f>
        <v>Infraestructura física, mantenimiento y dotación (Sedes construidas, mantenidas reforzadas)</v>
      </c>
      <c r="Z626" s="171" t="str">
        <f>CONCATENATE(X626,"-",Y626)</f>
        <v>08-Infraestructura física, mantenimiento y dotación (Sedes construidas, mantenidas reforzadas)</v>
      </c>
      <c r="AA626" s="162" t="s">
        <v>227</v>
      </c>
      <c r="AB626" s="164" t="str">
        <f>IFERROR(VLOOKUP(AA626,TD!$N$51:$O$66,2,0)," ")</f>
        <v>Sedes mantenidas</v>
      </c>
      <c r="AC626" s="171" t="str">
        <f>CONCATENATE(AA626,"_",AB626)</f>
        <v>016_Sedes mantenidas</v>
      </c>
      <c r="AD626" s="171" t="str">
        <f>CONCATENATE(Z626," ",AC626)</f>
        <v>08-Infraestructura física, mantenimiento y dotación (Sedes construidas, mantenidas reforzadas) 016_Sedes mantenidas</v>
      </c>
      <c r="AE626" s="173" t="str">
        <f>CONCATENATE(U626,V626,W626,X626,AA626)</f>
        <v>O23011745992024020708016</v>
      </c>
      <c r="AF626" s="159" t="str">
        <f>IFERROR(VLOOKUP(AD626,TD!$J$66:$K$89,2,0)," ")</f>
        <v>PM/0131/0108/45990160207</v>
      </c>
      <c r="AG626" s="118" t="s">
        <v>385</v>
      </c>
      <c r="AH626" s="158" t="s">
        <v>193</v>
      </c>
      <c r="AI626" s="176" t="str">
        <f>CONCATENATE(PAA[[#This Row],[Id Interno]],"-",PAA[[#This Row],[tipo de Contrato (TH talento humano - B/S bienes y/o servicios)]],"-",S626,"-",T626,"-",PAA[[#This Row],[Objeto de la contratación]])</f>
        <v>20260615-TH-8126-9-Prestar los servicios profesionales  en la Oficina de Control Interno para el desarrollo del Plan Anual de Auditorías.</v>
      </c>
    </row>
    <row r="627" spans="2:35" ht="56" x14ac:dyDescent="0.35">
      <c r="B627" s="149">
        <v>20260616</v>
      </c>
      <c r="C627" s="99" t="s">
        <v>984</v>
      </c>
      <c r="D627" s="23" t="s">
        <v>105</v>
      </c>
      <c r="E627" s="23" t="s">
        <v>363</v>
      </c>
      <c r="F627" s="23" t="s">
        <v>145</v>
      </c>
      <c r="G627" s="129" t="s">
        <v>373</v>
      </c>
      <c r="H627" s="136">
        <v>8</v>
      </c>
      <c r="I627" s="136">
        <v>0</v>
      </c>
      <c r="J627" s="127">
        <v>28000000</v>
      </c>
      <c r="K627" s="88" t="s">
        <v>398</v>
      </c>
      <c r="L627" s="155" t="s">
        <v>158</v>
      </c>
      <c r="M627" s="158" t="s">
        <v>421</v>
      </c>
      <c r="N627" s="23" t="s">
        <v>198</v>
      </c>
      <c r="O627" s="162" t="s">
        <v>958</v>
      </c>
      <c r="P627" s="158" t="s">
        <v>348</v>
      </c>
      <c r="Q627" s="53">
        <v>80111600</v>
      </c>
      <c r="R627" s="158" t="s">
        <v>211</v>
      </c>
      <c r="S627" s="158" t="str">
        <f>MID(PAA[[#This Row],[Meta Proyecto de Inversión]],1,4)</f>
        <v>8173</v>
      </c>
      <c r="T627" s="158" t="str">
        <f>MID(PAA[[#This Row],[Meta Proyecto de Inversión]],6,1)</f>
        <v>2</v>
      </c>
      <c r="U627" s="159" t="str">
        <f>IFERROR(VLOOKUP(N627,TD!$B$50:$F$54,2,0)," ")</f>
        <v>O230117</v>
      </c>
      <c r="V627" s="159" t="str">
        <f>IFERROR(VLOOKUP(N627,TD!$B$50:$F$54,3,0)," ")</f>
        <v>4503</v>
      </c>
      <c r="W627" s="159">
        <f>IFERROR(VLOOKUP(N627,TD!$B$50:$F$54,4,0)," ")</f>
        <v>20240255</v>
      </c>
      <c r="X627" s="162" t="s">
        <v>164</v>
      </c>
      <c r="Y627" s="164" t="str">
        <f>IFERROR(VLOOKUP(X627,TD!$J$51:$K$64,2,0)," ")</f>
        <v>Servicio de atención a incidentes y emergencias.</v>
      </c>
      <c r="Z627" s="171" t="str">
        <f>CONCATENATE(X627,"-",Y627)</f>
        <v>04-Servicio de atención a incidentes y emergencias.</v>
      </c>
      <c r="AA627" s="162" t="s">
        <v>221</v>
      </c>
      <c r="AB627" s="164" t="str">
        <f>IFERROR(VLOOKUP(AA627,TD!$N$51:$O$66,2,0)," ")</f>
        <v>Servicio de atención a emergencias y desastres</v>
      </c>
      <c r="AC627" s="160" t="str">
        <f>CONCATENATE(AA627,"_",AB627)</f>
        <v>004_Servicio de atención a emergencias y desastres</v>
      </c>
      <c r="AD627" s="160" t="str">
        <f>CONCATENATE(Z627," ",AC627)</f>
        <v>04-Servicio de atención a incidentes y emergencias. 004_Servicio de atención a emergencias y desastres</v>
      </c>
      <c r="AE627" s="159" t="str">
        <f>CONCATENATE(U627,V627,W627,X627,AA627)</f>
        <v>O23011745032024025504004</v>
      </c>
      <c r="AF627" s="159" t="str">
        <f>IFERROR(VLOOKUP(AD627,TD!$J$66:$K$89,2,0)," ")</f>
        <v>PM/0131/0104/45030040255</v>
      </c>
      <c r="AG627" s="118" t="s">
        <v>385</v>
      </c>
      <c r="AH627" s="167" t="s">
        <v>193</v>
      </c>
      <c r="AI627" s="177" t="str">
        <f>CONCATENATE(PAA[[#This Row],[Id Interno]],"-",PAA[[#This Row],[tipo de Contrato (TH talento humano - B/S bienes y/o servicios)]],"-",S627,"-",T627,"-",PAA[[#This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28" spans="2:35" ht="56" x14ac:dyDescent="0.35">
      <c r="B628" s="142">
        <v>20260617</v>
      </c>
      <c r="C628" s="121" t="s">
        <v>985</v>
      </c>
      <c r="D628" s="130" t="s">
        <v>105</v>
      </c>
      <c r="E628" s="130" t="s">
        <v>363</v>
      </c>
      <c r="F628" s="130" t="s">
        <v>144</v>
      </c>
      <c r="G628" s="131" t="s">
        <v>373</v>
      </c>
      <c r="H628" s="137">
        <v>6</v>
      </c>
      <c r="I628" s="137">
        <v>0</v>
      </c>
      <c r="J628" s="132">
        <v>48000000</v>
      </c>
      <c r="K628" s="133" t="s">
        <v>398</v>
      </c>
      <c r="L628" s="172" t="s">
        <v>158</v>
      </c>
      <c r="M628" s="170" t="s">
        <v>421</v>
      </c>
      <c r="N628" s="130" t="s">
        <v>198</v>
      </c>
      <c r="O628" s="169" t="s">
        <v>958</v>
      </c>
      <c r="P628" s="170" t="s">
        <v>348</v>
      </c>
      <c r="Q628" s="134">
        <v>80111600</v>
      </c>
      <c r="R628" s="158" t="s">
        <v>211</v>
      </c>
      <c r="S628" s="170" t="str">
        <f>MID(PAA[[#This Row],[Meta Proyecto de Inversión]],1,4)</f>
        <v>8173</v>
      </c>
      <c r="T628" s="170" t="str">
        <f>MID(PAA[[#This Row],[Meta Proyecto de Inversión]],6,1)</f>
        <v>2</v>
      </c>
      <c r="U628" s="173" t="str">
        <f>IFERROR(VLOOKUP(N628,TD!$B$50:$F$54,2,0)," ")</f>
        <v>O230117</v>
      </c>
      <c r="V628" s="173" t="str">
        <f>IFERROR(VLOOKUP(N628,TD!$B$50:$F$54,3,0)," ")</f>
        <v>4503</v>
      </c>
      <c r="W628" s="173">
        <f>IFERROR(VLOOKUP(N628,TD!$B$50:$F$54,4,0)," ")</f>
        <v>20240255</v>
      </c>
      <c r="X628" s="162" t="s">
        <v>164</v>
      </c>
      <c r="Y628" s="164" t="str">
        <f>IFERROR(VLOOKUP(X628,TD!$J$51:$K$64,2,0)," ")</f>
        <v>Servicio de atención a incidentes y emergencias.</v>
      </c>
      <c r="Z628" s="171" t="str">
        <f>CONCATENATE(X628,"-",Y628)</f>
        <v>04-Servicio de atención a incidentes y emergencias.</v>
      </c>
      <c r="AA628" s="162" t="s">
        <v>221</v>
      </c>
      <c r="AB628" s="164" t="str">
        <f>IFERROR(VLOOKUP(AA628,TD!$N$51:$O$66,2,0)," ")</f>
        <v>Servicio de atención a emergencias y desastres</v>
      </c>
      <c r="AC628" s="171" t="str">
        <f>CONCATENATE(AA628,"_",AB628)</f>
        <v>004_Servicio de atención a emergencias y desastres</v>
      </c>
      <c r="AD628" s="171" t="str">
        <f>CONCATENATE(Z628," ",AC628)</f>
        <v>04-Servicio de atención a incidentes y emergencias. 004_Servicio de atención a emergencias y desastres</v>
      </c>
      <c r="AE628" s="173" t="str">
        <f>CONCATENATE(U628,V628,W628,X628,AA628)</f>
        <v>O23011745032024025504004</v>
      </c>
      <c r="AF628" s="159" t="str">
        <f>IFERROR(VLOOKUP(AD628,TD!$J$66:$K$89,2,0)," ")</f>
        <v>PM/0131/0104/45030040255</v>
      </c>
      <c r="AG628" s="118" t="s">
        <v>385</v>
      </c>
      <c r="AH628" s="175" t="s">
        <v>193</v>
      </c>
      <c r="AI628" s="176" t="str">
        <f>CONCATENATE(PAA[[#This Row],[Id Interno]],"-",PAA[[#This Row],[tipo de Contrato (TH talento humano - B/S bienes y/o servicios)]],"-",S628,"-",T628,"-",PAA[[#This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29" spans="2:35" ht="56" x14ac:dyDescent="0.35">
      <c r="B629" s="142">
        <v>20260619</v>
      </c>
      <c r="C629" s="121" t="s">
        <v>987</v>
      </c>
      <c r="D629" s="130" t="s">
        <v>114</v>
      </c>
      <c r="E629" s="130" t="s">
        <v>402</v>
      </c>
      <c r="F629" s="130" t="s">
        <v>79</v>
      </c>
      <c r="G629" s="131" t="s">
        <v>373</v>
      </c>
      <c r="H629" s="137">
        <v>2</v>
      </c>
      <c r="I629" s="137">
        <v>0</v>
      </c>
      <c r="J629" s="132">
        <v>5093340</v>
      </c>
      <c r="K629" s="133" t="s">
        <v>398</v>
      </c>
      <c r="L629" s="172" t="s">
        <v>158</v>
      </c>
      <c r="M629" s="170" t="s">
        <v>421</v>
      </c>
      <c r="N629" s="130" t="s">
        <v>198</v>
      </c>
      <c r="O629" s="169" t="s">
        <v>958</v>
      </c>
      <c r="P629" s="170" t="s">
        <v>348</v>
      </c>
      <c r="Q629" s="134">
        <v>80111600</v>
      </c>
      <c r="R629" s="170" t="s">
        <v>211</v>
      </c>
      <c r="S629" s="170" t="str">
        <f>MID(PAA[[#This Row],[Meta Proyecto de Inversión]],1,4)</f>
        <v>8173</v>
      </c>
      <c r="T629" s="170" t="str">
        <f>MID(PAA[[#This Row],[Meta Proyecto de Inversión]],6,1)</f>
        <v>2</v>
      </c>
      <c r="U629" s="173" t="str">
        <f>IFERROR(VLOOKUP(N629,TD!$B$50:$F$54,2,0)," ")</f>
        <v>O230117</v>
      </c>
      <c r="V629" s="173" t="str">
        <f>IFERROR(VLOOKUP(N629,TD!$B$50:$F$54,3,0)," ")</f>
        <v>4503</v>
      </c>
      <c r="W629" s="173">
        <f>IFERROR(VLOOKUP(N629,TD!$B$50:$F$54,4,0)," ")</f>
        <v>20240255</v>
      </c>
      <c r="X629" s="162" t="s">
        <v>178</v>
      </c>
      <c r="Y629" s="164" t="str">
        <f>IFERROR(VLOOKUP(X629,TD!$J$51:$K$64,2,0)," ")</f>
        <v>Servicio de dotación y equipamento para el personal operativo</v>
      </c>
      <c r="Z629" s="171" t="str">
        <f>CONCATENATE(X629,"-",Y629)</f>
        <v>10-Servicio de dotación y equipamento para el personal operativo</v>
      </c>
      <c r="AA629" s="162" t="s">
        <v>221</v>
      </c>
      <c r="AB629" s="164" t="str">
        <f>IFERROR(VLOOKUP(AA629,TD!$N$51:$O$66,2,0)," ")</f>
        <v>Servicio de atención a emergencias y desastres</v>
      </c>
      <c r="AC629" s="171" t="str">
        <f>CONCATENATE(AA629,"_",AB629)</f>
        <v>004_Servicio de atención a emergencias y desastres</v>
      </c>
      <c r="AD629" s="171" t="str">
        <f>CONCATENATE(Z629," ",AC629)</f>
        <v>10-Servicio de dotación y equipamento para el personal operativo 004_Servicio de atención a emergencias y desastres</v>
      </c>
      <c r="AE629" s="173" t="str">
        <f>CONCATENATE(U629,V629,W629,X629,AA629)</f>
        <v>O23011745032024025510004</v>
      </c>
      <c r="AF629" s="159" t="str">
        <f>IFERROR(VLOOKUP(AD629,TD!$J$66:$K$89,2,0)," ")</f>
        <v>PM/0131/0110/45030040255</v>
      </c>
      <c r="AG629" s="135" t="s">
        <v>80</v>
      </c>
      <c r="AH629" s="175" t="s">
        <v>194</v>
      </c>
      <c r="AI629" s="176" t="str">
        <f>CONCATENATE(PAA[[#This Row],[Id Interno]],"-",PAA[[#This Row],[tipo de Contrato (TH talento humano - B/S bienes y/o servicios)]],"-",S629,"-",T629,"-",PAA[[#This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30" spans="2:35" ht="84" x14ac:dyDescent="0.35">
      <c r="B630" s="142">
        <v>20260620</v>
      </c>
      <c r="C630" s="121" t="s">
        <v>988</v>
      </c>
      <c r="D630" s="130" t="s">
        <v>119</v>
      </c>
      <c r="E630" s="130" t="s">
        <v>402</v>
      </c>
      <c r="F630" s="130" t="s">
        <v>128</v>
      </c>
      <c r="G630" s="131" t="s">
        <v>380</v>
      </c>
      <c r="H630" s="137">
        <v>11</v>
      </c>
      <c r="I630" s="137">
        <v>0</v>
      </c>
      <c r="J630" s="132">
        <v>180000000</v>
      </c>
      <c r="K630" s="133" t="s">
        <v>398</v>
      </c>
      <c r="L630" s="172" t="s">
        <v>154</v>
      </c>
      <c r="M630" s="170" t="s">
        <v>460</v>
      </c>
      <c r="N630" s="130" t="s">
        <v>330</v>
      </c>
      <c r="O630" s="170" t="s">
        <v>957</v>
      </c>
      <c r="P630" s="170" t="s">
        <v>161</v>
      </c>
      <c r="Q630" s="134" t="s">
        <v>333</v>
      </c>
      <c r="R630" s="170" t="s">
        <v>331</v>
      </c>
      <c r="S630" s="170" t="str">
        <f>MID(PAA[[#This Row],[Meta Proyecto de Inversión]],1,4)</f>
        <v>No a</v>
      </c>
      <c r="T630" s="170" t="str">
        <f>MID(PAA[[#This Row],[Meta Proyecto de Inversión]],6,1)</f>
        <v>l</v>
      </c>
      <c r="U630" s="173" t="str">
        <f>IFERROR(VLOOKUP(N630,TD!$B$50:$F$54,2,0)," ")</f>
        <v>NA</v>
      </c>
      <c r="V630" s="173" t="str">
        <f>IFERROR(VLOOKUP(N630,TD!$B$50:$F$54,3,0)," ")</f>
        <v>NA</v>
      </c>
      <c r="W630" s="173" t="str">
        <f>IFERROR(VLOOKUP(N630,TD!$B$50:$F$54,4,0)," ")</f>
        <v>NA</v>
      </c>
      <c r="X630" s="162" t="s">
        <v>335</v>
      </c>
      <c r="Y630" s="164" t="str">
        <f>IFERROR(VLOOKUP(X630,TD!$J$51:$K$64,2,0)," ")</f>
        <v>N/A</v>
      </c>
      <c r="Z630" s="171" t="str">
        <f>CONCATENATE(X630,"-",Y630)</f>
        <v>N/A-N/A</v>
      </c>
      <c r="AA630" s="162" t="s">
        <v>335</v>
      </c>
      <c r="AB630" s="164" t="str">
        <f>IFERROR(VLOOKUP(AA630,TD!$N$51:$O$66,2,0)," ")</f>
        <v>N/A</v>
      </c>
      <c r="AC630" s="171" t="str">
        <f>CONCATENATE(AA630,"_",AB630)</f>
        <v>N/A_N/A</v>
      </c>
      <c r="AD630" s="171" t="str">
        <f>CONCATENATE(Z630," ",AC630)</f>
        <v>N/A-N/A N/A_N/A</v>
      </c>
      <c r="AE630" s="173" t="str">
        <f>CONCATENATE(U630,V630,W630,X630,AA630)</f>
        <v>NANANAN/AN/A</v>
      </c>
      <c r="AF630" s="159" t="str">
        <f>IFERROR(VLOOKUP(AD630,TD!$J$66:$K$89,2,0)," ")</f>
        <v>N/A</v>
      </c>
      <c r="AG630" s="135" t="s">
        <v>332</v>
      </c>
      <c r="AH630" s="175" t="s">
        <v>193</v>
      </c>
      <c r="AI630" s="178" t="str">
        <f>CONCATENATE(PAA[[#This Row],[Id Interno]],"-",PAA[[#This Row],[tipo de Contrato (TH talento humano - B/S bienes y/o servicios)]],"-",S630,"-",T630,"-",PAA[[#This Row],[Objeto de la contratación]])</f>
        <v>20260620-BS-No a-l-SGH - INCENTIVOS</v>
      </c>
    </row>
    <row r="631" spans="2:35" ht="112" x14ac:dyDescent="0.35">
      <c r="B631" s="149">
        <v>20260621</v>
      </c>
      <c r="C631" s="99" t="s">
        <v>989</v>
      </c>
      <c r="D631" s="23" t="s">
        <v>105</v>
      </c>
      <c r="E631" s="23" t="s">
        <v>363</v>
      </c>
      <c r="F631" s="23" t="s">
        <v>144</v>
      </c>
      <c r="G631" s="129" t="s">
        <v>373</v>
      </c>
      <c r="H631" s="136">
        <v>3</v>
      </c>
      <c r="I631" s="136">
        <v>0</v>
      </c>
      <c r="J631" s="127">
        <v>29400000</v>
      </c>
      <c r="K631" s="88" t="s">
        <v>398</v>
      </c>
      <c r="L631" s="155" t="s">
        <v>154</v>
      </c>
      <c r="M631" s="158" t="s">
        <v>460</v>
      </c>
      <c r="N631" s="23" t="s">
        <v>197</v>
      </c>
      <c r="O631" s="158" t="s">
        <v>957</v>
      </c>
      <c r="P631" s="158" t="s">
        <v>348</v>
      </c>
      <c r="Q631" s="53">
        <v>80111600</v>
      </c>
      <c r="R631" s="158" t="s">
        <v>208</v>
      </c>
      <c r="S631" s="158" t="str">
        <f>MID(PAA[[#This Row],[Meta Proyecto de Inversión]],1,4)</f>
        <v>8126</v>
      </c>
      <c r="T631" s="158" t="str">
        <f>MID(PAA[[#This Row],[Meta Proyecto de Inversión]],6,1)</f>
        <v>9</v>
      </c>
      <c r="U631" s="159" t="str">
        <f>IFERROR(VLOOKUP(N631,TD!$B$50:$F$54,2,0)," ")</f>
        <v>O230117</v>
      </c>
      <c r="V631" s="159" t="str">
        <f>IFERROR(VLOOKUP(N631,TD!$B$50:$F$54,3,0)," ")</f>
        <v>4599</v>
      </c>
      <c r="W631" s="159">
        <f>IFERROR(VLOOKUP(N631,TD!$B$50:$F$54,4,0)," ")</f>
        <v>20240207</v>
      </c>
      <c r="X631" s="162" t="s">
        <v>174</v>
      </c>
      <c r="Y631" s="164" t="str">
        <f>IFERROR(VLOOKUP(X631,TD!$J$51:$K$64,2,0)," ")</f>
        <v>Infraestructura física, mantenimiento y dotación (Sedes construidas, mantenidas reforzadas)</v>
      </c>
      <c r="Z631" s="171" t="str">
        <f>CONCATENATE(X631,"-",Y631)</f>
        <v>08-Infraestructura física, mantenimiento y dotación (Sedes construidas, mantenidas reforzadas)</v>
      </c>
      <c r="AA631" s="162" t="s">
        <v>227</v>
      </c>
      <c r="AB631" s="164" t="str">
        <f>IFERROR(VLOOKUP(AA631,TD!$N$51:$O$66,2,0)," ")</f>
        <v>Sedes mantenidas</v>
      </c>
      <c r="AC631" s="160" t="str">
        <f>CONCATENATE(AA631,"_",AB631)</f>
        <v>016_Sedes mantenidas</v>
      </c>
      <c r="AD631" s="160" t="str">
        <f>CONCATENATE(Z631," ",AC631)</f>
        <v>08-Infraestructura física, mantenimiento y dotación (Sedes construidas, mantenidas reforzadas) 016_Sedes mantenidas</v>
      </c>
      <c r="AE631" s="159" t="str">
        <f>CONCATENATE(U631,V631,W631,X631,AA631)</f>
        <v>O23011745992024020708016</v>
      </c>
      <c r="AF631" s="159" t="str">
        <f>IFERROR(VLOOKUP(AD631,TD!$J$66:$K$89,2,0)," ")</f>
        <v>PM/0131/0108/45990160207</v>
      </c>
      <c r="AG631" s="118" t="s">
        <v>385</v>
      </c>
      <c r="AH631" s="167" t="s">
        <v>193</v>
      </c>
      <c r="AI631" s="177" t="str">
        <f>CONCATENATE(PAA[[#This Row],[Id Interno]],"-",PAA[[#This Row],[tipo de Contrato (TH talento humano - B/S bienes y/o servicios)]],"-",S631,"-",T631,"-",PAA[[#This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32" spans="2:35" ht="56" x14ac:dyDescent="0.35">
      <c r="B632" s="142">
        <v>20260623</v>
      </c>
      <c r="C632" s="121" t="s">
        <v>698</v>
      </c>
      <c r="D632" s="130" t="s">
        <v>105</v>
      </c>
      <c r="E632" s="130" t="s">
        <v>363</v>
      </c>
      <c r="F632" s="130" t="s">
        <v>145</v>
      </c>
      <c r="G632" s="131" t="s">
        <v>373</v>
      </c>
      <c r="H632" s="137">
        <v>6</v>
      </c>
      <c r="I632" s="137">
        <v>0</v>
      </c>
      <c r="J632" s="132">
        <v>16890834</v>
      </c>
      <c r="K632" s="133" t="s">
        <v>398</v>
      </c>
      <c r="L632" s="172" t="s">
        <v>155</v>
      </c>
      <c r="M632" s="170" t="s">
        <v>422</v>
      </c>
      <c r="N632" s="130" t="s">
        <v>197</v>
      </c>
      <c r="O632" s="170" t="s">
        <v>957</v>
      </c>
      <c r="P632" s="170" t="s">
        <v>348</v>
      </c>
      <c r="Q632" s="134" t="s">
        <v>778</v>
      </c>
      <c r="R632" s="170" t="s">
        <v>208</v>
      </c>
      <c r="S632" s="170" t="str">
        <f>MID(PAA[[#This Row],[Meta Proyecto de Inversión]],1,4)</f>
        <v>8126</v>
      </c>
      <c r="T632" s="170" t="str">
        <f>MID(PAA[[#This Row],[Meta Proyecto de Inversión]],6,1)</f>
        <v>9</v>
      </c>
      <c r="U632" s="173" t="str">
        <f>IFERROR(VLOOKUP(N632,TD!$B$50:$F$54,2,0)," ")</f>
        <v>O230117</v>
      </c>
      <c r="V632" s="173" t="str">
        <f>IFERROR(VLOOKUP(N632,TD!$B$50:$F$54,3,0)," ")</f>
        <v>4599</v>
      </c>
      <c r="W632" s="173">
        <f>IFERROR(VLOOKUP(N632,TD!$B$50:$F$54,4,0)," ")</f>
        <v>20240207</v>
      </c>
      <c r="X632" s="158" t="s">
        <v>174</v>
      </c>
      <c r="Y632" s="159" t="str">
        <f>IFERROR(VLOOKUP(X632,TD!$J$51:$K$64,2,0)," ")</f>
        <v>Infraestructura física, mantenimiento y dotación (Sedes construidas, mantenidas reforzadas)</v>
      </c>
      <c r="Z632" s="171" t="str">
        <f>CONCATENATE(X632,"-",Y632)</f>
        <v>08-Infraestructura física, mantenimiento y dotación (Sedes construidas, mantenidas reforzadas)</v>
      </c>
      <c r="AA632" s="158" t="s">
        <v>227</v>
      </c>
      <c r="AB632" s="159" t="str">
        <f>IFERROR(VLOOKUP(AA632,TD!$N$51:$O$66,2,0)," ")</f>
        <v>Sedes mantenidas</v>
      </c>
      <c r="AC632" s="171" t="str">
        <f>CONCATENATE(AA632,"_",AB632)</f>
        <v>016_Sedes mantenidas</v>
      </c>
      <c r="AD632" s="171" t="str">
        <f>CONCATENATE(Z632," ",AC632)</f>
        <v>08-Infraestructura física, mantenimiento y dotación (Sedes construidas, mantenidas reforzadas) 016_Sedes mantenidas</v>
      </c>
      <c r="AE632" s="173" t="str">
        <f>CONCATENATE(U632,V632,W632,X632,AA632)</f>
        <v>O23011745992024020708016</v>
      </c>
      <c r="AF632" s="159" t="str">
        <f>IFERROR(VLOOKUP(AD632,TD!$J$66:$K$89,2,0)," ")</f>
        <v>PM/0131/0108/45990160207</v>
      </c>
      <c r="AG632" s="118" t="s">
        <v>385</v>
      </c>
      <c r="AH632" s="175" t="s">
        <v>193</v>
      </c>
      <c r="AI632" s="176" t="str">
        <f>CONCATENATE(PAA[[#This Row],[Id Interno]],"-",PAA[[#This Row],[tipo de Contrato (TH talento humano - B/S bienes y/o servicios)]],"-",S632,"-",T632,"-",PAA[[#This Row],[Objeto de la contratación]])</f>
        <v>20260623-TH-8126-9-Prestación de servicios de apoyo a la gestión documental de la Subdirección de Gestión Corporativa de la Unidad.-SGC</v>
      </c>
    </row>
    <row r="633" spans="2:35" ht="70" x14ac:dyDescent="0.35">
      <c r="B633" s="142">
        <v>20260624</v>
      </c>
      <c r="C633" s="121" t="s">
        <v>990</v>
      </c>
      <c r="D633" s="130" t="s">
        <v>105</v>
      </c>
      <c r="E633" s="130" t="s">
        <v>363</v>
      </c>
      <c r="F633" s="130" t="s">
        <v>145</v>
      </c>
      <c r="G633" s="131" t="s">
        <v>373</v>
      </c>
      <c r="H633" s="137">
        <v>6</v>
      </c>
      <c r="I633" s="137">
        <v>0</v>
      </c>
      <c r="J633" s="132">
        <v>22118946</v>
      </c>
      <c r="K633" s="133" t="s">
        <v>398</v>
      </c>
      <c r="L633" s="172" t="s">
        <v>155</v>
      </c>
      <c r="M633" s="170" t="s">
        <v>422</v>
      </c>
      <c r="N633" s="130" t="s">
        <v>197</v>
      </c>
      <c r="O633" s="170" t="s">
        <v>957</v>
      </c>
      <c r="P633" s="170" t="s">
        <v>348</v>
      </c>
      <c r="Q633" s="134" t="s">
        <v>778</v>
      </c>
      <c r="R633" s="170" t="s">
        <v>208</v>
      </c>
      <c r="S633" s="170" t="str">
        <f>MID(PAA[[#This Row],[Meta Proyecto de Inversión]],1,4)</f>
        <v>8126</v>
      </c>
      <c r="T633" s="170" t="str">
        <f>MID(PAA[[#This Row],[Meta Proyecto de Inversión]],6,1)</f>
        <v>9</v>
      </c>
      <c r="U633" s="173" t="str">
        <f>IFERROR(VLOOKUP(N633,TD!$B$50:$F$54,2,0)," ")</f>
        <v>O230117</v>
      </c>
      <c r="V633" s="173" t="str">
        <f>IFERROR(VLOOKUP(N633,TD!$B$50:$F$54,3,0)," ")</f>
        <v>4599</v>
      </c>
      <c r="W633" s="173">
        <f>IFERROR(VLOOKUP(N633,TD!$B$50:$F$54,4,0)," ")</f>
        <v>20240207</v>
      </c>
      <c r="X633" s="158" t="s">
        <v>174</v>
      </c>
      <c r="Y633" s="159" t="str">
        <f>IFERROR(VLOOKUP(X633,TD!$J$51:$K$64,2,0)," ")</f>
        <v>Infraestructura física, mantenimiento y dotación (Sedes construidas, mantenidas reforzadas)</v>
      </c>
      <c r="Z633" s="171" t="str">
        <f>CONCATENATE(X633,"-",Y633)</f>
        <v>08-Infraestructura física, mantenimiento y dotación (Sedes construidas, mantenidas reforzadas)</v>
      </c>
      <c r="AA633" s="158" t="s">
        <v>227</v>
      </c>
      <c r="AB633" s="159" t="str">
        <f>IFERROR(VLOOKUP(AA633,TD!$N$51:$O$66,2,0)," ")</f>
        <v>Sedes mantenidas</v>
      </c>
      <c r="AC633" s="171" t="str">
        <f>CONCATENATE(AA633,"_",AB633)</f>
        <v>016_Sedes mantenidas</v>
      </c>
      <c r="AD633" s="171" t="str">
        <f>CONCATENATE(Z633," ",AC633)</f>
        <v>08-Infraestructura física, mantenimiento y dotación (Sedes construidas, mantenidas reforzadas) 016_Sedes mantenidas</v>
      </c>
      <c r="AE633" s="173" t="str">
        <f>CONCATENATE(U633,V633,W633,X633,AA633)</f>
        <v>O23011745992024020708016</v>
      </c>
      <c r="AF633" s="159" t="str">
        <f>IFERROR(VLOOKUP(AD633,TD!$J$66:$K$89,2,0)," ")</f>
        <v>PM/0131/0108/45990160207</v>
      </c>
      <c r="AG633" s="118" t="s">
        <v>385</v>
      </c>
      <c r="AH633" s="175" t="s">
        <v>193</v>
      </c>
      <c r="AI633" s="176" t="str">
        <f>CONCATENATE(PAA[[#This Row],[Id Interno]],"-",PAA[[#This Row],[tipo de Contrato (TH talento humano - B/S bienes y/o servicios)]],"-",S633,"-",T633,"-",PAA[[#This Row],[Objeto de la contratación]])</f>
        <v>20260624-TH-8126-9- Prestación de servicios de apoyo a la gestión en la Subdirección de Gestión Corporativa, en las actividades asociadas a los procesos y procedimientos del almacén de la Entidad.- SGC</v>
      </c>
    </row>
    <row r="634" spans="2:35" ht="70" x14ac:dyDescent="0.35">
      <c r="B634" s="142">
        <v>20260625</v>
      </c>
      <c r="C634" s="121" t="s">
        <v>991</v>
      </c>
      <c r="D634" s="130" t="s">
        <v>105</v>
      </c>
      <c r="E634" s="130" t="s">
        <v>363</v>
      </c>
      <c r="F634" s="130" t="s">
        <v>144</v>
      </c>
      <c r="G634" s="131" t="s">
        <v>373</v>
      </c>
      <c r="H634" s="137">
        <v>7</v>
      </c>
      <c r="I634" s="137">
        <v>0</v>
      </c>
      <c r="J634" s="132">
        <v>54600000</v>
      </c>
      <c r="K634" s="133" t="s">
        <v>398</v>
      </c>
      <c r="L634" s="172" t="s">
        <v>154</v>
      </c>
      <c r="M634" s="170" t="s">
        <v>460</v>
      </c>
      <c r="N634" s="130" t="s">
        <v>198</v>
      </c>
      <c r="O634" s="170" t="s">
        <v>958</v>
      </c>
      <c r="P634" s="170" t="s">
        <v>348</v>
      </c>
      <c r="Q634" s="134">
        <v>80111600</v>
      </c>
      <c r="R634" s="170" t="s">
        <v>218</v>
      </c>
      <c r="S634" s="170" t="str">
        <f>MID(PAA[[#This Row],[Meta Proyecto de Inversión]],1,4)</f>
        <v>8173</v>
      </c>
      <c r="T634" s="170" t="str">
        <f>MID(PAA[[#This Row],[Meta Proyecto de Inversión]],6,1)</f>
        <v>9</v>
      </c>
      <c r="U634" s="173" t="str">
        <f>IFERROR(VLOOKUP(N634,TD!$B$50:$F$54,2,0)," ")</f>
        <v>O230117</v>
      </c>
      <c r="V634" s="173" t="str">
        <f>IFERROR(VLOOKUP(N634,TD!$B$50:$F$54,3,0)," ")</f>
        <v>4503</v>
      </c>
      <c r="W634" s="173">
        <f>IFERROR(VLOOKUP(N634,TD!$B$50:$F$54,4,0)," ")</f>
        <v>20240255</v>
      </c>
      <c r="X634" s="158" t="s">
        <v>172</v>
      </c>
      <c r="Y634" s="159" t="str">
        <f>IFERROR(VLOOKUP(X634,TD!$J$51:$K$64,2,0)," ")</f>
        <v>Servicio de formación en gestión del riesgo de incendios para el personal UAECOB</v>
      </c>
      <c r="Z634" s="171" t="str">
        <f>CONCATENATE(X634,"-",Y634)</f>
        <v>07-Servicio de formación en gestión del riesgo de incendios para el personal UAECOB</v>
      </c>
      <c r="AA634" s="158" t="s">
        <v>222</v>
      </c>
      <c r="AB634" s="159" t="str">
        <f>IFERROR(VLOOKUP(AA634,TD!$N$51:$O$66,2,0)," ")</f>
        <v>Servicio de educación informal</v>
      </c>
      <c r="AC634" s="171" t="str">
        <f>CONCATENATE(AA634,"_",AB634)</f>
        <v>002_Servicio de educación informal</v>
      </c>
      <c r="AD634" s="171" t="str">
        <f>CONCATENATE(Z634," ",AC634)</f>
        <v>07-Servicio de formación en gestión del riesgo de incendios para el personal UAECOB 002_Servicio de educación informal</v>
      </c>
      <c r="AE634" s="173" t="str">
        <f>CONCATENATE(U634,V634,W634,X634,AA634)</f>
        <v>O23011745032024025507002</v>
      </c>
      <c r="AF634" s="159" t="str">
        <f>IFERROR(VLOOKUP(AD634,TD!$J$66:$K$89,2,0)," ")</f>
        <v>PM/0131/0107/45030020255</v>
      </c>
      <c r="AG634" s="135" t="s">
        <v>385</v>
      </c>
      <c r="AH634" s="175" t="s">
        <v>193</v>
      </c>
      <c r="AI634" s="176" t="str">
        <f>CONCATENATE(PAA[[#This Row],[Id Interno]],"-",PAA[[#This Row],[tipo de Contrato (TH talento humano - B/S bienes y/o servicios)]],"-",S634,"-",T634,"-",PAA[[#This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635" spans="2:35" ht="56" x14ac:dyDescent="0.35">
      <c r="B635" s="142">
        <v>20260626</v>
      </c>
      <c r="C635" s="121" t="s">
        <v>992</v>
      </c>
      <c r="D635" s="130" t="s">
        <v>105</v>
      </c>
      <c r="E635" s="130" t="s">
        <v>363</v>
      </c>
      <c r="F635" s="130" t="s">
        <v>145</v>
      </c>
      <c r="G635" s="131" t="s">
        <v>373</v>
      </c>
      <c r="H635" s="137">
        <v>7</v>
      </c>
      <c r="I635" s="137">
        <v>0</v>
      </c>
      <c r="J635" s="132">
        <v>25830000</v>
      </c>
      <c r="K635" s="133" t="s">
        <v>398</v>
      </c>
      <c r="L635" s="172" t="s">
        <v>154</v>
      </c>
      <c r="M635" s="170" t="s">
        <v>460</v>
      </c>
      <c r="N635" s="130" t="s">
        <v>198</v>
      </c>
      <c r="O635" s="170" t="s">
        <v>958</v>
      </c>
      <c r="P635" s="170" t="s">
        <v>348</v>
      </c>
      <c r="Q635" s="134">
        <v>80111600</v>
      </c>
      <c r="R635" s="170" t="s">
        <v>218</v>
      </c>
      <c r="S635" s="170" t="str">
        <f>MID(PAA[[#This Row],[Meta Proyecto de Inversión]],1,4)</f>
        <v>8173</v>
      </c>
      <c r="T635" s="170" t="str">
        <f>MID(PAA[[#This Row],[Meta Proyecto de Inversión]],6,1)</f>
        <v>9</v>
      </c>
      <c r="U635" s="173" t="str">
        <f>IFERROR(VLOOKUP(N635,TD!$B$50:$F$54,2,0)," ")</f>
        <v>O230117</v>
      </c>
      <c r="V635" s="173" t="str">
        <f>IFERROR(VLOOKUP(N635,TD!$B$50:$F$54,3,0)," ")</f>
        <v>4503</v>
      </c>
      <c r="W635" s="173">
        <f>IFERROR(VLOOKUP(N635,TD!$B$50:$F$54,4,0)," ")</f>
        <v>20240255</v>
      </c>
      <c r="X635" s="158" t="s">
        <v>172</v>
      </c>
      <c r="Y635" s="159" t="str">
        <f>IFERROR(VLOOKUP(X635,TD!$J$51:$K$64,2,0)," ")</f>
        <v>Servicio de formación en gestión del riesgo de incendios para el personal UAECOB</v>
      </c>
      <c r="Z635" s="171" t="str">
        <f>CONCATENATE(X635,"-",Y635)</f>
        <v>07-Servicio de formación en gestión del riesgo de incendios para el personal UAECOB</v>
      </c>
      <c r="AA635" s="158" t="s">
        <v>222</v>
      </c>
      <c r="AB635" s="159" t="str">
        <f>IFERROR(VLOOKUP(AA635,TD!$N$51:$O$66,2,0)," ")</f>
        <v>Servicio de educación informal</v>
      </c>
      <c r="AC635" s="171" t="str">
        <f>CONCATENATE(AA635,"_",AB635)</f>
        <v>002_Servicio de educación informal</v>
      </c>
      <c r="AD635" s="171" t="str">
        <f>CONCATENATE(Z635," ",AC635)</f>
        <v>07-Servicio de formación en gestión del riesgo de incendios para el personal UAECOB 002_Servicio de educación informal</v>
      </c>
      <c r="AE635" s="173" t="str">
        <f>CONCATENATE(U635,V635,W635,X635,AA635)</f>
        <v>O23011745032024025507002</v>
      </c>
      <c r="AF635" s="159" t="str">
        <f>IFERROR(VLOOKUP(AD635,TD!$J$66:$K$89,2,0)," ")</f>
        <v>PM/0131/0107/45030020255</v>
      </c>
      <c r="AG635" s="135" t="s">
        <v>385</v>
      </c>
      <c r="AH635" s="175" t="s">
        <v>193</v>
      </c>
      <c r="AI635" s="176" t="str">
        <f>CONCATENATE(PAA[[#This Row],[Id Interno]],"-",PAA[[#This Row],[tipo de Contrato (TH talento humano - B/S bienes y/o servicios)]],"-",S635,"-",T635,"-",PAA[[#This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636" spans="2:35" ht="56" x14ac:dyDescent="0.35">
      <c r="B636" s="142">
        <v>20260627</v>
      </c>
      <c r="C636" s="121" t="s">
        <v>995</v>
      </c>
      <c r="D636" s="130" t="s">
        <v>105</v>
      </c>
      <c r="E636" s="130" t="s">
        <v>363</v>
      </c>
      <c r="F636" s="130" t="s">
        <v>145</v>
      </c>
      <c r="G636" s="131" t="s">
        <v>373</v>
      </c>
      <c r="H636" s="137">
        <v>7</v>
      </c>
      <c r="I636" s="137">
        <v>0</v>
      </c>
      <c r="J636" s="132">
        <v>25802000</v>
      </c>
      <c r="K636" s="133" t="s">
        <v>398</v>
      </c>
      <c r="L636" s="172" t="s">
        <v>158</v>
      </c>
      <c r="M636" s="170" t="s">
        <v>421</v>
      </c>
      <c r="N636" s="130" t="s">
        <v>198</v>
      </c>
      <c r="O636" s="170" t="s">
        <v>958</v>
      </c>
      <c r="P636" s="170" t="s">
        <v>348</v>
      </c>
      <c r="Q636" s="134">
        <v>80111600</v>
      </c>
      <c r="R636" s="170" t="s">
        <v>211</v>
      </c>
      <c r="S636" s="170" t="str">
        <f>MID(PAA[[#This Row],[Meta Proyecto de Inversión]],1,4)</f>
        <v>8173</v>
      </c>
      <c r="T636" s="170" t="str">
        <f>MID(PAA[[#This Row],[Meta Proyecto de Inversión]],6,1)</f>
        <v>2</v>
      </c>
      <c r="U636" s="173" t="str">
        <f>IFERROR(VLOOKUP(N636,TD!$B$50:$F$54,2,0)," ")</f>
        <v>O230117</v>
      </c>
      <c r="V636" s="173" t="str">
        <f>IFERROR(VLOOKUP(N636,TD!$B$50:$F$54,3,0)," ")</f>
        <v>4503</v>
      </c>
      <c r="W636" s="173">
        <f>IFERROR(VLOOKUP(N636,TD!$B$50:$F$54,4,0)," ")</f>
        <v>20240255</v>
      </c>
      <c r="X636" s="158" t="s">
        <v>164</v>
      </c>
      <c r="Y636" s="159" t="str">
        <f>IFERROR(VLOOKUP(X636,TD!$J$51:$K$64,2,0)," ")</f>
        <v>Servicio de atención a incidentes y emergencias.</v>
      </c>
      <c r="Z636" s="171" t="str">
        <f>CONCATENATE(X636,"-",Y636)</f>
        <v>04-Servicio de atención a incidentes y emergencias.</v>
      </c>
      <c r="AA636" s="158" t="s">
        <v>221</v>
      </c>
      <c r="AB636" s="159" t="str">
        <f>IFERROR(VLOOKUP(AA636,TD!$N$51:$O$66,2,0)," ")</f>
        <v>Servicio de atención a emergencias y desastres</v>
      </c>
      <c r="AC636" s="171" t="str">
        <f>CONCATENATE(AA636,"_",AB636)</f>
        <v>004_Servicio de atención a emergencias y desastres</v>
      </c>
      <c r="AD636" s="171" t="str">
        <f>CONCATENATE(Z636," ",AC636)</f>
        <v>04-Servicio de atención a incidentes y emergencias. 004_Servicio de atención a emergencias y desastres</v>
      </c>
      <c r="AE636" s="173" t="str">
        <f>CONCATENATE(U636,V636,W636,X636,AA636)</f>
        <v>O23011745032024025504004</v>
      </c>
      <c r="AF636" s="159" t="str">
        <f>IFERROR(VLOOKUP(AD636,TD!$J$66:$K$89,2,0)," ")</f>
        <v>PM/0131/0104/45030040255</v>
      </c>
      <c r="AG636" s="135" t="s">
        <v>385</v>
      </c>
      <c r="AH636" s="175" t="s">
        <v>193</v>
      </c>
      <c r="AI636" s="176" t="str">
        <f>CONCATENATE(PAA[[#This Row],[Id Interno]],"-",PAA[[#This Row],[tipo de Contrato (TH talento humano - B/S bienes y/o servicios)]],"-",S636,"-",T636,"-",PAA[[#This Row],[Objeto de la contratación]])</f>
        <v>20260627-TH-8173-2-Prestación de servicios de apoyo para el desarrollo de las actividades y trámites administrativos y operativos relacionados con los procesos que se encuentran a cargo de la Subdirección Operativa-SO.</v>
      </c>
    </row>
    <row r="637" spans="2:35" ht="76.5" customHeight="1" x14ac:dyDescent="0.35">
      <c r="B637" s="142">
        <v>20260628</v>
      </c>
      <c r="C637" s="121" t="s">
        <v>996</v>
      </c>
      <c r="D637" s="130" t="s">
        <v>105</v>
      </c>
      <c r="E637" s="130" t="s">
        <v>363</v>
      </c>
      <c r="F637" s="130" t="s">
        <v>145</v>
      </c>
      <c r="G637" s="131" t="s">
        <v>374</v>
      </c>
      <c r="H637" s="137">
        <v>4</v>
      </c>
      <c r="I637" s="137">
        <v>0</v>
      </c>
      <c r="J637" s="132">
        <v>13136000</v>
      </c>
      <c r="K637" s="133" t="s">
        <v>398</v>
      </c>
      <c r="L637" s="172" t="s">
        <v>158</v>
      </c>
      <c r="M637" s="170" t="s">
        <v>421</v>
      </c>
      <c r="N637" s="130" t="s">
        <v>198</v>
      </c>
      <c r="O637" s="170" t="s">
        <v>958</v>
      </c>
      <c r="P637" s="170" t="s">
        <v>348</v>
      </c>
      <c r="Q637" s="134">
        <v>80111600</v>
      </c>
      <c r="R637" s="170" t="s">
        <v>211</v>
      </c>
      <c r="S637" s="170" t="str">
        <f>MID(PAA[[#This Row],[Meta Proyecto de Inversión]],1,4)</f>
        <v>8173</v>
      </c>
      <c r="T637" s="170" t="str">
        <f>MID(PAA[[#This Row],[Meta Proyecto de Inversión]],6,1)</f>
        <v>2</v>
      </c>
      <c r="U637" s="173" t="str">
        <f>IFERROR(VLOOKUP(N637,TD!$B$50:$F$54,2,0)," ")</f>
        <v>O230117</v>
      </c>
      <c r="V637" s="173" t="str">
        <f>IFERROR(VLOOKUP(N637,TD!$B$50:$F$54,3,0)," ")</f>
        <v>4503</v>
      </c>
      <c r="W637" s="173">
        <f>IFERROR(VLOOKUP(N637,TD!$B$50:$F$54,4,0)," ")</f>
        <v>20240255</v>
      </c>
      <c r="X637" s="158" t="s">
        <v>164</v>
      </c>
      <c r="Y637" s="159" t="str">
        <f>IFERROR(VLOOKUP(X637,TD!$J$51:$K$64,2,0)," ")</f>
        <v>Servicio de atención a incidentes y emergencias.</v>
      </c>
      <c r="Z637" s="171" t="str">
        <f>CONCATENATE(X637,"-",Y637)</f>
        <v>04-Servicio de atención a incidentes y emergencias.</v>
      </c>
      <c r="AA637" s="158" t="s">
        <v>221</v>
      </c>
      <c r="AB637" s="159" t="str">
        <f>IFERROR(VLOOKUP(AA637,TD!$N$51:$O$66,2,0)," ")</f>
        <v>Servicio de atención a emergencias y desastres</v>
      </c>
      <c r="AC637" s="171" t="str">
        <f>CONCATENATE(AA637,"_",AB637)</f>
        <v>004_Servicio de atención a emergencias y desastres</v>
      </c>
      <c r="AD637" s="171" t="str">
        <f>CONCATENATE(Z637," ",AC637)</f>
        <v>04-Servicio de atención a incidentes y emergencias. 004_Servicio de atención a emergencias y desastres</v>
      </c>
      <c r="AE637" s="173" t="str">
        <f>CONCATENATE(U637,V637,W637,X637,AA637)</f>
        <v>O23011745032024025504004</v>
      </c>
      <c r="AF637" s="159" t="str">
        <f>IFERROR(VLOOKUP(AD637,TD!$J$66:$K$89,2,0)," ")</f>
        <v>PM/0131/0104/45030040255</v>
      </c>
      <c r="AG637" s="135" t="s">
        <v>385</v>
      </c>
      <c r="AH637" s="175" t="s">
        <v>194</v>
      </c>
      <c r="AI637" s="176" t="str">
        <f>CONCATENATE(PAA[[#This Row],[Id Interno]],"-",PAA[[#This Row],[tipo de Contrato (TH talento humano - B/S bienes y/o servicios)]],"-",S637,"-",T637,"-",PAA[[#This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638" spans="2:35" ht="56" x14ac:dyDescent="0.35">
      <c r="B638" s="142">
        <v>20260629</v>
      </c>
      <c r="C638" s="121" t="s">
        <v>997</v>
      </c>
      <c r="D638" s="130" t="s">
        <v>105</v>
      </c>
      <c r="E638" s="130" t="s">
        <v>363</v>
      </c>
      <c r="F638" s="130" t="s">
        <v>144</v>
      </c>
      <c r="G638" s="131" t="s">
        <v>373</v>
      </c>
      <c r="H638" s="137">
        <v>7</v>
      </c>
      <c r="I638" s="137">
        <v>0</v>
      </c>
      <c r="J638" s="132">
        <v>49000000</v>
      </c>
      <c r="K638" s="133" t="s">
        <v>398</v>
      </c>
      <c r="L638" s="172" t="s">
        <v>158</v>
      </c>
      <c r="M638" s="170" t="s">
        <v>421</v>
      </c>
      <c r="N638" s="130" t="s">
        <v>198</v>
      </c>
      <c r="O638" s="170" t="s">
        <v>958</v>
      </c>
      <c r="P638" s="170" t="s">
        <v>348</v>
      </c>
      <c r="Q638" s="134">
        <v>80111600</v>
      </c>
      <c r="R638" s="170" t="s">
        <v>211</v>
      </c>
      <c r="S638" s="170" t="str">
        <f>MID(PAA[[#This Row],[Meta Proyecto de Inversión]],1,4)</f>
        <v>8173</v>
      </c>
      <c r="T638" s="170" t="str">
        <f>MID(PAA[[#This Row],[Meta Proyecto de Inversión]],6,1)</f>
        <v>2</v>
      </c>
      <c r="U638" s="173" t="str">
        <f>IFERROR(VLOOKUP(N638,TD!$B$50:$F$54,2,0)," ")</f>
        <v>O230117</v>
      </c>
      <c r="V638" s="173" t="str">
        <f>IFERROR(VLOOKUP(N638,TD!$B$50:$F$54,3,0)," ")</f>
        <v>4503</v>
      </c>
      <c r="W638" s="173">
        <f>IFERROR(VLOOKUP(N638,TD!$B$50:$F$54,4,0)," ")</f>
        <v>20240255</v>
      </c>
      <c r="X638" s="158" t="s">
        <v>164</v>
      </c>
      <c r="Y638" s="159" t="str">
        <f>IFERROR(VLOOKUP(X638,TD!$J$51:$K$64,2,0)," ")</f>
        <v>Servicio de atención a incidentes y emergencias.</v>
      </c>
      <c r="Z638" s="171" t="str">
        <f>CONCATENATE(X638,"-",Y638)</f>
        <v>04-Servicio de atención a incidentes y emergencias.</v>
      </c>
      <c r="AA638" s="158" t="s">
        <v>221</v>
      </c>
      <c r="AB638" s="159" t="str">
        <f>IFERROR(VLOOKUP(AA638,TD!$N$51:$O$66,2,0)," ")</f>
        <v>Servicio de atención a emergencias y desastres</v>
      </c>
      <c r="AC638" s="171" t="str">
        <f>CONCATENATE(AA638,"_",AB638)</f>
        <v>004_Servicio de atención a emergencias y desastres</v>
      </c>
      <c r="AD638" s="171" t="str">
        <f>CONCATENATE(Z638," ",AC638)</f>
        <v>04-Servicio de atención a incidentes y emergencias. 004_Servicio de atención a emergencias y desastres</v>
      </c>
      <c r="AE638" s="173" t="str">
        <f>CONCATENATE(U638,V638,W638,X638,AA638)</f>
        <v>O23011745032024025504004</v>
      </c>
      <c r="AF638" s="159" t="str">
        <f>IFERROR(VLOOKUP(AD638,TD!$J$66:$K$89,2,0)," ")</f>
        <v>PM/0131/0104/45030040255</v>
      </c>
      <c r="AG638" s="135" t="s">
        <v>385</v>
      </c>
      <c r="AH638" s="175" t="s">
        <v>193</v>
      </c>
      <c r="AI638" s="176" t="str">
        <f>CONCATENATE(PAA[[#This Row],[Id Interno]],"-",PAA[[#This Row],[tipo de Contrato (TH talento humano - B/S bienes y/o servicios)]],"-",S638,"-",T638,"-",PAA[[#This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639" spans="2:35" ht="70" x14ac:dyDescent="0.35">
      <c r="B639" s="142">
        <v>20260630</v>
      </c>
      <c r="C639" s="121" t="s">
        <v>955</v>
      </c>
      <c r="D639" s="130" t="s">
        <v>105</v>
      </c>
      <c r="E639" s="130" t="s">
        <v>363</v>
      </c>
      <c r="F639" s="130" t="s">
        <v>145</v>
      </c>
      <c r="G639" s="131" t="s">
        <v>373</v>
      </c>
      <c r="H639" s="137">
        <v>7</v>
      </c>
      <c r="I639" s="137">
        <v>0</v>
      </c>
      <c r="J639" s="132">
        <v>26250000</v>
      </c>
      <c r="K639" s="133" t="s">
        <v>398</v>
      </c>
      <c r="L639" s="172" t="s">
        <v>156</v>
      </c>
      <c r="M639" s="170" t="s">
        <v>513</v>
      </c>
      <c r="N639" s="130" t="s">
        <v>198</v>
      </c>
      <c r="O639" s="170" t="s">
        <v>958</v>
      </c>
      <c r="P639" s="170" t="s">
        <v>348</v>
      </c>
      <c r="Q639" s="134">
        <v>80111600</v>
      </c>
      <c r="R639" s="170" t="s">
        <v>210</v>
      </c>
      <c r="S639" s="170" t="str">
        <f>MID(PAA[[#This Row],[Meta Proyecto de Inversión]],1,4)</f>
        <v>8173</v>
      </c>
      <c r="T639" s="170" t="str">
        <f>MID(PAA[[#This Row],[Meta Proyecto de Inversión]],6,1)</f>
        <v>1</v>
      </c>
      <c r="U639" s="173" t="str">
        <f>IFERROR(VLOOKUP(N639,TD!$B$50:$F$54,2,0)," ")</f>
        <v>O230117</v>
      </c>
      <c r="V639" s="173" t="str">
        <f>IFERROR(VLOOKUP(N639,TD!$B$50:$F$54,3,0)," ")</f>
        <v>4503</v>
      </c>
      <c r="W639" s="173">
        <f>IFERROR(VLOOKUP(N639,TD!$B$50:$F$54,4,0)," ")</f>
        <v>20240255</v>
      </c>
      <c r="X639" s="158" t="s">
        <v>166</v>
      </c>
      <c r="Y639" s="159" t="str">
        <f>IFERROR(VLOOKUP(X639,TD!$J$51:$K$64,2,0)," ")</f>
        <v>Servicio de capacitaciones en gestión del riesgo de incendios  a la ciudadania.</v>
      </c>
      <c r="Z639" s="171" t="str">
        <f>CONCATENATE(X639,"-",Y639)</f>
        <v>05-Servicio de capacitaciones en gestión del riesgo de incendios  a la ciudadania.</v>
      </c>
      <c r="AA639" s="158" t="s">
        <v>223</v>
      </c>
      <c r="AB639" s="159" t="str">
        <f>IFERROR(VLOOKUP(AA639,TD!$N$51:$O$66,2,0)," ")</f>
        <v>Servicio prevención y control de incendios</v>
      </c>
      <c r="AC639" s="171" t="str">
        <f>CONCATENATE(AA639,"_",AB639)</f>
        <v>035_Servicio prevención y control de incendios</v>
      </c>
      <c r="AD639" s="171" t="str">
        <f>CONCATENATE(Z639," ",AC639)</f>
        <v>05-Servicio de capacitaciones en gestión del riesgo de incendios  a la ciudadania. 035_Servicio prevención y control de incendios</v>
      </c>
      <c r="AE639" s="173" t="str">
        <f>CONCATENATE(U639,V639,W639,X639,AA639)</f>
        <v>O23011745032024025505035</v>
      </c>
      <c r="AF639" s="159" t="str">
        <f>IFERROR(VLOOKUP(AD639,TD!$J$66:$K$89,2,0)," ")</f>
        <v>PM/0131/0105/45030350255</v>
      </c>
      <c r="AG639" s="135" t="s">
        <v>385</v>
      </c>
      <c r="AH639" s="175" t="s">
        <v>193</v>
      </c>
      <c r="AI639" s="176" t="str">
        <f>CONCATENATE(PAA[[#This Row],[Id Interno]],"-",PAA[[#This Row],[tipo de Contrato (TH talento humano - B/S bienes y/o servicios)]],"-",S639,"-",T639,"-",PAA[[#This Row],[Objeto de la contratación]])</f>
        <v>20260630-TH-8173-1-Prestar servicios de apoyo como conductor a las acciones misionales de la Subdirección de Gestión del Riesgo.</v>
      </c>
    </row>
    <row r="640" spans="2:35" ht="70" x14ac:dyDescent="0.35">
      <c r="B640" s="142">
        <v>20260631</v>
      </c>
      <c r="C640" s="121" t="s">
        <v>558</v>
      </c>
      <c r="D640" s="130" t="s">
        <v>105</v>
      </c>
      <c r="E640" s="130" t="s">
        <v>363</v>
      </c>
      <c r="F640" s="130" t="s">
        <v>144</v>
      </c>
      <c r="G640" s="131" t="s">
        <v>373</v>
      </c>
      <c r="H640" s="137">
        <v>6</v>
      </c>
      <c r="I640" s="137">
        <v>0</v>
      </c>
      <c r="J640" s="132">
        <v>21750000</v>
      </c>
      <c r="K640" s="133" t="s">
        <v>398</v>
      </c>
      <c r="L640" s="172" t="s">
        <v>156</v>
      </c>
      <c r="M640" s="170" t="s">
        <v>513</v>
      </c>
      <c r="N640" s="130" t="s">
        <v>198</v>
      </c>
      <c r="O640" s="170" t="s">
        <v>958</v>
      </c>
      <c r="P640" s="170" t="s">
        <v>348</v>
      </c>
      <c r="Q640" s="134">
        <v>80111600</v>
      </c>
      <c r="R640" s="170" t="s">
        <v>210</v>
      </c>
      <c r="S640" s="170" t="str">
        <f>MID(PAA[[#This Row],[Meta Proyecto de Inversión]],1,4)</f>
        <v>8173</v>
      </c>
      <c r="T640" s="170" t="str">
        <f>MID(PAA[[#This Row],[Meta Proyecto de Inversión]],6,1)</f>
        <v>1</v>
      </c>
      <c r="U640" s="173" t="str">
        <f>IFERROR(VLOOKUP(N640,TD!$B$50:$F$54,2,0)," ")</f>
        <v>O230117</v>
      </c>
      <c r="V640" s="173" t="str">
        <f>IFERROR(VLOOKUP(N640,TD!$B$50:$F$54,3,0)," ")</f>
        <v>4503</v>
      </c>
      <c r="W640" s="173">
        <f>IFERROR(VLOOKUP(N640,TD!$B$50:$F$54,4,0)," ")</f>
        <v>20240255</v>
      </c>
      <c r="X640" s="158" t="s">
        <v>166</v>
      </c>
      <c r="Y640" s="159" t="str">
        <f>IFERROR(VLOOKUP(X640,TD!$J$51:$K$64,2,0)," ")</f>
        <v>Servicio de capacitaciones en gestión del riesgo de incendios  a la ciudadania.</v>
      </c>
      <c r="Z640" s="171" t="str">
        <f>CONCATENATE(X640,"-",Y640)</f>
        <v>05-Servicio de capacitaciones en gestión del riesgo de incendios  a la ciudadania.</v>
      </c>
      <c r="AA640" s="158" t="s">
        <v>223</v>
      </c>
      <c r="AB640" s="159" t="str">
        <f>IFERROR(VLOOKUP(AA640,TD!$N$51:$O$66,2,0)," ")</f>
        <v>Servicio prevención y control de incendios</v>
      </c>
      <c r="AC640" s="171" t="str">
        <f>CONCATENATE(AA640,"_",AB640)</f>
        <v>035_Servicio prevención y control de incendios</v>
      </c>
      <c r="AD640" s="171" t="str">
        <f>CONCATENATE(Z640," ",AC640)</f>
        <v>05-Servicio de capacitaciones en gestión del riesgo de incendios  a la ciudadania. 035_Servicio prevención y control de incendios</v>
      </c>
      <c r="AE640" s="173" t="str">
        <f>CONCATENATE(U640,V640,W640,X640,AA640)</f>
        <v>O23011745032024025505035</v>
      </c>
      <c r="AF640" s="159" t="str">
        <f>IFERROR(VLOOKUP(AD640,TD!$J$66:$K$89,2,0)," ")</f>
        <v>PM/0131/0105/45030350255</v>
      </c>
      <c r="AG640" s="135" t="s">
        <v>385</v>
      </c>
      <c r="AH640" s="175" t="s">
        <v>193</v>
      </c>
      <c r="AI640" s="176" t="str">
        <f>CONCATENATE(PAA[[#This Row],[Id Interno]],"-",PAA[[#This Row],[tipo de Contrato (TH talento humano - B/S bienes y/o servicios)]],"-",S640,"-",T640,"-",PAA[[#This Row],[Objeto de la contratación]])</f>
        <v>20260631-TH-8173-1-Prestar servicios de apoyo en las actividades de Programas y Campañas de Prevención para la Subdirección de Gestión del Riesgo. _SGR</v>
      </c>
    </row>
    <row r="641" spans="2:35" ht="56" x14ac:dyDescent="0.35">
      <c r="B641" s="142">
        <v>20260632</v>
      </c>
      <c r="C641" s="121" t="s">
        <v>999</v>
      </c>
      <c r="D641" s="130" t="s">
        <v>92</v>
      </c>
      <c r="E641" s="130" t="s">
        <v>402</v>
      </c>
      <c r="F641" s="130" t="s">
        <v>142</v>
      </c>
      <c r="G641" s="131" t="s">
        <v>374</v>
      </c>
      <c r="H641" s="137">
        <v>2</v>
      </c>
      <c r="I641" s="137">
        <v>0</v>
      </c>
      <c r="J641" s="132">
        <v>6664000</v>
      </c>
      <c r="K641" s="133" t="s">
        <v>398</v>
      </c>
      <c r="L641" s="172" t="s">
        <v>151</v>
      </c>
      <c r="M641" s="170" t="s">
        <v>401</v>
      </c>
      <c r="N641" s="130" t="s">
        <v>197</v>
      </c>
      <c r="O641" s="170" t="s">
        <v>957</v>
      </c>
      <c r="P641" s="170" t="s">
        <v>348</v>
      </c>
      <c r="Q641" s="134">
        <v>81112401</v>
      </c>
      <c r="R641" s="170" t="s">
        <v>204</v>
      </c>
      <c r="S641" s="170" t="str">
        <f>MID(PAA[[#This Row],[Meta Proyecto de Inversión]],1,4)</f>
        <v>8126</v>
      </c>
      <c r="T641" s="170" t="str">
        <f>MID(PAA[[#This Row],[Meta Proyecto de Inversión]],6,1)</f>
        <v>5</v>
      </c>
      <c r="U641" s="173" t="str">
        <f>IFERROR(VLOOKUP(N641,TD!$B$50:$F$54,2,0)," ")</f>
        <v>O230117</v>
      </c>
      <c r="V641" s="173" t="str">
        <f>IFERROR(VLOOKUP(N641,TD!$B$50:$F$54,3,0)," ")</f>
        <v>4599</v>
      </c>
      <c r="W641" s="173">
        <f>IFERROR(VLOOKUP(N641,TD!$B$50:$F$54,4,0)," ")</f>
        <v>20240207</v>
      </c>
      <c r="X641" s="158" t="s">
        <v>168</v>
      </c>
      <c r="Y641" s="159" t="str">
        <f>IFERROR(VLOOKUP(X641,TD!$J$51:$K$64,2,0)," ")</f>
        <v>Infraestructura Tecnológica   (Sistemas de Información y Tecnologia)</v>
      </c>
      <c r="Z641" s="171" t="str">
        <f>CONCATENATE(X641,"-",Y641)</f>
        <v>11-Infraestructura Tecnológica   (Sistemas de Información y Tecnologia)</v>
      </c>
      <c r="AA641" s="158" t="s">
        <v>228</v>
      </c>
      <c r="AB641" s="159" t="str">
        <f>IFERROR(VLOOKUP(AA641,TD!$N$51:$O$66,2,0)," ")</f>
        <v>Servicios tecnológicos</v>
      </c>
      <c r="AC641" s="171" t="str">
        <f>CONCATENATE(AA641,"_",AB641)</f>
        <v>007_Servicios tecnológicos</v>
      </c>
      <c r="AD641" s="171" t="str">
        <f>CONCATENATE(Z641," ",AC641)</f>
        <v>11-Infraestructura Tecnológica   (Sistemas de Información y Tecnologia) 007_Servicios tecnológicos</v>
      </c>
      <c r="AE641" s="173" t="str">
        <f>CONCATENATE(U641,V641,W641,X641,AA641)</f>
        <v>O23011745992024020711007</v>
      </c>
      <c r="AF641" s="159" t="str">
        <f>IFERROR(VLOOKUP(AD641,TD!$J$66:$K$89,2,0)," ")</f>
        <v>PM/0131/0111/45990070207</v>
      </c>
      <c r="AG641" s="135" t="s">
        <v>121</v>
      </c>
      <c r="AH641" s="175" t="s">
        <v>194</v>
      </c>
      <c r="AI641" s="176" t="str">
        <f>CONCATENATE(PAA[[#This Row],[Id Interno]],"-",PAA[[#This Row],[tipo de Contrato (TH talento humano - B/S bienes y/o servicios)]],"-",S641,"-",T641,"-",PAA[[#This Row],[Objeto de la contratación]])</f>
        <v>20260632-BS-8126-5-Adición y prórroga al contrato No. 490 de 2025 cuyo objeto es: "contratar el alquiler de equipos tecnológicos, periféricos y servicios complementarios para la U.A.E Cuerpo Oficial de bomberos de Bogota- TIC"</v>
      </c>
    </row>
    <row r="642" spans="2:35" ht="42" x14ac:dyDescent="0.35">
      <c r="B642" s="142">
        <v>20260633</v>
      </c>
      <c r="C642" s="121" t="s">
        <v>998</v>
      </c>
      <c r="D642" s="130" t="s">
        <v>114</v>
      </c>
      <c r="E642" s="130" t="s">
        <v>402</v>
      </c>
      <c r="F642" s="130" t="s">
        <v>89</v>
      </c>
      <c r="G642" s="131" t="s">
        <v>374</v>
      </c>
      <c r="H642" s="137">
        <v>2</v>
      </c>
      <c r="I642" s="137">
        <v>0</v>
      </c>
      <c r="J642" s="132">
        <v>20246686</v>
      </c>
      <c r="K642" s="133" t="s">
        <v>398</v>
      </c>
      <c r="L642" s="172" t="s">
        <v>151</v>
      </c>
      <c r="M642" s="170" t="s">
        <v>401</v>
      </c>
      <c r="N642" s="130" t="s">
        <v>197</v>
      </c>
      <c r="O642" s="170" t="s">
        <v>957</v>
      </c>
      <c r="P642" s="170" t="s">
        <v>348</v>
      </c>
      <c r="Q642" s="134" t="s">
        <v>446</v>
      </c>
      <c r="R642" s="170" t="s">
        <v>203</v>
      </c>
      <c r="S642" s="170" t="str">
        <f>MID(PAA[[#This Row],[Meta Proyecto de Inversión]],1,4)</f>
        <v>8126</v>
      </c>
      <c r="T642" s="170" t="str">
        <f>MID(PAA[[#This Row],[Meta Proyecto de Inversión]],6,1)</f>
        <v>4</v>
      </c>
      <c r="U642" s="173" t="str">
        <f>IFERROR(VLOOKUP(N642,TD!$B$50:$F$54,2,0)," ")</f>
        <v>O230117</v>
      </c>
      <c r="V642" s="173" t="str">
        <f>IFERROR(VLOOKUP(N642,TD!$B$50:$F$54,3,0)," ")</f>
        <v>4599</v>
      </c>
      <c r="W642" s="173">
        <f>IFERROR(VLOOKUP(N642,TD!$B$50:$F$54,4,0)," ")</f>
        <v>20240207</v>
      </c>
      <c r="X642" s="170" t="s">
        <v>168</v>
      </c>
      <c r="Y642" s="159" t="str">
        <f>IFERROR(VLOOKUP(X642,TD!$J$51:$K$64,2,0)," ")</f>
        <v>Infraestructura Tecnológica   (Sistemas de Información y Tecnologia)</v>
      </c>
      <c r="Z642" s="171" t="str">
        <f>CONCATENATE(X642,"-",Y642)</f>
        <v>11-Infraestructura Tecnológica   (Sistemas de Información y Tecnologia)</v>
      </c>
      <c r="AA642" s="170" t="s">
        <v>228</v>
      </c>
      <c r="AB642" s="159" t="str">
        <f>IFERROR(VLOOKUP(AA642,TD!$N$51:$O$66,2,0)," ")</f>
        <v>Servicios tecnológicos</v>
      </c>
      <c r="AC642" s="171" t="str">
        <f>CONCATENATE(AA642,"_",AB642)</f>
        <v>007_Servicios tecnológicos</v>
      </c>
      <c r="AD642" s="171" t="str">
        <f>CONCATENATE(Z642," ",AC642)</f>
        <v>11-Infraestructura Tecnológica   (Sistemas de Información y Tecnologia) 007_Servicios tecnológicos</v>
      </c>
      <c r="AE642" s="173" t="str">
        <f>CONCATENATE(U642,V642,W642,X642,AA642)</f>
        <v>O23011745992024020711007</v>
      </c>
      <c r="AF642" s="159" t="str">
        <f>IFERROR(VLOOKUP(AD642,TD!$J$66:$K$89,2,0)," ")</f>
        <v>PM/0131/0111/45990070207</v>
      </c>
      <c r="AG642" s="135" t="s">
        <v>116</v>
      </c>
      <c r="AH642" s="175" t="s">
        <v>194</v>
      </c>
      <c r="AI642" s="176" t="str">
        <f>CONCATENATE(PAA[[#This Row],[Id Interno]],"-",PAA[[#This Row],[tipo de Contrato (TH talento humano - B/S bienes y/o servicios)]],"-",S642,"-",T642,"-",PAA[[#This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row r="643" spans="2:35" ht="56" x14ac:dyDescent="0.35">
      <c r="B643" s="142">
        <v>20260634</v>
      </c>
      <c r="C643" s="121" t="s">
        <v>1002</v>
      </c>
      <c r="D643" s="130" t="s">
        <v>105</v>
      </c>
      <c r="E643" s="130" t="s">
        <v>363</v>
      </c>
      <c r="F643" s="130" t="s">
        <v>145</v>
      </c>
      <c r="G643" s="131" t="s">
        <v>373</v>
      </c>
      <c r="H643" s="137">
        <v>5</v>
      </c>
      <c r="I643" s="137">
        <v>0</v>
      </c>
      <c r="J643" s="132">
        <v>16400000</v>
      </c>
      <c r="K643" s="133" t="s">
        <v>398</v>
      </c>
      <c r="L643" s="172" t="s">
        <v>157</v>
      </c>
      <c r="M643" s="170" t="s">
        <v>512</v>
      </c>
      <c r="N643" s="130" t="s">
        <v>198</v>
      </c>
      <c r="O643" s="170" t="s">
        <v>958</v>
      </c>
      <c r="P643" s="170" t="s">
        <v>348</v>
      </c>
      <c r="Q643" s="134">
        <v>80111600</v>
      </c>
      <c r="R643" s="170" t="s">
        <v>213</v>
      </c>
      <c r="S643" s="170" t="str">
        <f>MID(PAA[[#This Row],[Meta Proyecto de Inversión]],1,4)</f>
        <v>8173</v>
      </c>
      <c r="T643" s="170" t="str">
        <f>MID(PAA[[#This Row],[Meta Proyecto de Inversión]],6,1)</f>
        <v>4</v>
      </c>
      <c r="U643" s="173" t="str">
        <f>IFERROR(VLOOKUP(N643,TD!$B$50:$F$54,2,0)," ")</f>
        <v>O230117</v>
      </c>
      <c r="V643" s="173" t="str">
        <f>IFERROR(VLOOKUP(N643,TD!$B$50:$F$54,3,0)," ")</f>
        <v>4503</v>
      </c>
      <c r="W643" s="173">
        <f>IFERROR(VLOOKUP(N643,TD!$B$50:$F$54,4,0)," ")</f>
        <v>20240255</v>
      </c>
      <c r="X643" s="170" t="s">
        <v>176</v>
      </c>
      <c r="Y643" s="159" t="str">
        <f>IFERROR(VLOOKUP(X643,TD!$J$51:$K$64,2,0)," ")</f>
        <v>Servicio de mantenimiento, dotación (HEA´s y equipo menor) y adquisición de vehiculos   especializados para la atención de emergencias.</v>
      </c>
      <c r="Z643" s="171" t="str">
        <f>CONCATENATE(X643,"-",Y643)</f>
        <v>09-Servicio de mantenimiento, dotación (HEA´s y equipo menor) y adquisición de vehiculos   especializados para la atención de emergencias.</v>
      </c>
      <c r="AA643" s="170" t="s">
        <v>221</v>
      </c>
      <c r="AB643" s="159" t="str">
        <f>IFERROR(VLOOKUP(AA643,TD!$N$51:$O$66,2,0)," ")</f>
        <v>Servicio de atención a emergencias y desastres</v>
      </c>
      <c r="AC643" s="171" t="str">
        <f>CONCATENATE(AA643,"_",AB643)</f>
        <v>004_Servicio de atención a emergencias y desastres</v>
      </c>
      <c r="AD643" s="171" t="str">
        <f>CONCATENATE(Z643," ",AC643)</f>
        <v>09-Servicio de mantenimiento, dotación (HEA´s y equipo menor) y adquisición de vehiculos   especializados para la atención de emergencias. 004_Servicio de atención a emergencias y desastres</v>
      </c>
      <c r="AE643" s="173" t="str">
        <f>CONCATENATE(U643,V643,W643,X643,AA643)</f>
        <v>O23011745032024025509004</v>
      </c>
      <c r="AF643" s="159" t="str">
        <f>IFERROR(VLOOKUP(AD643,TD!$J$66:$K$89,2,0)," ")</f>
        <v>PM/0131/0109/45030040255</v>
      </c>
      <c r="AG643" s="135" t="s">
        <v>385</v>
      </c>
      <c r="AH643" s="175" t="s">
        <v>193</v>
      </c>
      <c r="AI643" s="176" t="str">
        <f>CONCATENATE(PAA[[#This Row],[Id Interno]],"-",PAA[[#This Row],[tipo de Contrato (TH talento humano - B/S bienes y/o servicios)]],"-",S643,"-",T643,"-",PAA[[#This Row],[Objeto de la contratación]])</f>
        <v>20260634-TH-8173-4-Prestar servicio de apoyo a la gestión administrativa y operativa de los mantenimientos requeridos a los equipos menores y/o parque automotor de la Subdirección Logística - SBLG</v>
      </c>
    </row>
    <row r="644" spans="2:35" ht="56" x14ac:dyDescent="0.35">
      <c r="B644" s="142">
        <v>20260636</v>
      </c>
      <c r="C644" s="121" t="s">
        <v>1000</v>
      </c>
      <c r="D644" s="130" t="s">
        <v>105</v>
      </c>
      <c r="E644" s="130" t="s">
        <v>363</v>
      </c>
      <c r="F644" s="130" t="s">
        <v>144</v>
      </c>
      <c r="G644" s="131" t="s">
        <v>1004</v>
      </c>
      <c r="H644" s="137">
        <v>0</v>
      </c>
      <c r="I644" s="137">
        <v>0</v>
      </c>
      <c r="J644" s="132">
        <v>95000000</v>
      </c>
      <c r="K644" s="133" t="s">
        <v>398</v>
      </c>
      <c r="L644" s="172" t="s">
        <v>151</v>
      </c>
      <c r="M644" s="170" t="s">
        <v>401</v>
      </c>
      <c r="N644" s="130" t="s">
        <v>197</v>
      </c>
      <c r="O644" s="170" t="s">
        <v>957</v>
      </c>
      <c r="P644" s="170" t="s">
        <v>348</v>
      </c>
      <c r="Q644" s="134">
        <v>80111600</v>
      </c>
      <c r="R644" s="170" t="s">
        <v>204</v>
      </c>
      <c r="S644" s="170" t="str">
        <f>MID(PAA[[#This Row],[Meta Proyecto de Inversión]],1,4)</f>
        <v>8126</v>
      </c>
      <c r="T644" s="170" t="str">
        <f>MID(PAA[[#This Row],[Meta Proyecto de Inversión]],6,1)</f>
        <v>5</v>
      </c>
      <c r="U644" s="173" t="str">
        <f>IFERROR(VLOOKUP(N644,TD!$B$50:$F$54,2,0)," ")</f>
        <v>O230117</v>
      </c>
      <c r="V644" s="173" t="str">
        <f>IFERROR(VLOOKUP(N644,TD!$B$50:$F$54,3,0)," ")</f>
        <v>4599</v>
      </c>
      <c r="W644" s="173">
        <f>IFERROR(VLOOKUP(N644,TD!$B$50:$F$54,4,0)," ")</f>
        <v>20240207</v>
      </c>
      <c r="X644" s="170" t="s">
        <v>168</v>
      </c>
      <c r="Y644" s="159" t="str">
        <f>IFERROR(VLOOKUP(X644,TD!$J$51:$K$64,2,0)," ")</f>
        <v>Infraestructura Tecnológica   (Sistemas de Información y Tecnologia)</v>
      </c>
      <c r="Z644" s="171" t="str">
        <f>CONCATENATE(X644,"-",Y644)</f>
        <v>11-Infraestructura Tecnológica   (Sistemas de Información y Tecnologia)</v>
      </c>
      <c r="AA644" s="170" t="s">
        <v>228</v>
      </c>
      <c r="AB644" s="159" t="str">
        <f>IFERROR(VLOOKUP(AA644,TD!$N$51:$O$66,2,0)," ")</f>
        <v>Servicios tecnológicos</v>
      </c>
      <c r="AC644" s="171" t="str">
        <f>CONCATENATE(AA644,"_",AB644)</f>
        <v>007_Servicios tecnológicos</v>
      </c>
      <c r="AD644" s="171" t="str">
        <f>CONCATENATE(Z644," ",AC644)</f>
        <v>11-Infraestructura Tecnológica   (Sistemas de Información y Tecnologia) 007_Servicios tecnológicos</v>
      </c>
      <c r="AE644" s="173" t="str">
        <f>CONCATENATE(U644,V644,W644,X644,AA644)</f>
        <v>O23011745992024020711007</v>
      </c>
      <c r="AF644" s="159" t="str">
        <f>IFERROR(VLOOKUP(AD644,TD!$J$66:$K$89,2,0)," ")</f>
        <v>PM/0131/0111/45990070207</v>
      </c>
      <c r="AG644" s="135" t="s">
        <v>385</v>
      </c>
      <c r="AH644" s="175" t="s">
        <v>194</v>
      </c>
      <c r="AI644" s="178" t="str">
        <f>CONCATENATE(PAA[[#This Row],[Id Interno]],"-",PAA[[#This Row],[tipo de Contrato (TH talento humano - B/S bienes y/o servicios)]],"-",S644,"-",T644,"-",PAA[[#This Row],[Objeto de la contratación]])</f>
        <v>20260636-TH-8126-5-Congelamiento recursos 5% proyecto 8126</v>
      </c>
    </row>
    <row r="645" spans="2:35" ht="126" x14ac:dyDescent="0.35">
      <c r="B645" s="142">
        <v>20260637</v>
      </c>
      <c r="C645" s="121" t="s">
        <v>1000</v>
      </c>
      <c r="D645" s="130" t="s">
        <v>114</v>
      </c>
      <c r="E645" s="130" t="s">
        <v>402</v>
      </c>
      <c r="F645" s="130" t="s">
        <v>89</v>
      </c>
      <c r="G645" s="131" t="s">
        <v>1004</v>
      </c>
      <c r="H645" s="137">
        <v>0</v>
      </c>
      <c r="I645" s="137">
        <v>0</v>
      </c>
      <c r="J645" s="132">
        <v>65650000</v>
      </c>
      <c r="K645" s="133" t="s">
        <v>398</v>
      </c>
      <c r="L645" s="172" t="s">
        <v>151</v>
      </c>
      <c r="M645" s="170" t="s">
        <v>401</v>
      </c>
      <c r="N645" s="130" t="s">
        <v>197</v>
      </c>
      <c r="O645" s="170" t="s">
        <v>957</v>
      </c>
      <c r="P645" s="170" t="s">
        <v>348</v>
      </c>
      <c r="Q645" s="134" t="s">
        <v>446</v>
      </c>
      <c r="R645" s="170" t="s">
        <v>203</v>
      </c>
      <c r="S645" s="170" t="str">
        <f>MID(PAA[[#This Row],[Meta Proyecto de Inversión]],1,4)</f>
        <v>8126</v>
      </c>
      <c r="T645" s="170" t="str">
        <f>MID(PAA[[#This Row],[Meta Proyecto de Inversión]],6,1)</f>
        <v>4</v>
      </c>
      <c r="U645" s="173" t="str">
        <f>IFERROR(VLOOKUP(N645,TD!$B$50:$F$54,2,0)," ")</f>
        <v>O230117</v>
      </c>
      <c r="V645" s="173" t="str">
        <f>IFERROR(VLOOKUP(N645,TD!$B$50:$F$54,3,0)," ")</f>
        <v>4599</v>
      </c>
      <c r="W645" s="173">
        <f>IFERROR(VLOOKUP(N645,TD!$B$50:$F$54,4,0)," ")</f>
        <v>20240207</v>
      </c>
      <c r="X645" s="170" t="s">
        <v>168</v>
      </c>
      <c r="Y645" s="159" t="str">
        <f>IFERROR(VLOOKUP(X645,TD!$J$51:$K$64,2,0)," ")</f>
        <v>Infraestructura Tecnológica   (Sistemas de Información y Tecnologia)</v>
      </c>
      <c r="Z645" s="171" t="str">
        <f>CONCATENATE(X645,"-",Y645)</f>
        <v>11-Infraestructura Tecnológica   (Sistemas de Información y Tecnologia)</v>
      </c>
      <c r="AA645" s="170" t="s">
        <v>228</v>
      </c>
      <c r="AB645" s="159" t="str">
        <f>IFERROR(VLOOKUP(AA645,TD!$N$51:$O$66,2,0)," ")</f>
        <v>Servicios tecnológicos</v>
      </c>
      <c r="AC645" s="171" t="str">
        <f>CONCATENATE(AA645,"_",AB645)</f>
        <v>007_Servicios tecnológicos</v>
      </c>
      <c r="AD645" s="171" t="str">
        <f>CONCATENATE(Z645," ",AC645)</f>
        <v>11-Infraestructura Tecnológica   (Sistemas de Información y Tecnologia) 007_Servicios tecnológicos</v>
      </c>
      <c r="AE645" s="173" t="str">
        <f>CONCATENATE(U645,V645,W645,X645,AA645)</f>
        <v>O23011745992024020711007</v>
      </c>
      <c r="AF645" s="159" t="str">
        <f>IFERROR(VLOOKUP(AD645,TD!$J$66:$K$89,2,0)," ")</f>
        <v>PM/0131/0111/45990070207</v>
      </c>
      <c r="AG645" s="135" t="s">
        <v>116</v>
      </c>
      <c r="AH645" s="175" t="s">
        <v>194</v>
      </c>
      <c r="AI645" s="178" t="str">
        <f>CONCATENATE(PAA[[#This Row],[Id Interno]],"-",PAA[[#This Row],[tipo de Contrato (TH talento humano - B/S bienes y/o servicios)]],"-",S645,"-",T645,"-",PAA[[#This Row],[Objeto de la contratación]])</f>
        <v>20260637-BS-8126-4-Congelamiento recursos 5% proyecto 8126</v>
      </c>
    </row>
    <row r="646" spans="2:35" ht="56" x14ac:dyDescent="0.35">
      <c r="B646" s="142">
        <v>20260638</v>
      </c>
      <c r="C646" s="121" t="s">
        <v>1000</v>
      </c>
      <c r="D646" s="130" t="s">
        <v>105</v>
      </c>
      <c r="E646" s="130" t="s">
        <v>363</v>
      </c>
      <c r="F646" s="130" t="s">
        <v>144</v>
      </c>
      <c r="G646" s="131" t="s">
        <v>1004</v>
      </c>
      <c r="H646" s="137">
        <v>0</v>
      </c>
      <c r="I646" s="137">
        <v>0</v>
      </c>
      <c r="J646" s="132">
        <f>335350000+51177500</f>
        <v>386527500</v>
      </c>
      <c r="K646" s="133" t="s">
        <v>398</v>
      </c>
      <c r="L646" s="172" t="s">
        <v>155</v>
      </c>
      <c r="M646" s="170" t="s">
        <v>401</v>
      </c>
      <c r="N646" s="130" t="s">
        <v>197</v>
      </c>
      <c r="O646" s="170" t="s">
        <v>957</v>
      </c>
      <c r="P646" s="170" t="s">
        <v>348</v>
      </c>
      <c r="Q646" s="134" t="s">
        <v>778</v>
      </c>
      <c r="R646" s="170" t="s">
        <v>208</v>
      </c>
      <c r="S646" s="170" t="str">
        <f>MID(PAA[[#This Row],[Meta Proyecto de Inversión]],1,4)</f>
        <v>8126</v>
      </c>
      <c r="T646" s="170" t="str">
        <f>MID(PAA[[#This Row],[Meta Proyecto de Inversión]],6,1)</f>
        <v>9</v>
      </c>
      <c r="U646" s="173" t="str">
        <f>IFERROR(VLOOKUP(N646,TD!$B$50:$F$54,2,0)," ")</f>
        <v>O230117</v>
      </c>
      <c r="V646" s="173" t="str">
        <f>IFERROR(VLOOKUP(N646,TD!$B$50:$F$54,3,0)," ")</f>
        <v>4599</v>
      </c>
      <c r="W646" s="173">
        <f>IFERROR(VLOOKUP(N646,TD!$B$50:$F$54,4,0)," ")</f>
        <v>20240207</v>
      </c>
      <c r="X646" s="170" t="s">
        <v>174</v>
      </c>
      <c r="Y646" s="159" t="str">
        <f>IFERROR(VLOOKUP(X646,TD!$J$51:$K$64,2,0)," ")</f>
        <v>Infraestructura física, mantenimiento y dotación (Sedes construidas, mantenidas reforzadas)</v>
      </c>
      <c r="Z646" s="171" t="str">
        <f>CONCATENATE(X646,"-",Y646)</f>
        <v>08-Infraestructura física, mantenimiento y dotación (Sedes construidas, mantenidas reforzadas)</v>
      </c>
      <c r="AA646" s="170" t="s">
        <v>227</v>
      </c>
      <c r="AB646" s="159" t="str">
        <f>IFERROR(VLOOKUP(AA646,TD!$N$51:$O$66,2,0)," ")</f>
        <v>Sedes mantenidas</v>
      </c>
      <c r="AC646" s="171" t="str">
        <f>CONCATENATE(AA646,"_",AB646)</f>
        <v>016_Sedes mantenidas</v>
      </c>
      <c r="AD646" s="171" t="str">
        <f>CONCATENATE(Z646," ",AC646)</f>
        <v>08-Infraestructura física, mantenimiento y dotación (Sedes construidas, mantenidas reforzadas) 016_Sedes mantenidas</v>
      </c>
      <c r="AE646" s="173" t="str">
        <f>CONCATENATE(U646,V646,W646,X646,AA646)</f>
        <v>O23011745992024020708016</v>
      </c>
      <c r="AF646" s="159" t="str">
        <f>IFERROR(VLOOKUP(AD646,TD!$J$66:$K$89,2,0)," ")</f>
        <v>PM/0131/0108/45990160207</v>
      </c>
      <c r="AG646" s="135" t="s">
        <v>385</v>
      </c>
      <c r="AH646" s="175" t="s">
        <v>194</v>
      </c>
      <c r="AI646" s="178" t="str">
        <f>CONCATENATE(PAA[[#This Row],[Id Interno]],"-",PAA[[#This Row],[tipo de Contrato (TH talento humano - B/S bienes y/o servicios)]],"-",S646,"-",T646,"-",PAA[[#This Row],[Objeto de la contratación]])</f>
        <v>20260638-TH-8126-9-Congelamiento recursos 5% proyecto 8126</v>
      </c>
    </row>
    <row r="647" spans="2:35" ht="70" x14ac:dyDescent="0.35">
      <c r="B647" s="142">
        <v>20260639</v>
      </c>
      <c r="C647" s="121" t="s">
        <v>1001</v>
      </c>
      <c r="D647" s="130" t="s">
        <v>78</v>
      </c>
      <c r="E647" s="130" t="s">
        <v>402</v>
      </c>
      <c r="F647" s="130" t="s">
        <v>97</v>
      </c>
      <c r="G647" s="131" t="s">
        <v>1004</v>
      </c>
      <c r="H647" s="137">
        <v>0</v>
      </c>
      <c r="I647" s="137">
        <v>0</v>
      </c>
      <c r="J647" s="132">
        <v>3760200</v>
      </c>
      <c r="K647" s="133" t="s">
        <v>398</v>
      </c>
      <c r="L647" s="172" t="s">
        <v>155</v>
      </c>
      <c r="M647" s="170" t="s">
        <v>401</v>
      </c>
      <c r="N647" s="130" t="s">
        <v>198</v>
      </c>
      <c r="O647" s="170" t="s">
        <v>958</v>
      </c>
      <c r="P647" s="170" t="s">
        <v>348</v>
      </c>
      <c r="Q647" s="134" t="s">
        <v>776</v>
      </c>
      <c r="R647" s="170" t="s">
        <v>216</v>
      </c>
      <c r="S647" s="170" t="str">
        <f>MID(PAA[[#This Row],[Meta Proyecto de Inversión]],1,4)</f>
        <v>8173</v>
      </c>
      <c r="T647" s="170" t="str">
        <f>MID(PAA[[#This Row],[Meta Proyecto de Inversión]],6,1)</f>
        <v>7</v>
      </c>
      <c r="U647" s="173" t="str">
        <f>IFERROR(VLOOKUP(N647,TD!$B$50:$F$54,2,0)," ")</f>
        <v>O230117</v>
      </c>
      <c r="V647" s="173" t="str">
        <f>IFERROR(VLOOKUP(N647,TD!$B$50:$F$54,3,0)," ")</f>
        <v>4503</v>
      </c>
      <c r="W647" s="173">
        <f>IFERROR(VLOOKUP(N647,TD!$B$50:$F$54,4,0)," ")</f>
        <v>20240255</v>
      </c>
      <c r="X647" s="170" t="s">
        <v>174</v>
      </c>
      <c r="Y647" s="159" t="str">
        <f>IFERROR(VLOOKUP(X647,TD!$J$51:$K$64,2,0)," ")</f>
        <v>Infraestructura física, mantenimiento y dotación (Sedes construidas, mantenidas reforzadas)</v>
      </c>
      <c r="Z647" s="171" t="str">
        <f>CONCATENATE(X647,"-",Y647)</f>
        <v>08-Infraestructura física, mantenimiento y dotación (Sedes construidas, mantenidas reforzadas)</v>
      </c>
      <c r="AA647" s="170" t="s">
        <v>282</v>
      </c>
      <c r="AB647" s="159" t="str">
        <f>IFERROR(VLOOKUP(AA647,TD!$N$51:$O$66,2,0)," ")</f>
        <v>Documentos de lineamientos técnicos</v>
      </c>
      <c r="AC647" s="171" t="str">
        <f>CONCATENATE(AA647,"_",AB647)</f>
        <v>031__Documentos de lineamientos técnicos</v>
      </c>
      <c r="AD647" s="171" t="str">
        <f>CONCATENATE(Z647," ",AC647)</f>
        <v>08-Infraestructura física, mantenimiento y dotación (Sedes construidas, mantenidas reforzadas) 031__Documentos de lineamientos técnicos</v>
      </c>
      <c r="AE647" s="173" t="str">
        <f>CONCATENATE(U647,V647,W647,X647,AA647)</f>
        <v>O23011745032024025508031_</v>
      </c>
      <c r="AF647" s="159" t="str">
        <f>IFERROR(VLOOKUP(AD647,TD!$J$66:$K$89,2,0)," ")</f>
        <v>PM/0131/0108/45030310255</v>
      </c>
      <c r="AG647" s="135" t="s">
        <v>385</v>
      </c>
      <c r="AH647" s="175" t="s">
        <v>194</v>
      </c>
      <c r="AI647" s="178" t="str">
        <f>CONCATENATE(PAA[[#This Row],[Id Interno]],"-",PAA[[#This Row],[tipo de Contrato (TH talento humano - B/S bienes y/o servicios)]],"-",S647,"-",T647,"-",PAA[[#This Row],[Objeto de la contratación]])</f>
        <v>20260639-BS-8173-7-Congelamiento recursos 5% proyecto 8173</v>
      </c>
    </row>
    <row r="648" spans="2:35" ht="70" x14ac:dyDescent="0.35">
      <c r="B648" s="142">
        <v>20260640</v>
      </c>
      <c r="C648" s="121" t="s">
        <v>1000</v>
      </c>
      <c r="D648" s="130" t="s">
        <v>105</v>
      </c>
      <c r="E648" s="130" t="s">
        <v>363</v>
      </c>
      <c r="F648" s="130" t="s">
        <v>144</v>
      </c>
      <c r="G648" s="131" t="s">
        <v>1004</v>
      </c>
      <c r="H648" s="137">
        <v>0</v>
      </c>
      <c r="I648" s="137">
        <v>0</v>
      </c>
      <c r="J648" s="132">
        <v>20296300</v>
      </c>
      <c r="K648" s="133" t="s">
        <v>398</v>
      </c>
      <c r="L648" s="172" t="s">
        <v>36</v>
      </c>
      <c r="M648" s="170" t="s">
        <v>401</v>
      </c>
      <c r="N648" s="130" t="s">
        <v>197</v>
      </c>
      <c r="O648" s="170" t="s">
        <v>957</v>
      </c>
      <c r="P648" s="170" t="s">
        <v>348</v>
      </c>
      <c r="Q648" s="134">
        <v>80111600</v>
      </c>
      <c r="R648" s="170" t="s">
        <v>201</v>
      </c>
      <c r="S648" s="170" t="str">
        <f>MID(PAA[[#This Row],[Meta Proyecto de Inversión]],1,4)</f>
        <v>8126</v>
      </c>
      <c r="T648" s="170" t="str">
        <f>MID(PAA[[#This Row],[Meta Proyecto de Inversión]],6,1)</f>
        <v>2</v>
      </c>
      <c r="U648" s="173" t="str">
        <f>IFERROR(VLOOKUP(N648,TD!$B$50:$F$54,2,0)," ")</f>
        <v>O230117</v>
      </c>
      <c r="V648" s="173" t="str">
        <f>IFERROR(VLOOKUP(N648,TD!$B$50:$F$54,3,0)," ")</f>
        <v>4599</v>
      </c>
      <c r="W648" s="173">
        <f>IFERROR(VLOOKUP(N648,TD!$B$50:$F$54,4,0)," ")</f>
        <v>20240207</v>
      </c>
      <c r="X648" s="170" t="s">
        <v>182</v>
      </c>
      <c r="Y648" s="159" t="str">
        <f>IFERROR(VLOOKUP(X648,TD!$J$51:$K$64,2,0)," ")</f>
        <v>Servicios para la planeación y sistemas de gestión y comunicación estratégica</v>
      </c>
      <c r="Z648" s="171" t="str">
        <f>CONCATENATE(X648,"-",Y648)</f>
        <v>13-Servicios para la planeación y sistemas de gestión y comunicación estratégica</v>
      </c>
      <c r="AA648" s="170" t="s">
        <v>230</v>
      </c>
      <c r="AB648" s="159" t="str">
        <f>IFERROR(VLOOKUP(AA648,TD!$N$51:$O$66,2,0)," ")</f>
        <v>Servicio de Implementación Sistemas de Gestión</v>
      </c>
      <c r="AC648" s="171" t="str">
        <f>CONCATENATE(AA648,"_",AB648)</f>
        <v>023_Servicio de Implementación Sistemas de Gestión</v>
      </c>
      <c r="AD648" s="171" t="str">
        <f>CONCATENATE(Z648," ",AC648)</f>
        <v>13-Servicios para la planeación y sistemas de gestión y comunicación estratégica 023_Servicio de Implementación Sistemas de Gestión</v>
      </c>
      <c r="AE648" s="173" t="str">
        <f>CONCATENATE(U648,V648,W648,X648,AA648)</f>
        <v>O23011745992024020713023</v>
      </c>
      <c r="AF648" s="159" t="str">
        <f>IFERROR(VLOOKUP(AD648,TD!$J$66:$K$89,2,0)," ")</f>
        <v>PM/0131/0113/45990230207</v>
      </c>
      <c r="AG648" s="135" t="s">
        <v>385</v>
      </c>
      <c r="AH648" s="175" t="s">
        <v>194</v>
      </c>
      <c r="AI648" s="176" t="str">
        <f>CONCATENATE(PAA[[#This Row],[Id Interno]],"-",PAA[[#This Row],[tipo de Contrato (TH talento humano - B/S bienes y/o servicios)]],"-",S648,"-",T648,"-",PAA[[#This Row],[Objeto de la contratación]])</f>
        <v>20260640-TH-8126-2-Congelamiento recursos 5% proyecto 8126</v>
      </c>
    </row>
    <row r="649" spans="2:35" ht="56" x14ac:dyDescent="0.35">
      <c r="B649" s="142">
        <v>20260641</v>
      </c>
      <c r="C649" s="121" t="s">
        <v>1000</v>
      </c>
      <c r="D649" s="130" t="s">
        <v>105</v>
      </c>
      <c r="E649" s="130" t="s">
        <v>363</v>
      </c>
      <c r="F649" s="130" t="s">
        <v>144</v>
      </c>
      <c r="G649" s="131" t="s">
        <v>1004</v>
      </c>
      <c r="H649" s="137">
        <v>0</v>
      </c>
      <c r="I649" s="137">
        <v>0</v>
      </c>
      <c r="J649" s="132">
        <v>55442250</v>
      </c>
      <c r="K649" s="133" t="s">
        <v>398</v>
      </c>
      <c r="L649" s="172" t="s">
        <v>36</v>
      </c>
      <c r="M649" s="170" t="s">
        <v>401</v>
      </c>
      <c r="N649" s="130" t="s">
        <v>197</v>
      </c>
      <c r="O649" s="170" t="s">
        <v>957</v>
      </c>
      <c r="P649" s="170" t="s">
        <v>348</v>
      </c>
      <c r="Q649" s="134">
        <v>80111600</v>
      </c>
      <c r="R649" s="170" t="s">
        <v>200</v>
      </c>
      <c r="S649" s="170" t="str">
        <f>MID(PAA[[#This Row],[Meta Proyecto de Inversión]],1,4)</f>
        <v>8126</v>
      </c>
      <c r="T649" s="170" t="str">
        <f>MID(PAA[[#This Row],[Meta Proyecto de Inversión]],6,1)</f>
        <v>1</v>
      </c>
      <c r="U649" s="173" t="str">
        <f>IFERROR(VLOOKUP(N649,TD!$B$50:$F$54,2,0)," ")</f>
        <v>O230117</v>
      </c>
      <c r="V649" s="173" t="str">
        <f>IFERROR(VLOOKUP(N649,TD!$B$50:$F$54,3,0)," ")</f>
        <v>4599</v>
      </c>
      <c r="W649" s="173">
        <f>IFERROR(VLOOKUP(N649,TD!$B$50:$F$54,4,0)," ")</f>
        <v>20240207</v>
      </c>
      <c r="X649" s="170" t="s">
        <v>182</v>
      </c>
      <c r="Y649" s="159" t="str">
        <f>IFERROR(VLOOKUP(X649,TD!$J$51:$K$64,2,0)," ")</f>
        <v>Servicios para la planeación y sistemas de gestión y comunicación estratégica</v>
      </c>
      <c r="Z649" s="171" t="str">
        <f>CONCATENATE(X649,"-",Y649)</f>
        <v>13-Servicios para la planeación y sistemas de gestión y comunicación estratégica</v>
      </c>
      <c r="AA649" s="170" t="s">
        <v>229</v>
      </c>
      <c r="AB649" s="159" t="str">
        <f>IFERROR(VLOOKUP(AA649,TD!$N$51:$O$66,2,0)," ")</f>
        <v>Servicio de asistencia técnica</v>
      </c>
      <c r="AC649" s="171" t="str">
        <f>CONCATENATE(AA649,"_",AB649)</f>
        <v>031_Servicio de asistencia técnica</v>
      </c>
      <c r="AD649" s="171" t="str">
        <f>CONCATENATE(Z649," ",AC649)</f>
        <v>13-Servicios para la planeación y sistemas de gestión y comunicación estratégica 031_Servicio de asistencia técnica</v>
      </c>
      <c r="AE649" s="173" t="str">
        <f>CONCATENATE(U649,V649,W649,X649,AA649)</f>
        <v>O23011745992024020713031</v>
      </c>
      <c r="AF649" s="159" t="str">
        <f>IFERROR(VLOOKUP(AD649,TD!$J$66:$K$89,2,0)," ")</f>
        <v>PM/0131/0113/45990310207</v>
      </c>
      <c r="AG649" s="135" t="s">
        <v>385</v>
      </c>
      <c r="AH649" s="175" t="s">
        <v>194</v>
      </c>
      <c r="AI649" s="176" t="str">
        <f>CONCATENATE(PAA[[#This Row],[Id Interno]],"-",PAA[[#This Row],[tipo de Contrato (TH talento humano - B/S bienes y/o servicios)]],"-",S649,"-",T649,"-",PAA[[#This Row],[Objeto de la contratación]])</f>
        <v>20260641-TH-8126-1-Congelamiento recursos 5% proyecto 8126</v>
      </c>
    </row>
    <row r="650" spans="2:35" ht="56" x14ac:dyDescent="0.35">
      <c r="B650" s="142">
        <v>20260642</v>
      </c>
      <c r="C650" s="121" t="s">
        <v>1000</v>
      </c>
      <c r="D650" s="130" t="s">
        <v>83</v>
      </c>
      <c r="E650" s="130" t="s">
        <v>402</v>
      </c>
      <c r="F650" s="130" t="s">
        <v>89</v>
      </c>
      <c r="G650" s="131" t="s">
        <v>1004</v>
      </c>
      <c r="H650" s="137">
        <v>0</v>
      </c>
      <c r="I650" s="137">
        <v>0</v>
      </c>
      <c r="J650" s="132">
        <v>0</v>
      </c>
      <c r="K650" s="133" t="s">
        <v>398</v>
      </c>
      <c r="L650" s="172" t="s">
        <v>151</v>
      </c>
      <c r="M650" s="170" t="s">
        <v>401</v>
      </c>
      <c r="N650" s="130" t="s">
        <v>197</v>
      </c>
      <c r="O650" s="170" t="s">
        <v>957</v>
      </c>
      <c r="P650" s="170" t="s">
        <v>348</v>
      </c>
      <c r="Q650" s="134" t="s">
        <v>447</v>
      </c>
      <c r="R650" s="170" t="s">
        <v>204</v>
      </c>
      <c r="S650" s="170" t="str">
        <f>MID(PAA[[#This Row],[Meta Proyecto de Inversión]],1,4)</f>
        <v>8126</v>
      </c>
      <c r="T650" s="170" t="str">
        <f>MID(PAA[[#This Row],[Meta Proyecto de Inversión]],6,1)</f>
        <v>5</v>
      </c>
      <c r="U650" s="173" t="str">
        <f>IFERROR(VLOOKUP(N650,TD!$B$50:$F$54,2,0)," ")</f>
        <v>O230117</v>
      </c>
      <c r="V650" s="173" t="str">
        <f>IFERROR(VLOOKUP(N650,TD!$B$50:$F$54,3,0)," ")</f>
        <v>4599</v>
      </c>
      <c r="W650" s="173">
        <f>IFERROR(VLOOKUP(N650,TD!$B$50:$F$54,4,0)," ")</f>
        <v>20240207</v>
      </c>
      <c r="X650" s="170" t="s">
        <v>168</v>
      </c>
      <c r="Y650" s="159" t="str">
        <f>IFERROR(VLOOKUP(X650,TD!$J$51:$K$64,2,0)," ")</f>
        <v>Infraestructura Tecnológica   (Sistemas de Información y Tecnologia)</v>
      </c>
      <c r="Z650" s="171" t="str">
        <f>CONCATENATE(X650,"-",Y650)</f>
        <v>11-Infraestructura Tecnológica   (Sistemas de Información y Tecnologia)</v>
      </c>
      <c r="AA650" s="170" t="s">
        <v>228</v>
      </c>
      <c r="AB650" s="159" t="str">
        <f>IFERROR(VLOOKUP(AA650,TD!$N$51:$O$66,2,0)," ")</f>
        <v>Servicios tecnológicos</v>
      </c>
      <c r="AC650" s="171" t="str">
        <f>CONCATENATE(AA650,"_",AB650)</f>
        <v>007_Servicios tecnológicos</v>
      </c>
      <c r="AD650" s="171" t="str">
        <f>CONCATENATE(Z650," ",AC650)</f>
        <v>11-Infraestructura Tecnológica   (Sistemas de Información y Tecnologia) 007_Servicios tecnológicos</v>
      </c>
      <c r="AE650" s="173" t="str">
        <f>CONCATENATE(U650,V650,W650,X650,AA650)</f>
        <v>O23011745992024020711007</v>
      </c>
      <c r="AF650" s="159" t="str">
        <f>IFERROR(VLOOKUP(AD650,TD!$J$66:$K$89,2,0)," ")</f>
        <v>PM/0131/0111/45990070207</v>
      </c>
      <c r="AG650" s="135" t="s">
        <v>121</v>
      </c>
      <c r="AH650" s="175" t="s">
        <v>194</v>
      </c>
      <c r="AI650" s="178" t="str">
        <f>CONCATENATE(PAA[[#This Row],[Id Interno]],"-",PAA[[#This Row],[tipo de Contrato (TH talento humano - B/S bienes y/o servicios)]],"-",S650,"-",T650,"-",PAA[[#This Row],[Objeto de la contratación]])</f>
        <v>20260642-BS-8126-5-Congelamiento recursos 5% proyecto 8126</v>
      </c>
    </row>
    <row r="651" spans="2:35" ht="56" x14ac:dyDescent="0.35">
      <c r="B651" s="142">
        <v>20260643</v>
      </c>
      <c r="C651" s="121" t="s">
        <v>1000</v>
      </c>
      <c r="D651" s="130" t="s">
        <v>105</v>
      </c>
      <c r="E651" s="130" t="s">
        <v>363</v>
      </c>
      <c r="F651" s="130" t="s">
        <v>144</v>
      </c>
      <c r="G651" s="131" t="s">
        <v>1004</v>
      </c>
      <c r="H651" s="137">
        <v>0</v>
      </c>
      <c r="I651" s="137">
        <v>0</v>
      </c>
      <c r="J651" s="132">
        <v>0</v>
      </c>
      <c r="K651" s="133" t="s">
        <v>398</v>
      </c>
      <c r="L651" s="172" t="s">
        <v>150</v>
      </c>
      <c r="M651" s="170" t="s">
        <v>401</v>
      </c>
      <c r="N651" s="130" t="s">
        <v>197</v>
      </c>
      <c r="O651" s="170" t="s">
        <v>957</v>
      </c>
      <c r="P651" s="170" t="s">
        <v>348</v>
      </c>
      <c r="Q651" s="134">
        <v>80111600</v>
      </c>
      <c r="R651" s="170" t="s">
        <v>209</v>
      </c>
      <c r="S651" s="170" t="str">
        <f>MID(PAA[[#This Row],[Meta Proyecto de Inversión]],1,4)</f>
        <v>8126</v>
      </c>
      <c r="T651" s="170" t="str">
        <f>MID(PAA[[#This Row],[Meta Proyecto de Inversión]],6,1)</f>
        <v>1</v>
      </c>
      <c r="U651" s="173" t="str">
        <f>IFERROR(VLOOKUP(N651,TD!$B$50:$F$54,2,0)," ")</f>
        <v>O230117</v>
      </c>
      <c r="V651" s="173" t="str">
        <f>IFERROR(VLOOKUP(N651,TD!$B$50:$F$54,3,0)," ")</f>
        <v>4599</v>
      </c>
      <c r="W651" s="173">
        <f>IFERROR(VLOOKUP(N651,TD!$B$50:$F$54,4,0)," ")</f>
        <v>20240207</v>
      </c>
      <c r="X651" s="170" t="s">
        <v>182</v>
      </c>
      <c r="Y651" s="159" t="str">
        <f>IFERROR(VLOOKUP(X651,TD!$J$51:$K$64,2,0)," ")</f>
        <v>Servicios para la planeación y sistemas de gestión y comunicación estratégica</v>
      </c>
      <c r="Z651" s="171" t="str">
        <f>CONCATENATE(X651,"-",Y651)</f>
        <v>13-Servicios para la planeación y sistemas de gestión y comunicación estratégica</v>
      </c>
      <c r="AA651" s="170" t="s">
        <v>231</v>
      </c>
      <c r="AB651" s="159" t="str">
        <f>IFERROR(VLOOKUP(AA651,TD!$N$51:$O$66,2,0)," ")</f>
        <v>Documentos de planeación</v>
      </c>
      <c r="AC651" s="171" t="str">
        <f>CONCATENATE(AA651,"_",AB651)</f>
        <v>019_Documentos de planeación</v>
      </c>
      <c r="AD651" s="171" t="str">
        <f>CONCATENATE(Z651," ",AC651)</f>
        <v>13-Servicios para la planeación y sistemas de gestión y comunicación estratégica 019_Documentos de planeación</v>
      </c>
      <c r="AE651" s="173" t="str">
        <f>CONCATENATE(U651,V651,W651,X651,AA651)</f>
        <v>O23011745992024020713019</v>
      </c>
      <c r="AF651" s="159" t="str">
        <f>IFERROR(VLOOKUP(AD651,TD!$J$66:$K$89,2,0)," ")</f>
        <v>PM/0131/0113/45990190207</v>
      </c>
      <c r="AG651" s="135" t="s">
        <v>385</v>
      </c>
      <c r="AH651" s="175" t="s">
        <v>194</v>
      </c>
      <c r="AI651" s="178" t="str">
        <f>CONCATENATE(PAA[[#This Row],[Id Interno]],"-",PAA[[#This Row],[tipo de Contrato (TH talento humano - B/S bienes y/o servicios)]],"-",S651,"-",T651,"-",PAA[[#This Row],[Objeto de la contratación]])</f>
        <v>20260643-TH-8126-1-Congelamiento recursos 5% proyecto 8126</v>
      </c>
    </row>
    <row r="652" spans="2:35" ht="56" x14ac:dyDescent="0.35">
      <c r="B652" s="142">
        <v>20260644</v>
      </c>
      <c r="C652" s="121" t="s">
        <v>1000</v>
      </c>
      <c r="D652" s="130" t="s">
        <v>105</v>
      </c>
      <c r="E652" s="130" t="s">
        <v>363</v>
      </c>
      <c r="F652" s="130" t="s">
        <v>144</v>
      </c>
      <c r="G652" s="131" t="s">
        <v>1004</v>
      </c>
      <c r="H652" s="137">
        <v>0</v>
      </c>
      <c r="I652" s="137">
        <v>0</v>
      </c>
      <c r="J652" s="132">
        <v>64171317</v>
      </c>
      <c r="K652" s="133" t="s">
        <v>398</v>
      </c>
      <c r="L652" s="172" t="s">
        <v>45</v>
      </c>
      <c r="M652" s="170" t="s">
        <v>401</v>
      </c>
      <c r="N652" s="130" t="s">
        <v>197</v>
      </c>
      <c r="O652" s="170" t="s">
        <v>957</v>
      </c>
      <c r="P652" s="170" t="s">
        <v>348</v>
      </c>
      <c r="Q652" s="134" t="s">
        <v>778</v>
      </c>
      <c r="R652" s="170" t="s">
        <v>208</v>
      </c>
      <c r="S652" s="170" t="str">
        <f>MID(PAA[[#This Row],[Meta Proyecto de Inversión]],1,4)</f>
        <v>8126</v>
      </c>
      <c r="T652" s="170" t="str">
        <f>MID(PAA[[#This Row],[Meta Proyecto de Inversión]],6,1)</f>
        <v>9</v>
      </c>
      <c r="U652" s="173" t="str">
        <f>IFERROR(VLOOKUP(N652,TD!$B$50:$F$54,2,0)," ")</f>
        <v>O230117</v>
      </c>
      <c r="V652" s="173" t="str">
        <f>IFERROR(VLOOKUP(N652,TD!$B$50:$F$54,3,0)," ")</f>
        <v>4599</v>
      </c>
      <c r="W652" s="173">
        <f>IFERROR(VLOOKUP(N652,TD!$B$50:$F$54,4,0)," ")</f>
        <v>20240207</v>
      </c>
      <c r="X652" s="170" t="s">
        <v>174</v>
      </c>
      <c r="Y652" s="159" t="str">
        <f>IFERROR(VLOOKUP(X652,TD!$J$51:$K$64,2,0)," ")</f>
        <v>Infraestructura física, mantenimiento y dotación (Sedes construidas, mantenidas reforzadas)</v>
      </c>
      <c r="Z652" s="171" t="str">
        <f>CONCATENATE(X652,"-",Y652)</f>
        <v>08-Infraestructura física, mantenimiento y dotación (Sedes construidas, mantenidas reforzadas)</v>
      </c>
      <c r="AA652" s="170" t="s">
        <v>227</v>
      </c>
      <c r="AB652" s="159" t="str">
        <f>IFERROR(VLOOKUP(AA652,TD!$N$51:$O$66,2,0)," ")</f>
        <v>Sedes mantenidas</v>
      </c>
      <c r="AC652" s="171" t="str">
        <f>CONCATENATE(AA652,"_",AB652)</f>
        <v>016_Sedes mantenidas</v>
      </c>
      <c r="AD652" s="171" t="str">
        <f>CONCATENATE(Z652," ",AC652)</f>
        <v>08-Infraestructura física, mantenimiento y dotación (Sedes construidas, mantenidas reforzadas) 016_Sedes mantenidas</v>
      </c>
      <c r="AE652" s="173" t="str">
        <f>CONCATENATE(U652,V652,W652,X652,AA652)</f>
        <v>O23011745992024020708016</v>
      </c>
      <c r="AF652" s="159" t="str">
        <f>IFERROR(VLOOKUP(AD652,TD!$J$66:$K$89,2,0)," ")</f>
        <v>PM/0131/0108/45990160207</v>
      </c>
      <c r="AG652" s="135" t="s">
        <v>385</v>
      </c>
      <c r="AH652" s="175" t="s">
        <v>194</v>
      </c>
      <c r="AI652" s="178" t="str">
        <f>CONCATENATE(PAA[[#This Row],[Id Interno]],"-",PAA[[#This Row],[tipo de Contrato (TH talento humano - B/S bienes y/o servicios)]],"-",S652,"-",T652,"-",PAA[[#This Row],[Objeto de la contratación]])</f>
        <v>20260644-TH-8126-9-Congelamiento recursos 5% proyecto 8126</v>
      </c>
    </row>
    <row r="653" spans="2:35" ht="56" x14ac:dyDescent="0.35">
      <c r="B653" s="142">
        <v>20260645</v>
      </c>
      <c r="C653" s="121" t="s">
        <v>1000</v>
      </c>
      <c r="D653" s="130" t="s">
        <v>105</v>
      </c>
      <c r="E653" s="130" t="s">
        <v>363</v>
      </c>
      <c r="F653" s="130" t="s">
        <v>144</v>
      </c>
      <c r="G653" s="131" t="s">
        <v>1004</v>
      </c>
      <c r="H653" s="137">
        <v>0</v>
      </c>
      <c r="I653" s="137">
        <v>0</v>
      </c>
      <c r="J653" s="132">
        <v>24231997</v>
      </c>
      <c r="K653" s="133" t="s">
        <v>398</v>
      </c>
      <c r="L653" s="172" t="s">
        <v>46</v>
      </c>
      <c r="M653" s="170" t="s">
        <v>401</v>
      </c>
      <c r="N653" s="130" t="s">
        <v>197</v>
      </c>
      <c r="O653" s="170" t="s">
        <v>957</v>
      </c>
      <c r="P653" s="170" t="s">
        <v>348</v>
      </c>
      <c r="Q653" s="134" t="s">
        <v>778</v>
      </c>
      <c r="R653" s="170" t="s">
        <v>208</v>
      </c>
      <c r="S653" s="170" t="str">
        <f>MID(PAA[[#This Row],[Meta Proyecto de Inversión]],1,4)</f>
        <v>8126</v>
      </c>
      <c r="T653" s="170" t="str">
        <f>MID(PAA[[#This Row],[Meta Proyecto de Inversión]],6,1)</f>
        <v>9</v>
      </c>
      <c r="U653" s="173" t="str">
        <f>IFERROR(VLOOKUP(N653,TD!$B$50:$F$54,2,0)," ")</f>
        <v>O230117</v>
      </c>
      <c r="V653" s="173" t="str">
        <f>IFERROR(VLOOKUP(N653,TD!$B$50:$F$54,3,0)," ")</f>
        <v>4599</v>
      </c>
      <c r="W653" s="173">
        <f>IFERROR(VLOOKUP(N653,TD!$B$50:$F$54,4,0)," ")</f>
        <v>20240207</v>
      </c>
      <c r="X653" s="170" t="s">
        <v>174</v>
      </c>
      <c r="Y653" s="159" t="str">
        <f>IFERROR(VLOOKUP(X653,TD!$J$51:$K$64,2,0)," ")</f>
        <v>Infraestructura física, mantenimiento y dotación (Sedes construidas, mantenidas reforzadas)</v>
      </c>
      <c r="Z653" s="171" t="str">
        <f>CONCATENATE(X653,"-",Y653)</f>
        <v>08-Infraestructura física, mantenimiento y dotación (Sedes construidas, mantenidas reforzadas)</v>
      </c>
      <c r="AA653" s="170" t="s">
        <v>227</v>
      </c>
      <c r="AB653" s="159" t="str">
        <f>IFERROR(VLOOKUP(AA653,TD!$N$51:$O$66,2,0)," ")</f>
        <v>Sedes mantenidas</v>
      </c>
      <c r="AC653" s="171" t="str">
        <f>CONCATENATE(AA653,"_",AB653)</f>
        <v>016_Sedes mantenidas</v>
      </c>
      <c r="AD653" s="171" t="str">
        <f>CONCATENATE(Z653," ",AC653)</f>
        <v>08-Infraestructura física, mantenimiento y dotación (Sedes construidas, mantenidas reforzadas) 016_Sedes mantenidas</v>
      </c>
      <c r="AE653" s="173" t="str">
        <f>CONCATENATE(U653,V653,W653,X653,AA653)</f>
        <v>O23011745992024020708016</v>
      </c>
      <c r="AF653" s="159" t="str">
        <f>IFERROR(VLOOKUP(AD653,TD!$J$66:$K$89,2,0)," ")</f>
        <v>PM/0131/0108/45990160207</v>
      </c>
      <c r="AG653" s="135" t="s">
        <v>385</v>
      </c>
      <c r="AH653" s="175" t="s">
        <v>194</v>
      </c>
      <c r="AI653" s="178" t="str">
        <f>CONCATENATE(PAA[[#This Row],[Id Interno]],"-",PAA[[#This Row],[tipo de Contrato (TH talento humano - B/S bienes y/o servicios)]],"-",S653,"-",T653,"-",PAA[[#This Row],[Objeto de la contratación]])</f>
        <v>20260645-TH-8126-9-Congelamiento recursos 5% proyecto 8126</v>
      </c>
    </row>
    <row r="654" spans="2:35" ht="56" x14ac:dyDescent="0.35">
      <c r="B654" s="142">
        <v>20260646</v>
      </c>
      <c r="C654" s="121" t="s">
        <v>1000</v>
      </c>
      <c r="D654" s="130" t="s">
        <v>105</v>
      </c>
      <c r="E654" s="130" t="s">
        <v>363</v>
      </c>
      <c r="F654" s="130" t="s">
        <v>144</v>
      </c>
      <c r="G654" s="131" t="s">
        <v>1004</v>
      </c>
      <c r="H654" s="137">
        <v>0</v>
      </c>
      <c r="I654" s="137">
        <v>0</v>
      </c>
      <c r="J654" s="132">
        <v>24969186</v>
      </c>
      <c r="K654" s="133" t="s">
        <v>398</v>
      </c>
      <c r="L654" s="172" t="s">
        <v>152</v>
      </c>
      <c r="M654" s="170" t="s">
        <v>401</v>
      </c>
      <c r="N654" s="130" t="s">
        <v>197</v>
      </c>
      <c r="O654" s="170" t="s">
        <v>957</v>
      </c>
      <c r="P654" s="170" t="s">
        <v>348</v>
      </c>
      <c r="Q654" s="134" t="s">
        <v>778</v>
      </c>
      <c r="R654" s="170" t="s">
        <v>208</v>
      </c>
      <c r="S654" s="170" t="str">
        <f>MID(PAA[[#This Row],[Meta Proyecto de Inversión]],1,4)</f>
        <v>8126</v>
      </c>
      <c r="T654" s="170" t="str">
        <f>MID(PAA[[#This Row],[Meta Proyecto de Inversión]],6,1)</f>
        <v>9</v>
      </c>
      <c r="U654" s="173" t="str">
        <f>IFERROR(VLOOKUP(N654,TD!$B$50:$F$54,2,0)," ")</f>
        <v>O230117</v>
      </c>
      <c r="V654" s="173" t="str">
        <f>IFERROR(VLOOKUP(N654,TD!$B$50:$F$54,3,0)," ")</f>
        <v>4599</v>
      </c>
      <c r="W654" s="173">
        <f>IFERROR(VLOOKUP(N654,TD!$B$50:$F$54,4,0)," ")</f>
        <v>20240207</v>
      </c>
      <c r="X654" s="170" t="s">
        <v>174</v>
      </c>
      <c r="Y654" s="159" t="str">
        <f>IFERROR(VLOOKUP(X654,TD!$J$51:$K$64,2,0)," ")</f>
        <v>Infraestructura física, mantenimiento y dotación (Sedes construidas, mantenidas reforzadas)</v>
      </c>
      <c r="Z654" s="171" t="str">
        <f>CONCATENATE(X654,"-",Y654)</f>
        <v>08-Infraestructura física, mantenimiento y dotación (Sedes construidas, mantenidas reforzadas)</v>
      </c>
      <c r="AA654" s="170" t="s">
        <v>227</v>
      </c>
      <c r="AB654" s="159" t="str">
        <f>IFERROR(VLOOKUP(AA654,TD!$N$51:$O$66,2,0)," ")</f>
        <v>Sedes mantenidas</v>
      </c>
      <c r="AC654" s="171" t="str">
        <f>CONCATENATE(AA654,"_",AB654)</f>
        <v>016_Sedes mantenidas</v>
      </c>
      <c r="AD654" s="171" t="str">
        <f>CONCATENATE(Z654," ",AC654)</f>
        <v>08-Infraestructura física, mantenimiento y dotación (Sedes construidas, mantenidas reforzadas) 016_Sedes mantenidas</v>
      </c>
      <c r="AE654" s="173" t="str">
        <f>CONCATENATE(U654,V654,W654,X654,AA654)</f>
        <v>O23011745992024020708016</v>
      </c>
      <c r="AF654" s="159" t="str">
        <f>IFERROR(VLOOKUP(AD654,TD!$J$66:$K$89,2,0)," ")</f>
        <v>PM/0131/0108/45990160207</v>
      </c>
      <c r="AG654" s="135" t="s">
        <v>385</v>
      </c>
      <c r="AH654" s="175" t="s">
        <v>194</v>
      </c>
      <c r="AI654" s="178" t="str">
        <f>CONCATENATE(PAA[[#This Row],[Id Interno]],"-",PAA[[#This Row],[tipo de Contrato (TH talento humano - B/S bienes y/o servicios)]],"-",S654,"-",T654,"-",PAA[[#This Row],[Objeto de la contratación]])</f>
        <v>20260646-TH-8126-9-Congelamiento recursos 5% proyecto 8126</v>
      </c>
    </row>
    <row r="655" spans="2:35" ht="56" x14ac:dyDescent="0.35">
      <c r="B655" s="142">
        <v>20260647</v>
      </c>
      <c r="C655" s="121" t="s">
        <v>1000</v>
      </c>
      <c r="D655" s="130" t="s">
        <v>105</v>
      </c>
      <c r="E655" s="130" t="s">
        <v>363</v>
      </c>
      <c r="F655" s="130" t="s">
        <v>144</v>
      </c>
      <c r="G655" s="131" t="s">
        <v>1004</v>
      </c>
      <c r="H655" s="137">
        <v>0</v>
      </c>
      <c r="I655" s="137">
        <v>0</v>
      </c>
      <c r="J655" s="132">
        <v>0</v>
      </c>
      <c r="K655" s="133" t="s">
        <v>398</v>
      </c>
      <c r="L655" s="172" t="s">
        <v>153</v>
      </c>
      <c r="M655" s="170" t="s">
        <v>401</v>
      </c>
      <c r="N655" s="130" t="s">
        <v>197</v>
      </c>
      <c r="O655" s="170" t="s">
        <v>957</v>
      </c>
      <c r="P655" s="170" t="s">
        <v>348</v>
      </c>
      <c r="Q655" s="134" t="s">
        <v>778</v>
      </c>
      <c r="R655" s="170" t="s">
        <v>208</v>
      </c>
      <c r="S655" s="170" t="str">
        <f>MID(PAA[[#This Row],[Meta Proyecto de Inversión]],1,4)</f>
        <v>8126</v>
      </c>
      <c r="T655" s="170" t="str">
        <f>MID(PAA[[#This Row],[Meta Proyecto de Inversión]],6,1)</f>
        <v>9</v>
      </c>
      <c r="U655" s="173" t="str">
        <f>IFERROR(VLOOKUP(N655,TD!$B$50:$F$54,2,0)," ")</f>
        <v>O230117</v>
      </c>
      <c r="V655" s="173" t="str">
        <f>IFERROR(VLOOKUP(N655,TD!$B$50:$F$54,3,0)," ")</f>
        <v>4599</v>
      </c>
      <c r="W655" s="173">
        <f>IFERROR(VLOOKUP(N655,TD!$B$50:$F$54,4,0)," ")</f>
        <v>20240207</v>
      </c>
      <c r="X655" s="170" t="s">
        <v>174</v>
      </c>
      <c r="Y655" s="159" t="str">
        <f>IFERROR(VLOOKUP(X655,TD!$J$51:$K$64,2,0)," ")</f>
        <v>Infraestructura física, mantenimiento y dotación (Sedes construidas, mantenidas reforzadas)</v>
      </c>
      <c r="Z655" s="171" t="str">
        <f>CONCATENATE(X655,"-",Y655)</f>
        <v>08-Infraestructura física, mantenimiento y dotación (Sedes construidas, mantenidas reforzadas)</v>
      </c>
      <c r="AA655" s="170" t="s">
        <v>227</v>
      </c>
      <c r="AB655" s="159" t="str">
        <f>IFERROR(VLOOKUP(AA655,TD!$N$51:$O$66,2,0)," ")</f>
        <v>Sedes mantenidas</v>
      </c>
      <c r="AC655" s="171" t="str">
        <f>CONCATENATE(AA655,"_",AB655)</f>
        <v>016_Sedes mantenidas</v>
      </c>
      <c r="AD655" s="171" t="str">
        <f>CONCATENATE(Z655," ",AC655)</f>
        <v>08-Infraestructura física, mantenimiento y dotación (Sedes construidas, mantenidas reforzadas) 016_Sedes mantenidas</v>
      </c>
      <c r="AE655" s="173" t="str">
        <f>CONCATENATE(U655,V655,W655,X655,AA655)</f>
        <v>O23011745992024020708016</v>
      </c>
      <c r="AF655" s="159" t="str">
        <f>IFERROR(VLOOKUP(AD655,TD!$J$66:$K$89,2,0)," ")</f>
        <v>PM/0131/0108/45990160207</v>
      </c>
      <c r="AG655" s="135" t="s">
        <v>385</v>
      </c>
      <c r="AH655" s="175" t="s">
        <v>194</v>
      </c>
      <c r="AI655" s="178" t="str">
        <f>CONCATENATE(PAA[[#This Row],[Id Interno]],"-",PAA[[#This Row],[tipo de Contrato (TH talento humano - B/S bienes y/o servicios)]],"-",S655,"-",T655,"-",PAA[[#This Row],[Objeto de la contratación]])</f>
        <v>20260647-TH-8126-9-Congelamiento recursos 5% proyecto 8126</v>
      </c>
    </row>
    <row r="656" spans="2:35" ht="56" x14ac:dyDescent="0.35">
      <c r="B656" s="142">
        <v>20260648</v>
      </c>
      <c r="C656" s="121" t="s">
        <v>1000</v>
      </c>
      <c r="D656" s="130" t="s">
        <v>105</v>
      </c>
      <c r="E656" s="130" t="s">
        <v>363</v>
      </c>
      <c r="F656" s="130" t="s">
        <v>144</v>
      </c>
      <c r="G656" s="131" t="s">
        <v>1004</v>
      </c>
      <c r="H656" s="137">
        <v>0</v>
      </c>
      <c r="I656" s="137">
        <v>0</v>
      </c>
      <c r="J656" s="132"/>
      <c r="K656" s="133" t="s">
        <v>398</v>
      </c>
      <c r="L656" s="172" t="s">
        <v>154</v>
      </c>
      <c r="M656" s="170" t="s">
        <v>401</v>
      </c>
      <c r="N656" s="130" t="s">
        <v>197</v>
      </c>
      <c r="O656" s="170" t="s">
        <v>957</v>
      </c>
      <c r="P656" s="170" t="s">
        <v>348</v>
      </c>
      <c r="Q656" s="134" t="s">
        <v>778</v>
      </c>
      <c r="R656" s="170" t="s">
        <v>208</v>
      </c>
      <c r="S656" s="170" t="str">
        <f>MID(PAA[[#This Row],[Meta Proyecto de Inversión]],1,4)</f>
        <v>8126</v>
      </c>
      <c r="T656" s="170" t="str">
        <f>MID(PAA[[#This Row],[Meta Proyecto de Inversión]],6,1)</f>
        <v>9</v>
      </c>
      <c r="U656" s="173" t="str">
        <f>IFERROR(VLOOKUP(N656,TD!$B$50:$F$54,2,0)," ")</f>
        <v>O230117</v>
      </c>
      <c r="V656" s="173" t="str">
        <f>IFERROR(VLOOKUP(N656,TD!$B$50:$F$54,3,0)," ")</f>
        <v>4599</v>
      </c>
      <c r="W656" s="173">
        <f>IFERROR(VLOOKUP(N656,TD!$B$50:$F$54,4,0)," ")</f>
        <v>20240207</v>
      </c>
      <c r="X656" s="170" t="s">
        <v>174</v>
      </c>
      <c r="Y656" s="159" t="str">
        <f>IFERROR(VLOOKUP(X656,TD!$J$51:$K$64,2,0)," ")</f>
        <v>Infraestructura física, mantenimiento y dotación (Sedes construidas, mantenidas reforzadas)</v>
      </c>
      <c r="Z656" s="171" t="str">
        <f>CONCATENATE(X656,"-",Y656)</f>
        <v>08-Infraestructura física, mantenimiento y dotación (Sedes construidas, mantenidas reforzadas)</v>
      </c>
      <c r="AA656" s="170" t="s">
        <v>227</v>
      </c>
      <c r="AB656" s="159" t="str">
        <f>IFERROR(VLOOKUP(AA656,TD!$N$51:$O$66,2,0)," ")</f>
        <v>Sedes mantenidas</v>
      </c>
      <c r="AC656" s="171" t="str">
        <f>CONCATENATE(AA656,"_",AB656)</f>
        <v>016_Sedes mantenidas</v>
      </c>
      <c r="AD656" s="171" t="str">
        <f>CONCATENATE(Z656," ",AC656)</f>
        <v>08-Infraestructura física, mantenimiento y dotación (Sedes construidas, mantenidas reforzadas) 016_Sedes mantenidas</v>
      </c>
      <c r="AE656" s="173" t="str">
        <f>CONCATENATE(U656,V656,W656,X656,AA656)</f>
        <v>O23011745992024020708016</v>
      </c>
      <c r="AF656" s="159" t="str">
        <f>IFERROR(VLOOKUP(AD656,TD!$J$66:$K$89,2,0)," ")</f>
        <v>PM/0131/0108/45990160207</v>
      </c>
      <c r="AG656" s="135" t="s">
        <v>385</v>
      </c>
      <c r="AH656" s="175" t="s">
        <v>194</v>
      </c>
      <c r="AI656" s="178" t="str">
        <f>CONCATENATE(PAA[[#This Row],[Id Interno]],"-",PAA[[#This Row],[tipo de Contrato (TH talento humano - B/S bienes y/o servicios)]],"-",S656,"-",T656,"-",PAA[[#This Row],[Objeto de la contratación]])</f>
        <v>20260648-TH-8126-9-Congelamiento recursos 5% proyecto 8126</v>
      </c>
    </row>
    <row r="657" spans="2:35" ht="70" x14ac:dyDescent="0.35">
      <c r="B657" s="142">
        <v>20260649</v>
      </c>
      <c r="C657" s="121" t="s">
        <v>1000</v>
      </c>
      <c r="D657" s="130" t="s">
        <v>83</v>
      </c>
      <c r="E657" s="130" t="s">
        <v>402</v>
      </c>
      <c r="F657" s="130" t="s">
        <v>136</v>
      </c>
      <c r="G657" s="131" t="s">
        <v>1004</v>
      </c>
      <c r="H657" s="137">
        <v>0</v>
      </c>
      <c r="I657" s="137">
        <v>0</v>
      </c>
      <c r="J657" s="132">
        <v>0</v>
      </c>
      <c r="K657" s="133" t="s">
        <v>398</v>
      </c>
      <c r="L657" s="172" t="s">
        <v>155</v>
      </c>
      <c r="M657" s="170" t="s">
        <v>422</v>
      </c>
      <c r="N657" s="130" t="s">
        <v>197</v>
      </c>
      <c r="O657" s="170" t="s">
        <v>957</v>
      </c>
      <c r="P657" s="170" t="s">
        <v>348</v>
      </c>
      <c r="Q657" s="134" t="s">
        <v>969</v>
      </c>
      <c r="R657" s="170" t="s">
        <v>207</v>
      </c>
      <c r="S657" s="170" t="str">
        <f>MID(PAA[[#This Row],[Meta Proyecto de Inversión]],1,4)</f>
        <v>8126</v>
      </c>
      <c r="T657" s="170" t="str">
        <f>MID(PAA[[#This Row],[Meta Proyecto de Inversión]],6,1)</f>
        <v>8</v>
      </c>
      <c r="U657" s="173" t="str">
        <f>IFERROR(VLOOKUP(N657,TD!$B$50:$F$54,2,0)," ")</f>
        <v>O230117</v>
      </c>
      <c r="V657" s="173" t="str">
        <f>IFERROR(VLOOKUP(N657,TD!$B$50:$F$54,3,0)," ")</f>
        <v>4599</v>
      </c>
      <c r="W657" s="173">
        <f>IFERROR(VLOOKUP(N657,TD!$B$50:$F$54,4,0)," ")</f>
        <v>20240207</v>
      </c>
      <c r="X657" s="170" t="s">
        <v>174</v>
      </c>
      <c r="Y657" s="159" t="str">
        <f>IFERROR(VLOOKUP(X657,TD!$J$51:$K$64,2,0)," ")</f>
        <v>Infraestructura física, mantenimiento y dotación (Sedes construidas, mantenidas reforzadas)</v>
      </c>
      <c r="Z657" s="171" t="str">
        <f>CONCATENATE(X657,"-",Y657)</f>
        <v>08-Infraestructura física, mantenimiento y dotación (Sedes construidas, mantenidas reforzadas)</v>
      </c>
      <c r="AA657" s="170" t="s">
        <v>227</v>
      </c>
      <c r="AB657" s="159" t="str">
        <f>IFERROR(VLOOKUP(AA657,TD!$N$51:$O$66,2,0)," ")</f>
        <v>Sedes mantenidas</v>
      </c>
      <c r="AC657" s="171" t="str">
        <f>CONCATENATE(AA657,"_",AB657)</f>
        <v>016_Sedes mantenidas</v>
      </c>
      <c r="AD657" s="171" t="str">
        <f>CONCATENATE(Z657," ",AC657)</f>
        <v>08-Infraestructura física, mantenimiento y dotación (Sedes construidas, mantenidas reforzadas) 016_Sedes mantenidas</v>
      </c>
      <c r="AE657" s="173" t="str">
        <f>CONCATENATE(U657,V657,W657,X657,AA657)</f>
        <v>O23011745992024020708016</v>
      </c>
      <c r="AF657" s="159" t="str">
        <f>IFERROR(VLOOKUP(AD657,TD!$J$66:$K$89,2,0)," ")</f>
        <v>PM/0131/0108/45990160207</v>
      </c>
      <c r="AG657" s="135" t="s">
        <v>80</v>
      </c>
      <c r="AH657" s="175" t="s">
        <v>194</v>
      </c>
      <c r="AI657" s="178" t="str">
        <f>CONCATENATE(PAA[[#This Row],[Id Interno]],"-",PAA[[#This Row],[tipo de Contrato (TH talento humano - B/S bienes y/o servicios)]],"-",S657,"-",T657,"-",PAA[[#This Row],[Objeto de la contratación]])</f>
        <v>20260649-BS-8126-8-Congelamiento recursos 5% proyecto 8126</v>
      </c>
    </row>
    <row r="658" spans="2:35" ht="72" customHeight="1" x14ac:dyDescent="0.35">
      <c r="B658" s="142">
        <v>20260650</v>
      </c>
      <c r="C658" s="121" t="s">
        <v>1000</v>
      </c>
      <c r="D658" s="130" t="s">
        <v>78</v>
      </c>
      <c r="E658" s="130" t="s">
        <v>402</v>
      </c>
      <c r="F658" s="130" t="s">
        <v>97</v>
      </c>
      <c r="G658" s="131" t="s">
        <v>1004</v>
      </c>
      <c r="H658" s="137">
        <v>0</v>
      </c>
      <c r="I658" s="137">
        <v>0</v>
      </c>
      <c r="J658" s="132">
        <v>0</v>
      </c>
      <c r="K658" s="133" t="s">
        <v>398</v>
      </c>
      <c r="L658" s="172" t="s">
        <v>155</v>
      </c>
      <c r="M658" s="170" t="s">
        <v>422</v>
      </c>
      <c r="N658" s="130" t="s">
        <v>197</v>
      </c>
      <c r="O658" s="170" t="s">
        <v>957</v>
      </c>
      <c r="P658" s="170" t="s">
        <v>348</v>
      </c>
      <c r="Q658" s="134" t="s">
        <v>787</v>
      </c>
      <c r="R658" s="170" t="s">
        <v>207</v>
      </c>
      <c r="S658" s="170" t="str">
        <f>MID(PAA[[#This Row],[Meta Proyecto de Inversión]],1,4)</f>
        <v>8126</v>
      </c>
      <c r="T658" s="170" t="str">
        <f>MID(PAA[[#This Row],[Meta Proyecto de Inversión]],6,1)</f>
        <v>8</v>
      </c>
      <c r="U658" s="173" t="str">
        <f>IFERROR(VLOOKUP(N658,TD!$B$50:$F$54,2,0)," ")</f>
        <v>O230117</v>
      </c>
      <c r="V658" s="173" t="str">
        <f>IFERROR(VLOOKUP(N658,TD!$B$50:$F$54,3,0)," ")</f>
        <v>4599</v>
      </c>
      <c r="W658" s="173">
        <f>IFERROR(VLOOKUP(N658,TD!$B$50:$F$54,4,0)," ")</f>
        <v>20240207</v>
      </c>
      <c r="X658" s="170" t="s">
        <v>174</v>
      </c>
      <c r="Y658" s="159" t="str">
        <f>IFERROR(VLOOKUP(X658,TD!$J$51:$K$64,2,0)," ")</f>
        <v>Infraestructura física, mantenimiento y dotación (Sedes construidas, mantenidas reforzadas)</v>
      </c>
      <c r="Z658" s="171" t="str">
        <f>CONCATENATE(X658,"-",Y658)</f>
        <v>08-Infraestructura física, mantenimiento y dotación (Sedes construidas, mantenidas reforzadas)</v>
      </c>
      <c r="AA658" s="170" t="s">
        <v>227</v>
      </c>
      <c r="AB658" s="159" t="str">
        <f>IFERROR(VLOOKUP(AA658,TD!$N$51:$O$66,2,0)," ")</f>
        <v>Sedes mantenidas</v>
      </c>
      <c r="AC658" s="171" t="str">
        <f>CONCATENATE(AA658,"_",AB658)</f>
        <v>016_Sedes mantenidas</v>
      </c>
      <c r="AD658" s="171" t="str">
        <f>CONCATENATE(Z658," ",AC658)</f>
        <v>08-Infraestructura física, mantenimiento y dotación (Sedes construidas, mantenidas reforzadas) 016_Sedes mantenidas</v>
      </c>
      <c r="AE658" s="173" t="str">
        <f>CONCATENATE(U658,V658,W658,X658,AA658)</f>
        <v>O23011745992024020708016</v>
      </c>
      <c r="AF658" s="159" t="str">
        <f>IFERROR(VLOOKUP(AD658,TD!$J$66:$K$89,2,0)," ")</f>
        <v>PM/0131/0108/45990160207</v>
      </c>
      <c r="AG658" s="135" t="s">
        <v>94</v>
      </c>
      <c r="AH658" s="175" t="s">
        <v>194</v>
      </c>
      <c r="AI658" s="178" t="str">
        <f>CONCATENATE(PAA[[#This Row],[Id Interno]],"-",PAA[[#This Row],[tipo de Contrato (TH talento humano - B/S bienes y/o servicios)]],"-",S658,"-",T658,"-",PAA[[#This Row],[Objeto de la contratación]])</f>
        <v>20260650-BS-8126-8-Congelamiento recursos 5% proyecto 8126</v>
      </c>
    </row>
    <row r="659" spans="2:35" ht="72" customHeight="1" x14ac:dyDescent="0.35">
      <c r="B659" s="142">
        <v>20260651</v>
      </c>
      <c r="C659" s="121" t="s">
        <v>1000</v>
      </c>
      <c r="D659" s="130" t="s">
        <v>114</v>
      </c>
      <c r="E659" s="130" t="s">
        <v>402</v>
      </c>
      <c r="F659" s="130" t="s">
        <v>89</v>
      </c>
      <c r="G659" s="131" t="s">
        <v>1004</v>
      </c>
      <c r="H659" s="137">
        <v>0</v>
      </c>
      <c r="I659" s="137">
        <v>0</v>
      </c>
      <c r="J659" s="132">
        <v>0</v>
      </c>
      <c r="K659" s="133" t="s">
        <v>398</v>
      </c>
      <c r="L659" s="172" t="s">
        <v>155</v>
      </c>
      <c r="M659" s="170" t="s">
        <v>422</v>
      </c>
      <c r="N659" s="130" t="s">
        <v>197</v>
      </c>
      <c r="O659" s="170" t="s">
        <v>957</v>
      </c>
      <c r="P659" s="170" t="s">
        <v>348</v>
      </c>
      <c r="Q659" s="134" t="s">
        <v>779</v>
      </c>
      <c r="R659" s="170" t="s">
        <v>207</v>
      </c>
      <c r="S659" s="170" t="str">
        <f>MID(PAA[[#This Row],[Meta Proyecto de Inversión]],1,4)</f>
        <v>8126</v>
      </c>
      <c r="T659" s="170" t="str">
        <f>MID(PAA[[#This Row],[Meta Proyecto de Inversión]],6,1)</f>
        <v>8</v>
      </c>
      <c r="U659" s="173" t="str">
        <f>IFERROR(VLOOKUP(N659,TD!$B$50:$F$54,2,0)," ")</f>
        <v>O230117</v>
      </c>
      <c r="V659" s="173" t="str">
        <f>IFERROR(VLOOKUP(N659,TD!$B$50:$F$54,3,0)," ")</f>
        <v>4599</v>
      </c>
      <c r="W659" s="173">
        <f>IFERROR(VLOOKUP(N659,TD!$B$50:$F$54,4,0)," ")</f>
        <v>20240207</v>
      </c>
      <c r="X659" s="170" t="s">
        <v>174</v>
      </c>
      <c r="Y659" s="159" t="str">
        <f>IFERROR(VLOOKUP(X659,TD!$J$51:$K$64,2,0)," ")</f>
        <v>Infraestructura física, mantenimiento y dotación (Sedes construidas, mantenidas reforzadas)</v>
      </c>
      <c r="Z659" s="171" t="str">
        <f>CONCATENATE(X659,"-",Y659)</f>
        <v>08-Infraestructura física, mantenimiento y dotación (Sedes construidas, mantenidas reforzadas)</v>
      </c>
      <c r="AA659" s="170" t="s">
        <v>227</v>
      </c>
      <c r="AB659" s="159" t="str">
        <f>IFERROR(VLOOKUP(AA659,TD!$N$51:$O$66,2,0)," ")</f>
        <v>Sedes mantenidas</v>
      </c>
      <c r="AC659" s="171" t="str">
        <f>CONCATENATE(AA659,"_",AB659)</f>
        <v>016_Sedes mantenidas</v>
      </c>
      <c r="AD659" s="171" t="str">
        <f>CONCATENATE(Z659," ",AC659)</f>
        <v>08-Infraestructura física, mantenimiento y dotación (Sedes construidas, mantenidas reforzadas) 016_Sedes mantenidas</v>
      </c>
      <c r="AE659" s="173" t="str">
        <f>CONCATENATE(U659,V659,W659,X659,AA659)</f>
        <v>O23011745992024020708016</v>
      </c>
      <c r="AF659" s="159" t="str">
        <f>IFERROR(VLOOKUP(AD659,TD!$J$66:$K$89,2,0)," ")</f>
        <v>PM/0131/0108/45990160207</v>
      </c>
      <c r="AG659" s="135" t="s">
        <v>134</v>
      </c>
      <c r="AH659" s="175" t="s">
        <v>194</v>
      </c>
      <c r="AI659" s="178" t="str">
        <f>CONCATENATE(PAA[[#This Row],[Id Interno]],"-",PAA[[#This Row],[tipo de Contrato (TH talento humano - B/S bienes y/o servicios)]],"-",S659,"-",T659,"-",PAA[[#This Row],[Objeto de la contratación]])</f>
        <v>20260651-BS-8126-8-Congelamiento recursos 5% proyecto 8126</v>
      </c>
    </row>
    <row r="660" spans="2:35" ht="70" x14ac:dyDescent="0.35">
      <c r="B660" s="142">
        <v>20260652</v>
      </c>
      <c r="C660" s="121" t="s">
        <v>1006</v>
      </c>
      <c r="D660" s="130" t="s">
        <v>105</v>
      </c>
      <c r="E660" s="130" t="s">
        <v>363</v>
      </c>
      <c r="F660" s="130" t="s">
        <v>144</v>
      </c>
      <c r="G660" s="131" t="s">
        <v>373</v>
      </c>
      <c r="H660" s="137">
        <v>7</v>
      </c>
      <c r="I660" s="137">
        <v>0</v>
      </c>
      <c r="J660" s="132">
        <v>55300000</v>
      </c>
      <c r="K660" s="133" t="s">
        <v>398</v>
      </c>
      <c r="L660" s="172" t="s">
        <v>154</v>
      </c>
      <c r="M660" s="170" t="s">
        <v>460</v>
      </c>
      <c r="N660" s="130" t="s">
        <v>198</v>
      </c>
      <c r="O660" s="170" t="s">
        <v>958</v>
      </c>
      <c r="P660" s="170" t="s">
        <v>348</v>
      </c>
      <c r="Q660" s="134">
        <v>80111600</v>
      </c>
      <c r="R660" s="170" t="s">
        <v>218</v>
      </c>
      <c r="S660" s="170" t="str">
        <f>MID(PAA[[#This Row],[Meta Proyecto de Inversión]],1,4)</f>
        <v>8173</v>
      </c>
      <c r="T660" s="170" t="str">
        <f>MID(PAA[[#This Row],[Meta Proyecto de Inversión]],6,1)</f>
        <v>9</v>
      </c>
      <c r="U660" s="173" t="str">
        <f>IFERROR(VLOOKUP(N660,TD!$B$50:$F$54,2,0)," ")</f>
        <v>O230117</v>
      </c>
      <c r="V660" s="173" t="str">
        <f>IFERROR(VLOOKUP(N660,TD!$B$50:$F$54,3,0)," ")</f>
        <v>4503</v>
      </c>
      <c r="W660" s="173">
        <f>IFERROR(VLOOKUP(N660,TD!$B$50:$F$54,4,0)," ")</f>
        <v>20240255</v>
      </c>
      <c r="X660" s="170" t="s">
        <v>172</v>
      </c>
      <c r="Y660" s="159" t="str">
        <f>IFERROR(VLOOKUP(X660,TD!$J$51:$K$64,2,0)," ")</f>
        <v>Servicio de formación en gestión del riesgo de incendios para el personal UAECOB</v>
      </c>
      <c r="Z660" s="171" t="str">
        <f>CONCATENATE(X660,"-",Y660)</f>
        <v>07-Servicio de formación en gestión del riesgo de incendios para el personal UAECOB</v>
      </c>
      <c r="AA660" s="170" t="s">
        <v>222</v>
      </c>
      <c r="AB660" s="159" t="str">
        <f>IFERROR(VLOOKUP(AA660,TD!$N$51:$O$66,2,0)," ")</f>
        <v>Servicio de educación informal</v>
      </c>
      <c r="AC660" s="171" t="str">
        <f>CONCATENATE(AA660,"_",AB660)</f>
        <v>002_Servicio de educación informal</v>
      </c>
      <c r="AD660" s="171" t="str">
        <f>CONCATENATE(Z660," ",AC660)</f>
        <v>07-Servicio de formación en gestión del riesgo de incendios para el personal UAECOB 002_Servicio de educación informal</v>
      </c>
      <c r="AE660" s="173" t="str">
        <f>CONCATENATE(U660,V660,W660,X660,AA660)</f>
        <v>O23011745032024025507002</v>
      </c>
      <c r="AF660" s="159" t="str">
        <f>IFERROR(VLOOKUP(AD660,TD!$J$66:$K$89,2,0)," ")</f>
        <v>PM/0131/0107/45030020255</v>
      </c>
      <c r="AG660" s="135" t="s">
        <v>385</v>
      </c>
      <c r="AH660" s="175" t="s">
        <v>193</v>
      </c>
      <c r="AI660" s="176" t="str">
        <f>CONCATENATE(PAA[[#This Row],[Id Interno]],"-",PAA[[#This Row],[tipo de Contrato (TH talento humano - B/S bienes y/o servicios)]],"-",S660,"-",T660,"-",PAA[[#This Row],[Objeto de la contratación]])</f>
        <v xml:space="preserve">20260652-TH-8173-9-SGH - Prestar servicios profesionales en la Subdirección de Gestión Humana, enfocados en el análisis de datos , estadística, gestión financiera  y apoyo a temas de proyección presupuestal en el marco de la estrategia de fortalecimiento institucional. </v>
      </c>
    </row>
    <row r="661" spans="2:35" ht="140" x14ac:dyDescent="0.35">
      <c r="B661" s="142">
        <v>20260653</v>
      </c>
      <c r="C661" s="121" t="s">
        <v>1007</v>
      </c>
      <c r="D661" s="130" t="s">
        <v>105</v>
      </c>
      <c r="E661" s="130" t="s">
        <v>363</v>
      </c>
      <c r="F661" s="130" t="s">
        <v>145</v>
      </c>
      <c r="G661" s="131" t="s">
        <v>373</v>
      </c>
      <c r="H661" s="137">
        <v>7</v>
      </c>
      <c r="I661" s="137">
        <v>0</v>
      </c>
      <c r="J661" s="132">
        <v>28000000</v>
      </c>
      <c r="K661" s="133" t="s">
        <v>398</v>
      </c>
      <c r="L661" s="172" t="s">
        <v>154</v>
      </c>
      <c r="M661" s="170" t="s">
        <v>460</v>
      </c>
      <c r="N661" s="130" t="s">
        <v>198</v>
      </c>
      <c r="O661" s="170" t="s">
        <v>958</v>
      </c>
      <c r="P661" s="170" t="s">
        <v>348</v>
      </c>
      <c r="Q661" s="134">
        <v>80111600</v>
      </c>
      <c r="R661" s="170" t="s">
        <v>218</v>
      </c>
      <c r="S661" s="170" t="str">
        <f>MID(PAA[[#This Row],[Meta Proyecto de Inversión]],1,4)</f>
        <v>8173</v>
      </c>
      <c r="T661" s="170" t="str">
        <f>MID(PAA[[#This Row],[Meta Proyecto de Inversión]],6,1)</f>
        <v>9</v>
      </c>
      <c r="U661" s="173" t="str">
        <f>IFERROR(VLOOKUP(N661,TD!$B$50:$F$54,2,0)," ")</f>
        <v>O230117</v>
      </c>
      <c r="V661" s="173" t="str">
        <f>IFERROR(VLOOKUP(N661,TD!$B$50:$F$54,3,0)," ")</f>
        <v>4503</v>
      </c>
      <c r="W661" s="173">
        <f>IFERROR(VLOOKUP(N661,TD!$B$50:$F$54,4,0)," ")</f>
        <v>20240255</v>
      </c>
      <c r="X661" s="170" t="s">
        <v>172</v>
      </c>
      <c r="Y661" s="159" t="str">
        <f>IFERROR(VLOOKUP(X661,TD!$J$51:$K$64,2,0)," ")</f>
        <v>Servicio de formación en gestión del riesgo de incendios para el personal UAECOB</v>
      </c>
      <c r="Z661" s="171" t="str">
        <f>CONCATENATE(X661,"-",Y661)</f>
        <v>07-Servicio de formación en gestión del riesgo de incendios para el personal UAECOB</v>
      </c>
      <c r="AA661" s="170" t="s">
        <v>222</v>
      </c>
      <c r="AB661" s="159" t="str">
        <f>IFERROR(VLOOKUP(AA661,TD!$N$51:$O$66,2,0)," ")</f>
        <v>Servicio de educación informal</v>
      </c>
      <c r="AC661" s="171" t="str">
        <f>CONCATENATE(AA661,"_",AB661)</f>
        <v>002_Servicio de educación informal</v>
      </c>
      <c r="AD661" s="171" t="str">
        <f>CONCATENATE(Z661," ",AC661)</f>
        <v>07-Servicio de formación en gestión del riesgo de incendios para el personal UAECOB 002_Servicio de educación informal</v>
      </c>
      <c r="AE661" s="173" t="str">
        <f>CONCATENATE(U661,V661,W661,X661,AA661)</f>
        <v>O23011745032024025507002</v>
      </c>
      <c r="AF661" s="159" t="str">
        <f>IFERROR(VLOOKUP(AD661,TD!$J$66:$K$89,2,0)," ")</f>
        <v>PM/0131/0107/45030020255</v>
      </c>
      <c r="AG661" s="135" t="s">
        <v>385</v>
      </c>
      <c r="AH661" s="175" t="s">
        <v>193</v>
      </c>
      <c r="AI661" s="176" t="str">
        <f>CONCATENATE(PAA[[#This Row],[Id Interno]],"-",PAA[[#This Row],[tipo de Contrato (TH talento humano - B/S bienes y/o servicios)]],"-",S661,"-",T661,"-",PAA[[#This Row],[Objeto de la contratación]])</f>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v>
      </c>
    </row>
    <row r="662" spans="2:35" ht="56" x14ac:dyDescent="0.35">
      <c r="B662" s="142">
        <v>20260654</v>
      </c>
      <c r="C662" s="121" t="s">
        <v>1008</v>
      </c>
      <c r="D662" s="130" t="s">
        <v>105</v>
      </c>
      <c r="E662" s="130" t="s">
        <v>363</v>
      </c>
      <c r="F662" s="130" t="s">
        <v>144</v>
      </c>
      <c r="G662" s="131" t="s">
        <v>373</v>
      </c>
      <c r="H662" s="137">
        <v>6</v>
      </c>
      <c r="I662" s="137">
        <v>0</v>
      </c>
      <c r="J662" s="132">
        <v>45000000</v>
      </c>
      <c r="K662" s="133" t="s">
        <v>398</v>
      </c>
      <c r="L662" s="172" t="s">
        <v>154</v>
      </c>
      <c r="M662" s="170" t="s">
        <v>460</v>
      </c>
      <c r="N662" s="130" t="s">
        <v>198</v>
      </c>
      <c r="O662" s="170" t="s">
        <v>958</v>
      </c>
      <c r="P662" s="170" t="s">
        <v>348</v>
      </c>
      <c r="Q662" s="134">
        <v>80111600</v>
      </c>
      <c r="R662" s="170" t="s">
        <v>218</v>
      </c>
      <c r="S662" s="170" t="str">
        <f>MID(PAA[[#This Row],[Meta Proyecto de Inversión]],1,4)</f>
        <v>8173</v>
      </c>
      <c r="T662" s="170" t="str">
        <f>MID(PAA[[#This Row],[Meta Proyecto de Inversión]],6,1)</f>
        <v>9</v>
      </c>
      <c r="U662" s="173" t="str">
        <f>IFERROR(VLOOKUP(N662,TD!$B$50:$F$54,2,0)," ")</f>
        <v>O230117</v>
      </c>
      <c r="V662" s="173" t="str">
        <f>IFERROR(VLOOKUP(N662,TD!$B$50:$F$54,3,0)," ")</f>
        <v>4503</v>
      </c>
      <c r="W662" s="173">
        <f>IFERROR(VLOOKUP(N662,TD!$B$50:$F$54,4,0)," ")</f>
        <v>20240255</v>
      </c>
      <c r="X662" s="170" t="s">
        <v>172</v>
      </c>
      <c r="Y662" s="159" t="str">
        <f>IFERROR(VLOOKUP(X662,TD!$J$51:$K$64,2,0)," ")</f>
        <v>Servicio de formación en gestión del riesgo de incendios para el personal UAECOB</v>
      </c>
      <c r="Z662" s="171" t="str">
        <f>CONCATENATE(X662,"-",Y662)</f>
        <v>07-Servicio de formación en gestión del riesgo de incendios para el personal UAECOB</v>
      </c>
      <c r="AA662" s="170" t="s">
        <v>222</v>
      </c>
      <c r="AB662" s="159" t="str">
        <f>IFERROR(VLOOKUP(AA662,TD!$N$51:$O$66,2,0)," ")</f>
        <v>Servicio de educación informal</v>
      </c>
      <c r="AC662" s="171" t="str">
        <f>CONCATENATE(AA662,"_",AB662)</f>
        <v>002_Servicio de educación informal</v>
      </c>
      <c r="AD662" s="171" t="str">
        <f>CONCATENATE(Z662," ",AC662)</f>
        <v>07-Servicio de formación en gestión del riesgo de incendios para el personal UAECOB 002_Servicio de educación informal</v>
      </c>
      <c r="AE662" s="173" t="str">
        <f>CONCATENATE(U662,V662,W662,X662,AA662)</f>
        <v>O23011745032024025507002</v>
      </c>
      <c r="AF662" s="159" t="str">
        <f>IFERROR(VLOOKUP(AD662,TD!$J$66:$K$89,2,0)," ")</f>
        <v>PM/0131/0107/45030020255</v>
      </c>
      <c r="AG662" s="135" t="s">
        <v>385</v>
      </c>
      <c r="AH662" s="175" t="s">
        <v>193</v>
      </c>
      <c r="AI662" s="176" t="str">
        <f>CONCATENATE(PAA[[#This Row],[Id Interno]],"-",PAA[[#This Row],[tipo de Contrato (TH talento humano - B/S bienes y/o servicios)]],"-",S662,"-",T662,"-",PAA[[#This Row],[Objeto de la contratación]])</f>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v>
      </c>
    </row>
    <row r="664" spans="2:35" x14ac:dyDescent="0.35">
      <c r="J664" s="54"/>
    </row>
  </sheetData>
  <mergeCells count="8">
    <mergeCell ref="F7:M7"/>
    <mergeCell ref="B2:F2"/>
    <mergeCell ref="F3:M3"/>
    <mergeCell ref="F4:M4"/>
    <mergeCell ref="N5:P5"/>
    <mergeCell ref="N6:P6"/>
    <mergeCell ref="F5:M5"/>
    <mergeCell ref="F6:M6"/>
  </mergeCells>
  <phoneticPr fontId="15" type="noConversion"/>
  <conditionalFormatting sqref="B12:B662">
    <cfRule type="duplicateValues" dxfId="48" priority="7"/>
  </conditionalFormatting>
  <hyperlinks>
    <hyperlink ref="O92" r:id="rId1" xr:uid="{67ED24B7-F4F9-4829-8333-FF5F4D482AA0}"/>
    <hyperlink ref="O13:O357" r:id="rId2" display="Subdirector@ de Gestión Corporativa" xr:uid="{4A323593-15EA-45D2-9634-A21BA9F6B864}"/>
    <hyperlink ref="O168" r:id="rId3" xr:uid="{81B5539B-B166-4896-9A39-27DB4B634BBD}"/>
    <hyperlink ref="O34" r:id="rId4" display="Subdirector@ de Gestión del Riesgo" xr:uid="{2DE2B215-9BB6-4D50-9C69-466623B82D83}"/>
    <hyperlink ref="O614" r:id="rId5" display="Subdirector@ de Gestión del Riesgo" xr:uid="{028CA609-76AF-4559-BA98-EFE6E22D3935}"/>
    <hyperlink ref="O174" r:id="rId6" xr:uid="{FEE9E9E5-B939-4FE7-90D7-C043A3ECF549}"/>
  </hyperlinks>
  <pageMargins left="0.7" right="0.7" top="0.75" bottom="0.75" header="0.3" footer="0.3"/>
  <pageSetup paperSize="9" scale="12" orientation="portrait" horizontalDpi="4294967294" verticalDpi="4294967294" r:id="rId7"/>
  <customProperties>
    <customPr name="EpmWorksheetKeyString_GUID" r:id="rId8"/>
  </customProperties>
  <ignoredErrors>
    <ignoredError sqref="O8" unlockedFormula="1"/>
  </ignoredErrors>
  <drawing r:id="rId9"/>
  <tableParts count="1">
    <tablePart r:id="rId10"/>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TD!$O$2:$O$14</xm:f>
          </x14:formula1>
          <xm:sqref>L12:L662</xm:sqref>
        </x14:dataValidation>
        <x14:dataValidation type="list" allowBlank="1" showInputMessage="1" showErrorMessage="1" xr:uid="{367956A3-3FF4-4469-AF49-C057EA7486FA}">
          <x14:formula1>
            <xm:f>TD!$D$2:$D$29</xm:f>
          </x14:formula1>
          <xm:sqref>F12:F662</xm:sqref>
        </x14:dataValidation>
        <x14:dataValidation type="list" allowBlank="1" showInputMessage="1" showErrorMessage="1" xr:uid="{AE9575A7-4CB7-4BD1-805F-4119048BA672}">
          <x14:formula1>
            <xm:f>TD!$B$15:$B$16</xm:f>
          </x14:formula1>
          <xm:sqref>E12:E662</xm:sqref>
        </x14:dataValidation>
        <x14:dataValidation type="list" allowBlank="1" showInputMessage="1" showErrorMessage="1" xr:uid="{447F3D67-5446-44A6-9358-32563267660F}">
          <x14:formula1>
            <xm:f>TD!$B$19:$B$31</xm:f>
          </x14:formula1>
          <xm:sqref>G12:G662</xm:sqref>
        </x14:dataValidation>
        <x14:dataValidation type="list" allowBlank="1" showInputMessage="1" showErrorMessage="1" xr:uid="{167B3C98-C85F-496C-B1F5-3644BB267750}">
          <x14:formula1>
            <xm:f>TD!$B$51:$B$54</xm:f>
          </x14:formula1>
          <xm:sqref>N12:N662</xm:sqref>
        </x14:dataValidation>
        <x14:dataValidation type="list" allowBlank="1" showInputMessage="1" showErrorMessage="1" xr:uid="{C19D9E6E-AEC7-4142-B89D-D61322877AFC}">
          <x14:formula1>
            <xm:f>TD!$J$3:$J$24</xm:f>
          </x14:formula1>
          <xm:sqref>R12:R662</xm:sqref>
        </x14:dataValidation>
        <x14:dataValidation type="list" allowBlank="1" showInputMessage="1" showErrorMessage="1" xr:uid="{B4D90150-9848-474F-8126-9F973D312285}">
          <x14:formula1>
            <xm:f>TD!$J$51:$J$64</xm:f>
          </x14:formula1>
          <xm:sqref>X12:X662</xm:sqref>
        </x14:dataValidation>
        <x14:dataValidation type="list" allowBlank="1" showInputMessage="1" showErrorMessage="1" xr:uid="{2840086A-4D8A-4E66-AD6D-EE95601C2C7C}">
          <x14:formula1>
            <xm:f>TD!$D$57:$D$58</xm:f>
          </x14:formula1>
          <xm:sqref>K12:K662</xm:sqref>
        </x14:dataValidation>
        <x14:dataValidation type="list" allowBlank="1" showInputMessage="1" showErrorMessage="1" xr:uid="{06E99C44-5C60-468B-8DDC-A942983538C2}">
          <x14:formula1>
            <xm:f>TD!$N$51:$N$63</xm:f>
          </x14:formula1>
          <xm:sqref>AA12:AA662</xm:sqref>
        </x14:dataValidation>
        <x14:dataValidation type="list" allowBlank="1" showInputMessage="1" showErrorMessage="1" xr:uid="{745A9AE1-DD02-4B8A-AEC0-3B73FB6B7E5F}">
          <x14:formula1>
            <xm:f>TD!$X$51:$X$52</xm:f>
          </x14:formula1>
          <xm:sqref>AH12:AH662</xm:sqref>
        </x14:dataValidation>
        <x14:dataValidation type="list" allowBlank="1" showInputMessage="1" showErrorMessage="1" xr:uid="{80D5954D-9596-4C04-B538-A744D1B2CB65}">
          <x14:formula1>
            <xm:f>TD!$Q$2:$Q$7</xm:f>
          </x14:formula1>
          <xm:sqref>P12:P662</xm:sqref>
        </x14:dataValidation>
        <x14:dataValidation type="list" allowBlank="1" showInputMessage="1" showErrorMessage="1" xr:uid="{74AFF05A-906B-4B39-99D3-E0E68439EEF0}">
          <x14:formula1>
            <xm:f>TD!$B$3:$B$11</xm:f>
          </x14:formula1>
          <xm:sqref>D12:D662</xm:sqref>
        </x14:dataValidation>
        <x14:dataValidation type="list" allowBlank="1" showInputMessage="1" showErrorMessage="1" xr:uid="{AF099CF4-1B60-420B-AF00-F2137A73C9C0}">
          <x14:formula1>
            <xm:f>TD!$F$2:$F$43</xm:f>
          </x14:formula1>
          <xm:sqref>AG12:AG662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09" t="s">
        <v>122</v>
      </c>
      <c r="C12" s="26" t="s">
        <v>302</v>
      </c>
      <c r="D12" s="30">
        <v>260870960</v>
      </c>
      <c r="E12" s="26" t="s">
        <v>300</v>
      </c>
      <c r="F12" s="26" t="s">
        <v>254</v>
      </c>
      <c r="G12" s="25" t="s">
        <v>129</v>
      </c>
    </row>
    <row r="13" spans="2:7" ht="33" x14ac:dyDescent="0.35">
      <c r="B13" s="213"/>
      <c r="C13" s="26" t="s">
        <v>303</v>
      </c>
      <c r="D13" s="30">
        <v>206558000</v>
      </c>
      <c r="E13" s="26" t="s">
        <v>300</v>
      </c>
      <c r="F13" s="26" t="s">
        <v>254</v>
      </c>
      <c r="G13" s="25" t="s">
        <v>129</v>
      </c>
    </row>
    <row r="14" spans="2:7" ht="33" x14ac:dyDescent="0.35">
      <c r="B14" s="213"/>
      <c r="C14" s="26" t="s">
        <v>304</v>
      </c>
      <c r="D14" s="30">
        <v>171068294</v>
      </c>
      <c r="E14" s="26" t="s">
        <v>300</v>
      </c>
      <c r="F14" s="26" t="s">
        <v>254</v>
      </c>
      <c r="G14" s="25" t="s">
        <v>129</v>
      </c>
    </row>
    <row r="15" spans="2:7" ht="33" x14ac:dyDescent="0.35">
      <c r="B15" s="213"/>
      <c r="C15" s="26" t="s">
        <v>305</v>
      </c>
      <c r="D15" s="30">
        <v>229431788</v>
      </c>
      <c r="E15" s="26" t="s">
        <v>300</v>
      </c>
      <c r="F15" s="26" t="s">
        <v>254</v>
      </c>
      <c r="G15" s="25" t="s">
        <v>129</v>
      </c>
    </row>
    <row r="16" spans="2:7" ht="33" x14ac:dyDescent="0.35">
      <c r="B16" s="210"/>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14" t="s">
        <v>87</v>
      </c>
      <c r="C23" s="217" t="s">
        <v>308</v>
      </c>
      <c r="D23" s="48">
        <v>162500000</v>
      </c>
      <c r="E23" s="50" t="s">
        <v>309</v>
      </c>
      <c r="F23" s="50" t="s">
        <v>247</v>
      </c>
      <c r="G23" s="49" t="s">
        <v>129</v>
      </c>
    </row>
    <row r="24" spans="2:11" ht="33" x14ac:dyDescent="0.35">
      <c r="B24" s="215"/>
      <c r="C24" s="218"/>
      <c r="D24" s="48">
        <v>698601047</v>
      </c>
      <c r="E24" s="50" t="s">
        <v>310</v>
      </c>
      <c r="F24" s="50" t="s">
        <v>248</v>
      </c>
      <c r="G24" s="49" t="s">
        <v>311</v>
      </c>
    </row>
    <row r="25" spans="2:11" ht="33" x14ac:dyDescent="0.35">
      <c r="B25" s="216"/>
      <c r="C25" s="219"/>
      <c r="D25" s="48">
        <v>387093222</v>
      </c>
      <c r="E25" s="50" t="s">
        <v>312</v>
      </c>
      <c r="F25" s="50" t="s">
        <v>250</v>
      </c>
      <c r="G25" s="49" t="s">
        <v>129</v>
      </c>
    </row>
    <row r="26" spans="2:11" ht="33" x14ac:dyDescent="0.35">
      <c r="B26" s="209" t="s">
        <v>91</v>
      </c>
      <c r="C26" s="211" t="s">
        <v>313</v>
      </c>
      <c r="D26" s="30">
        <v>1275620000</v>
      </c>
      <c r="E26" s="26" t="s">
        <v>314</v>
      </c>
      <c r="F26" s="26" t="s">
        <v>246</v>
      </c>
      <c r="G26" s="25" t="s">
        <v>129</v>
      </c>
    </row>
    <row r="27" spans="2:11" ht="49.5" x14ac:dyDescent="0.35">
      <c r="B27" s="210"/>
      <c r="C27" s="212"/>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09" t="s">
        <v>99</v>
      </c>
      <c r="C29" s="211" t="s">
        <v>318</v>
      </c>
      <c r="D29" s="30">
        <v>4450000000</v>
      </c>
      <c r="E29" s="26" t="s">
        <v>317</v>
      </c>
      <c r="F29" s="26" t="s">
        <v>255</v>
      </c>
      <c r="G29" s="25" t="s">
        <v>342</v>
      </c>
    </row>
    <row r="30" spans="2:11" ht="33" x14ac:dyDescent="0.35">
      <c r="B30" s="210"/>
      <c r="C30" s="212"/>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zoomScale="55" zoomScaleNormal="55" workbookViewId="0">
      <selection activeCell="C31" sqref="C31"/>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571</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586</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994</v>
      </c>
    </row>
    <row r="15" spans="2:19" x14ac:dyDescent="0.3">
      <c r="B15" s="15" t="s">
        <v>363</v>
      </c>
      <c r="D15" s="15" t="s">
        <v>131</v>
      </c>
      <c r="F15" s="15" t="s">
        <v>102</v>
      </c>
      <c r="H15" s="15" t="s">
        <v>96</v>
      </c>
      <c r="I15" s="16">
        <v>8173</v>
      </c>
      <c r="J15" s="17" t="s">
        <v>212</v>
      </c>
    </row>
    <row r="16" spans="2:19" x14ac:dyDescent="0.3">
      <c r="B16" s="15" t="s">
        <v>402</v>
      </c>
      <c r="D16" s="15" t="s">
        <v>133</v>
      </c>
      <c r="F16" s="15" t="s">
        <v>570</v>
      </c>
      <c r="H16" s="15" t="s">
        <v>99</v>
      </c>
      <c r="I16" s="16">
        <v>8173</v>
      </c>
      <c r="J16" s="17" t="s">
        <v>213</v>
      </c>
    </row>
    <row r="17" spans="2:10" x14ac:dyDescent="0.3">
      <c r="D17" s="15" t="s">
        <v>135</v>
      </c>
      <c r="F17" s="15" t="s">
        <v>107</v>
      </c>
      <c r="H17" s="15" t="s">
        <v>104</v>
      </c>
      <c r="I17" s="16">
        <v>8173</v>
      </c>
      <c r="J17" s="17" t="s">
        <v>214</v>
      </c>
    </row>
    <row r="18" spans="2:10" x14ac:dyDescent="0.3">
      <c r="B18" s="91" t="s">
        <v>365</v>
      </c>
      <c r="D18" s="15" t="s">
        <v>136</v>
      </c>
      <c r="F18" s="15" t="s">
        <v>116</v>
      </c>
      <c r="H18" s="15" t="s">
        <v>109</v>
      </c>
      <c r="I18" s="16">
        <v>8173</v>
      </c>
      <c r="J18" s="17" t="s">
        <v>215</v>
      </c>
    </row>
    <row r="19" spans="2:10" x14ac:dyDescent="0.3">
      <c r="B19" s="122" t="s">
        <v>373</v>
      </c>
      <c r="D19" s="15" t="s">
        <v>137</v>
      </c>
      <c r="F19" s="15" t="s">
        <v>121</v>
      </c>
      <c r="H19" s="15" t="s">
        <v>113</v>
      </c>
      <c r="I19" s="16">
        <v>8173</v>
      </c>
      <c r="J19" s="17" t="s">
        <v>216</v>
      </c>
    </row>
    <row r="20" spans="2:10" x14ac:dyDescent="0.3">
      <c r="B20" s="15" t="s">
        <v>374</v>
      </c>
      <c r="D20" s="15" t="s">
        <v>138</v>
      </c>
      <c r="F20" s="15" t="s">
        <v>386</v>
      </c>
      <c r="H20" s="15" t="s">
        <v>118</v>
      </c>
      <c r="I20" s="16">
        <v>8173</v>
      </c>
      <c r="J20" s="17" t="s">
        <v>217</v>
      </c>
    </row>
    <row r="21" spans="2:10" x14ac:dyDescent="0.3">
      <c r="B21" s="15" t="s">
        <v>375</v>
      </c>
      <c r="D21" s="15" t="s">
        <v>139</v>
      </c>
      <c r="F21" s="15" t="s">
        <v>125</v>
      </c>
      <c r="H21" s="15" t="s">
        <v>123</v>
      </c>
      <c r="I21" s="16">
        <v>8173</v>
      </c>
      <c r="J21" s="17" t="s">
        <v>218</v>
      </c>
    </row>
    <row r="22" spans="2:10" x14ac:dyDescent="0.3">
      <c r="B22" s="15" t="s">
        <v>376</v>
      </c>
      <c r="D22" s="15" t="s">
        <v>140</v>
      </c>
      <c r="F22" s="15" t="s">
        <v>132</v>
      </c>
      <c r="H22" s="15" t="s">
        <v>127</v>
      </c>
      <c r="I22" s="16">
        <v>8173</v>
      </c>
      <c r="J22" s="17" t="s">
        <v>219</v>
      </c>
    </row>
    <row r="23" spans="2:10" x14ac:dyDescent="0.3">
      <c r="B23" s="15" t="s">
        <v>377</v>
      </c>
      <c r="D23" s="15" t="s">
        <v>141</v>
      </c>
      <c r="F23" s="15" t="s">
        <v>134</v>
      </c>
      <c r="I23" s="16">
        <v>8173</v>
      </c>
      <c r="J23" s="17" t="s">
        <v>351</v>
      </c>
    </row>
    <row r="24" spans="2:10" x14ac:dyDescent="0.3">
      <c r="B24" s="15" t="s">
        <v>378</v>
      </c>
      <c r="D24" s="15" t="s">
        <v>142</v>
      </c>
      <c r="F24" s="15" t="s">
        <v>387</v>
      </c>
      <c r="J24" s="15" t="s">
        <v>331</v>
      </c>
    </row>
    <row r="25" spans="2:10" x14ac:dyDescent="0.3">
      <c r="B25" s="15" t="s">
        <v>379</v>
      </c>
      <c r="D25" s="15" t="s">
        <v>143</v>
      </c>
      <c r="F25" s="15" t="s">
        <v>569</v>
      </c>
    </row>
    <row r="26" spans="2:10" x14ac:dyDescent="0.3">
      <c r="B26" s="15" t="s">
        <v>380</v>
      </c>
      <c r="D26" s="15" t="s">
        <v>144</v>
      </c>
      <c r="F26" s="15" t="s">
        <v>385</v>
      </c>
    </row>
    <row r="27" spans="2:10" x14ac:dyDescent="0.3">
      <c r="B27" s="15" t="s">
        <v>381</v>
      </c>
      <c r="D27" s="15" t="s">
        <v>145</v>
      </c>
      <c r="F27" s="15" t="s">
        <v>576</v>
      </c>
      <c r="H27" s="15" t="s">
        <v>336</v>
      </c>
    </row>
    <row r="28" spans="2:10" x14ac:dyDescent="0.3">
      <c r="B28" s="15" t="s">
        <v>382</v>
      </c>
      <c r="D28" s="15" t="s">
        <v>146</v>
      </c>
      <c r="F28" s="15" t="s">
        <v>579</v>
      </c>
    </row>
    <row r="29" spans="2:10" x14ac:dyDescent="0.3">
      <c r="B29" s="15" t="s">
        <v>383</v>
      </c>
      <c r="D29" s="15" t="s">
        <v>147</v>
      </c>
      <c r="F29" s="15" t="s">
        <v>580</v>
      </c>
    </row>
    <row r="30" spans="2:10" x14ac:dyDescent="0.3">
      <c r="B30" s="15" t="s">
        <v>384</v>
      </c>
      <c r="F30" s="15" t="s">
        <v>581</v>
      </c>
    </row>
    <row r="31" spans="2:10" x14ac:dyDescent="0.3">
      <c r="B31" s="15" t="s">
        <v>1004</v>
      </c>
      <c r="F31" s="15" t="s">
        <v>582</v>
      </c>
    </row>
    <row r="32" spans="2:10" x14ac:dyDescent="0.3">
      <c r="F32" s="15" t="s">
        <v>584</v>
      </c>
    </row>
    <row r="33" spans="6:6" x14ac:dyDescent="0.3">
      <c r="F33" s="15" t="s">
        <v>585</v>
      </c>
    </row>
    <row r="34" spans="6:6" x14ac:dyDescent="0.3">
      <c r="F34" s="15" t="s">
        <v>332</v>
      </c>
    </row>
    <row r="35" spans="6:6" x14ac:dyDescent="0.3">
      <c r="F35" s="15" t="s">
        <v>931</v>
      </c>
    </row>
    <row r="36" spans="6:6" x14ac:dyDescent="0.3">
      <c r="F36" s="15" t="s">
        <v>932</v>
      </c>
    </row>
    <row r="37" spans="6:6" x14ac:dyDescent="0.3">
      <c r="F37" s="15" t="s">
        <v>933</v>
      </c>
    </row>
    <row r="38" spans="6:6" x14ac:dyDescent="0.3">
      <c r="F38" s="15" t="s">
        <v>934</v>
      </c>
    </row>
    <row r="39" spans="6:6" x14ac:dyDescent="0.3">
      <c r="F39" s="15" t="s">
        <v>935</v>
      </c>
    </row>
    <row r="40" spans="6:6" x14ac:dyDescent="0.3">
      <c r="F40" s="15" t="s">
        <v>936</v>
      </c>
    </row>
    <row r="41" spans="6:6" x14ac:dyDescent="0.3">
      <c r="F41" s="15" t="s">
        <v>937</v>
      </c>
    </row>
    <row r="42" spans="6:6" x14ac:dyDescent="0.3">
      <c r="F42" s="15" t="s">
        <v>938</v>
      </c>
    </row>
    <row r="43" spans="6:6" x14ac:dyDescent="0.3">
      <c r="F43" s="15" t="s">
        <v>939</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578</v>
      </c>
      <c r="K85" s="15" t="s">
        <v>577</v>
      </c>
    </row>
    <row r="86" spans="10:11" x14ac:dyDescent="0.3">
      <c r="J86" s="15" t="s">
        <v>393</v>
      </c>
      <c r="K86" s="15" t="s">
        <v>394</v>
      </c>
    </row>
    <row r="87" spans="10:11" x14ac:dyDescent="0.3">
      <c r="J87" s="15" t="s">
        <v>572</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23" t="s">
        <v>60</v>
      </c>
      <c r="F3" s="223"/>
      <c r="G3" s="223"/>
      <c r="H3" s="223"/>
      <c r="I3" s="223"/>
      <c r="J3" s="223"/>
    </row>
    <row r="5" spans="2:10" x14ac:dyDescent="0.35">
      <c r="B5" s="9" t="s">
        <v>49</v>
      </c>
      <c r="C5" s="7" t="s">
        <v>50</v>
      </c>
      <c r="E5" s="9" t="s">
        <v>0</v>
      </c>
      <c r="F5" s="9" t="s">
        <v>52</v>
      </c>
      <c r="G5" s="11">
        <v>7637</v>
      </c>
      <c r="H5" s="11">
        <v>7655</v>
      </c>
      <c r="I5" s="11">
        <v>7658</v>
      </c>
      <c r="J5" s="9" t="s">
        <v>54</v>
      </c>
    </row>
    <row r="6" spans="2:10" x14ac:dyDescent="0.35">
      <c r="B6" s="1">
        <v>7658</v>
      </c>
      <c r="C6" s="4">
        <v>32529175840</v>
      </c>
      <c r="E6" s="224" t="s">
        <v>45</v>
      </c>
      <c r="F6" s="224"/>
      <c r="G6" s="4"/>
      <c r="H6" s="4">
        <v>596500000</v>
      </c>
      <c r="I6" s="4"/>
      <c r="J6" s="4">
        <v>596500000</v>
      </c>
    </row>
    <row r="7" spans="2:10" x14ac:dyDescent="0.35">
      <c r="B7" s="1">
        <v>7655</v>
      </c>
      <c r="C7" s="4">
        <v>6691034160</v>
      </c>
      <c r="E7" s="224" t="s">
        <v>44</v>
      </c>
      <c r="F7" s="224"/>
      <c r="G7" s="4"/>
      <c r="H7" s="4">
        <v>403500000</v>
      </c>
      <c r="I7" s="4"/>
      <c r="J7" s="4">
        <v>403500000</v>
      </c>
    </row>
    <row r="8" spans="2:10" x14ac:dyDescent="0.35">
      <c r="B8" s="1">
        <v>7637</v>
      </c>
      <c r="C8" s="4">
        <v>3299800000</v>
      </c>
      <c r="E8" s="224" t="s">
        <v>36</v>
      </c>
      <c r="F8" s="224"/>
      <c r="G8" s="4">
        <v>3299800000</v>
      </c>
      <c r="H8" s="4">
        <v>900200000</v>
      </c>
      <c r="I8" s="4"/>
      <c r="J8" s="4">
        <v>4200000000</v>
      </c>
    </row>
    <row r="9" spans="2:10" x14ac:dyDescent="0.35">
      <c r="B9" s="9" t="s">
        <v>51</v>
      </c>
      <c r="C9" s="8">
        <v>42520010000</v>
      </c>
      <c r="E9" s="224" t="s">
        <v>46</v>
      </c>
      <c r="F9" s="224"/>
      <c r="G9" s="4"/>
      <c r="H9" s="4">
        <v>432858000</v>
      </c>
      <c r="I9" s="4"/>
      <c r="J9" s="4">
        <v>432858000</v>
      </c>
    </row>
    <row r="10" spans="2:10" x14ac:dyDescent="0.35">
      <c r="E10" s="224" t="s">
        <v>32</v>
      </c>
      <c r="F10" s="224"/>
      <c r="G10" s="4"/>
      <c r="H10" s="4">
        <v>323006000</v>
      </c>
      <c r="I10" s="4"/>
      <c r="J10" s="4">
        <v>323006000</v>
      </c>
    </row>
    <row r="11" spans="2:10" x14ac:dyDescent="0.35">
      <c r="E11" s="224" t="s">
        <v>28</v>
      </c>
      <c r="F11" s="224"/>
      <c r="G11" s="4"/>
      <c r="H11" s="4">
        <v>1200000000</v>
      </c>
      <c r="I11" s="4"/>
      <c r="J11" s="4">
        <v>1200000000</v>
      </c>
    </row>
    <row r="12" spans="2:10" x14ac:dyDescent="0.35">
      <c r="E12" s="224" t="s">
        <v>3</v>
      </c>
      <c r="F12" s="224"/>
      <c r="G12" s="4"/>
      <c r="H12" s="4">
        <v>2214252160</v>
      </c>
      <c r="I12" s="4">
        <v>7786929840</v>
      </c>
      <c r="J12" s="4">
        <v>10001182000</v>
      </c>
    </row>
    <row r="13" spans="2:10" x14ac:dyDescent="0.35">
      <c r="E13" s="224" t="s">
        <v>29</v>
      </c>
      <c r="F13" s="224"/>
      <c r="G13" s="4"/>
      <c r="H13" s="4">
        <v>170000000</v>
      </c>
      <c r="I13" s="4">
        <v>3730000000</v>
      </c>
      <c r="J13" s="4">
        <v>3900000000</v>
      </c>
    </row>
    <row r="14" spans="2:10" x14ac:dyDescent="0.35">
      <c r="E14" s="224" t="s">
        <v>33</v>
      </c>
      <c r="F14" s="224"/>
      <c r="G14" s="4"/>
      <c r="H14" s="4">
        <v>450718000</v>
      </c>
      <c r="I14" s="4">
        <v>1449282000</v>
      </c>
      <c r="J14" s="4">
        <v>1900000000</v>
      </c>
    </row>
    <row r="15" spans="2:10" x14ac:dyDescent="0.35">
      <c r="E15" s="224" t="s">
        <v>19</v>
      </c>
      <c r="F15" s="224"/>
      <c r="G15" s="4"/>
      <c r="H15" s="4"/>
      <c r="I15" s="4">
        <v>10011982000</v>
      </c>
      <c r="J15" s="4">
        <v>10011982000</v>
      </c>
    </row>
    <row r="16" spans="2:10" x14ac:dyDescent="0.35">
      <c r="E16" s="224" t="s">
        <v>47</v>
      </c>
      <c r="F16" s="224"/>
      <c r="G16" s="4"/>
      <c r="H16" s="4"/>
      <c r="I16" s="4">
        <v>9550982000</v>
      </c>
      <c r="J16" s="4">
        <v>9550982000</v>
      </c>
    </row>
    <row r="17" spans="3:10" x14ac:dyDescent="0.35">
      <c r="E17" s="225" t="s">
        <v>53</v>
      </c>
      <c r="F17" s="227"/>
      <c r="G17" s="8">
        <v>3299800000</v>
      </c>
      <c r="H17" s="8">
        <v>6691034160</v>
      </c>
      <c r="I17" s="8">
        <v>32529175840</v>
      </c>
      <c r="J17" s="8">
        <v>42520010000</v>
      </c>
    </row>
    <row r="20" spans="3:10" x14ac:dyDescent="0.35">
      <c r="C20" s="228" t="s">
        <v>62</v>
      </c>
      <c r="D20" s="228"/>
      <c r="E20" s="228"/>
      <c r="F20" s="228"/>
      <c r="G20" s="228"/>
    </row>
    <row r="22" spans="3:10" x14ac:dyDescent="0.35">
      <c r="C22" s="12" t="s">
        <v>63</v>
      </c>
    </row>
    <row r="23" spans="3:10" x14ac:dyDescent="0.35">
      <c r="C23" s="9" t="s">
        <v>55</v>
      </c>
      <c r="D23" s="13" t="s">
        <v>56</v>
      </c>
      <c r="E23" s="220" t="s">
        <v>0</v>
      </c>
      <c r="F23" s="220"/>
      <c r="G23" s="9" t="s">
        <v>57</v>
      </c>
    </row>
    <row r="24" spans="3:10" x14ac:dyDescent="0.35">
      <c r="C24" s="3" t="s">
        <v>35</v>
      </c>
      <c r="D24" s="6" t="s">
        <v>34</v>
      </c>
      <c r="E24" s="224" t="s">
        <v>33</v>
      </c>
      <c r="F24" s="224"/>
      <c r="G24" s="4">
        <v>1449282000</v>
      </c>
    </row>
    <row r="25" spans="3:10" x14ac:dyDescent="0.35">
      <c r="C25" s="3" t="s">
        <v>31</v>
      </c>
      <c r="D25" s="6" t="s">
        <v>30</v>
      </c>
      <c r="E25" s="224" t="s">
        <v>29</v>
      </c>
      <c r="F25" s="224"/>
      <c r="G25" s="4">
        <v>3730000000</v>
      </c>
    </row>
    <row r="26" spans="3:10" x14ac:dyDescent="0.35">
      <c r="C26" s="3" t="s">
        <v>6</v>
      </c>
      <c r="D26" s="6" t="s">
        <v>9</v>
      </c>
      <c r="E26" s="224" t="s">
        <v>3</v>
      </c>
      <c r="F26" s="224"/>
      <c r="G26" s="4">
        <v>2822768000</v>
      </c>
    </row>
    <row r="27" spans="3:10" x14ac:dyDescent="0.35">
      <c r="C27" s="3" t="s">
        <v>6</v>
      </c>
      <c r="D27" s="6" t="s">
        <v>48</v>
      </c>
      <c r="E27" s="224" t="s">
        <v>47</v>
      </c>
      <c r="F27" s="224"/>
      <c r="G27" s="4">
        <v>9550982000</v>
      </c>
    </row>
    <row r="28" spans="3:10" x14ac:dyDescent="0.35">
      <c r="C28" s="3" t="s">
        <v>6</v>
      </c>
      <c r="D28" s="6" t="s">
        <v>23</v>
      </c>
      <c r="E28" s="224" t="s">
        <v>19</v>
      </c>
      <c r="F28" s="224"/>
      <c r="G28" s="4">
        <v>2028491000</v>
      </c>
    </row>
    <row r="29" spans="3:10" x14ac:dyDescent="0.35">
      <c r="C29" s="3" t="s">
        <v>6</v>
      </c>
      <c r="D29" s="6" t="s">
        <v>21</v>
      </c>
      <c r="E29" s="224" t="s">
        <v>19</v>
      </c>
      <c r="F29" s="224"/>
      <c r="G29" s="4">
        <v>7983491000</v>
      </c>
    </row>
    <row r="30" spans="3:10" x14ac:dyDescent="0.35">
      <c r="C30" s="3" t="s">
        <v>18</v>
      </c>
      <c r="D30" s="6" t="s">
        <v>17</v>
      </c>
      <c r="E30" s="224" t="s">
        <v>3</v>
      </c>
      <c r="F30" s="224"/>
      <c r="G30" s="4">
        <v>100000000</v>
      </c>
    </row>
    <row r="31" spans="3:10" x14ac:dyDescent="0.35">
      <c r="C31" s="3" t="s">
        <v>15</v>
      </c>
      <c r="D31" s="6" t="s">
        <v>14</v>
      </c>
      <c r="E31" s="224" t="s">
        <v>3</v>
      </c>
      <c r="F31" s="224"/>
      <c r="G31" s="4">
        <v>4864161840</v>
      </c>
    </row>
    <row r="32" spans="3:10" x14ac:dyDescent="0.35">
      <c r="C32" s="225" t="s">
        <v>27</v>
      </c>
      <c r="D32" s="226"/>
      <c r="E32" s="226"/>
      <c r="F32" s="227"/>
      <c r="G32" s="8">
        <f>SUM(G24:G31)</f>
        <v>32529175840</v>
      </c>
    </row>
    <row r="34" spans="3:7" x14ac:dyDescent="0.35">
      <c r="C34" s="12" t="s">
        <v>64</v>
      </c>
    </row>
    <row r="35" spans="3:7" x14ac:dyDescent="0.35">
      <c r="C35" s="9" t="s">
        <v>55</v>
      </c>
      <c r="D35" s="13" t="s">
        <v>56</v>
      </c>
      <c r="E35" s="220" t="s">
        <v>0</v>
      </c>
      <c r="F35" s="220"/>
      <c r="G35" s="9" t="s">
        <v>57</v>
      </c>
    </row>
    <row r="36" spans="3:7" x14ac:dyDescent="0.35">
      <c r="C36" s="6" t="s">
        <v>16</v>
      </c>
      <c r="D36" s="2" t="s">
        <v>5</v>
      </c>
      <c r="E36" s="224" t="s">
        <v>45</v>
      </c>
      <c r="F36" s="224"/>
      <c r="G36" s="2">
        <v>596500000</v>
      </c>
    </row>
    <row r="37" spans="3:7" x14ac:dyDescent="0.35">
      <c r="C37" s="6" t="s">
        <v>16</v>
      </c>
      <c r="D37" s="2" t="s">
        <v>5</v>
      </c>
      <c r="E37" s="224" t="s">
        <v>44</v>
      </c>
      <c r="F37" s="224"/>
      <c r="G37" s="2">
        <v>403500000</v>
      </c>
    </row>
    <row r="38" spans="3:7" x14ac:dyDescent="0.35">
      <c r="C38" s="6" t="s">
        <v>16</v>
      </c>
      <c r="D38" s="2" t="s">
        <v>5</v>
      </c>
      <c r="E38" s="224" t="s">
        <v>36</v>
      </c>
      <c r="F38" s="224"/>
      <c r="G38" s="2">
        <v>900200000</v>
      </c>
    </row>
    <row r="39" spans="3:7" x14ac:dyDescent="0.35">
      <c r="C39" s="6" t="s">
        <v>16</v>
      </c>
      <c r="D39" s="2" t="s">
        <v>5</v>
      </c>
      <c r="E39" s="224" t="s">
        <v>46</v>
      </c>
      <c r="F39" s="224"/>
      <c r="G39" s="2">
        <v>432858000</v>
      </c>
    </row>
    <row r="40" spans="3:7" x14ac:dyDescent="0.35">
      <c r="C40" s="6" t="s">
        <v>16</v>
      </c>
      <c r="D40" s="2" t="s">
        <v>5</v>
      </c>
      <c r="E40" s="224" t="s">
        <v>32</v>
      </c>
      <c r="F40" s="224"/>
      <c r="G40" s="2">
        <v>323006000</v>
      </c>
    </row>
    <row r="41" spans="3:7" x14ac:dyDescent="0.35">
      <c r="C41" s="6" t="s">
        <v>16</v>
      </c>
      <c r="D41" s="2" t="s">
        <v>5</v>
      </c>
      <c r="E41" s="224" t="s">
        <v>28</v>
      </c>
      <c r="F41" s="224"/>
      <c r="G41" s="2">
        <v>1200000000</v>
      </c>
    </row>
    <row r="42" spans="3:7" x14ac:dyDescent="0.35">
      <c r="C42" s="6" t="s">
        <v>16</v>
      </c>
      <c r="D42" s="2" t="s">
        <v>5</v>
      </c>
      <c r="E42" s="224" t="s">
        <v>3</v>
      </c>
      <c r="F42" s="224"/>
      <c r="G42" s="2">
        <v>2214252160</v>
      </c>
    </row>
    <row r="43" spans="3:7" x14ac:dyDescent="0.35">
      <c r="C43" s="6" t="s">
        <v>16</v>
      </c>
      <c r="D43" s="2" t="s">
        <v>5</v>
      </c>
      <c r="E43" s="224" t="s">
        <v>29</v>
      </c>
      <c r="F43" s="224"/>
      <c r="G43" s="2">
        <v>170000000</v>
      </c>
    </row>
    <row r="44" spans="3:7" x14ac:dyDescent="0.35">
      <c r="C44" s="6" t="s">
        <v>16</v>
      </c>
      <c r="D44" s="2" t="s">
        <v>5</v>
      </c>
      <c r="E44" s="224" t="s">
        <v>33</v>
      </c>
      <c r="F44" s="224"/>
      <c r="G44" s="2">
        <v>450718000</v>
      </c>
    </row>
    <row r="45" spans="3:7" x14ac:dyDescent="0.35">
      <c r="C45" s="225" t="s">
        <v>27</v>
      </c>
      <c r="D45" s="226"/>
      <c r="E45" s="226"/>
      <c r="F45" s="227"/>
      <c r="G45" s="8">
        <f>SUM(G36:G44)</f>
        <v>6691034160</v>
      </c>
    </row>
    <row r="47" spans="3:7" x14ac:dyDescent="0.35">
      <c r="C47" s="12" t="s">
        <v>65</v>
      </c>
    </row>
    <row r="48" spans="3:7" x14ac:dyDescent="0.35">
      <c r="C48" s="9" t="s">
        <v>55</v>
      </c>
      <c r="D48" s="13" t="s">
        <v>56</v>
      </c>
      <c r="E48" s="220" t="s">
        <v>0</v>
      </c>
      <c r="F48" s="220"/>
      <c r="G48" s="9" t="s">
        <v>57</v>
      </c>
    </row>
    <row r="49" spans="3:7" x14ac:dyDescent="0.35">
      <c r="C49" s="6" t="s">
        <v>39</v>
      </c>
      <c r="D49" s="2" t="s">
        <v>41</v>
      </c>
      <c r="E49" s="224" t="s">
        <v>36</v>
      </c>
      <c r="F49" s="224"/>
      <c r="G49" s="6">
        <v>575315000</v>
      </c>
    </row>
    <row r="50" spans="3:7" x14ac:dyDescent="0.35">
      <c r="C50" s="6" t="s">
        <v>39</v>
      </c>
      <c r="D50" s="2" t="s">
        <v>38</v>
      </c>
      <c r="E50" s="224" t="s">
        <v>36</v>
      </c>
      <c r="F50" s="224"/>
      <c r="G50" s="6">
        <v>2724485000</v>
      </c>
    </row>
    <row r="51" spans="3:7" x14ac:dyDescent="0.35">
      <c r="C51" s="225" t="s">
        <v>27</v>
      </c>
      <c r="D51" s="226"/>
      <c r="E51" s="226"/>
      <c r="F51" s="227"/>
      <c r="G51" s="7">
        <f>SUM(G49:G50)</f>
        <v>3299800000</v>
      </c>
    </row>
    <row r="54" spans="3:7" x14ac:dyDescent="0.35">
      <c r="C54" s="14"/>
      <c r="D54" s="14"/>
      <c r="E54" s="223" t="s">
        <v>58</v>
      </c>
      <c r="F54" s="223"/>
      <c r="G54" s="223"/>
    </row>
    <row r="56" spans="3:7" x14ac:dyDescent="0.35">
      <c r="E56" s="12" t="s">
        <v>63</v>
      </c>
    </row>
    <row r="57" spans="3:7" x14ac:dyDescent="0.35">
      <c r="E57" s="220" t="s">
        <v>61</v>
      </c>
      <c r="F57" s="220"/>
      <c r="G57" s="9" t="s">
        <v>57</v>
      </c>
    </row>
    <row r="58" spans="3:7" x14ac:dyDescent="0.35">
      <c r="E58" s="221" t="s">
        <v>10</v>
      </c>
      <c r="F58" s="221"/>
      <c r="G58" s="6">
        <v>2490000000</v>
      </c>
    </row>
    <row r="59" spans="3:7" x14ac:dyDescent="0.35">
      <c r="E59" s="221" t="s">
        <v>22</v>
      </c>
      <c r="F59" s="221"/>
      <c r="G59" s="6">
        <v>1400000000</v>
      </c>
    </row>
    <row r="60" spans="3:7" x14ac:dyDescent="0.35">
      <c r="E60" s="221" t="s">
        <v>26</v>
      </c>
      <c r="F60" s="221"/>
      <c r="G60" s="6">
        <v>60000000</v>
      </c>
    </row>
    <row r="61" spans="3:7" x14ac:dyDescent="0.35">
      <c r="E61" s="221" t="s">
        <v>11</v>
      </c>
      <c r="F61" s="221"/>
      <c r="G61" s="6">
        <v>12229155840</v>
      </c>
    </row>
    <row r="62" spans="3:7" x14ac:dyDescent="0.35">
      <c r="E62" s="221" t="s">
        <v>24</v>
      </c>
      <c r="F62" s="221"/>
      <c r="G62" s="6">
        <v>375000000</v>
      </c>
    </row>
    <row r="63" spans="3:7" x14ac:dyDescent="0.35">
      <c r="E63" s="221" t="s">
        <v>7</v>
      </c>
      <c r="F63" s="221"/>
      <c r="G63" s="6">
        <v>92758400</v>
      </c>
    </row>
    <row r="64" spans="3:7" x14ac:dyDescent="0.35">
      <c r="E64" s="221" t="s">
        <v>25</v>
      </c>
      <c r="F64" s="221"/>
      <c r="G64" s="6">
        <v>120000000</v>
      </c>
    </row>
    <row r="65" spans="5:7" x14ac:dyDescent="0.35">
      <c r="E65" s="221" t="s">
        <v>4</v>
      </c>
      <c r="F65" s="221"/>
      <c r="G65" s="6">
        <v>10259061600</v>
      </c>
    </row>
    <row r="66" spans="5:7" x14ac:dyDescent="0.35">
      <c r="E66" s="221" t="s">
        <v>13</v>
      </c>
      <c r="F66" s="221"/>
      <c r="G66" s="6">
        <v>500000000</v>
      </c>
    </row>
    <row r="67" spans="5:7" x14ac:dyDescent="0.35">
      <c r="E67" s="221" t="s">
        <v>12</v>
      </c>
      <c r="F67" s="221"/>
      <c r="G67" s="6">
        <v>100000000</v>
      </c>
    </row>
    <row r="68" spans="5:7" x14ac:dyDescent="0.35">
      <c r="E68" s="221" t="s">
        <v>20</v>
      </c>
      <c r="F68" s="221"/>
      <c r="G68" s="6">
        <v>4350000000</v>
      </c>
    </row>
    <row r="69" spans="5:7" x14ac:dyDescent="0.35">
      <c r="E69" s="221" t="s">
        <v>8</v>
      </c>
      <c r="F69" s="221"/>
      <c r="G69" s="6">
        <v>553200000</v>
      </c>
    </row>
    <row r="70" spans="5:7" x14ac:dyDescent="0.35">
      <c r="E70" s="222" t="s">
        <v>27</v>
      </c>
      <c r="F70" s="222"/>
      <c r="G70" s="7">
        <f>SUM(G58:G69)</f>
        <v>32529175840</v>
      </c>
    </row>
    <row r="72" spans="5:7" x14ac:dyDescent="0.35">
      <c r="E72" s="12" t="s">
        <v>64</v>
      </c>
    </row>
    <row r="73" spans="5:7" x14ac:dyDescent="0.35">
      <c r="E73" s="220" t="s">
        <v>61</v>
      </c>
      <c r="F73" s="220"/>
      <c r="G73" s="9" t="s">
        <v>57</v>
      </c>
    </row>
    <row r="74" spans="5:7" x14ac:dyDescent="0.35">
      <c r="E74" s="221" t="s">
        <v>7</v>
      </c>
      <c r="F74" s="221"/>
      <c r="G74" s="6">
        <v>1177022750</v>
      </c>
    </row>
    <row r="75" spans="5:7" x14ac:dyDescent="0.35">
      <c r="E75" s="221" t="s">
        <v>4</v>
      </c>
      <c r="F75" s="221"/>
      <c r="G75" s="6">
        <v>5514011410</v>
      </c>
    </row>
    <row r="76" spans="5:7" x14ac:dyDescent="0.35">
      <c r="E76" s="222" t="s">
        <v>27</v>
      </c>
      <c r="F76" s="222"/>
      <c r="G76" s="7">
        <f>SUM(G74:G75)</f>
        <v>6691034160</v>
      </c>
    </row>
    <row r="79" spans="5:7" x14ac:dyDescent="0.35">
      <c r="E79" s="12" t="s">
        <v>65</v>
      </c>
    </row>
    <row r="80" spans="5:7" x14ac:dyDescent="0.35">
      <c r="E80" s="220" t="s">
        <v>61</v>
      </c>
      <c r="F80" s="220"/>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22" t="s">
        <v>27</v>
      </c>
      <c r="F86" s="222"/>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3.xml><?xml version="1.0" encoding="utf-8"?>
<ds:datastoreItem xmlns:ds="http://schemas.openxmlformats.org/officeDocument/2006/customXml" ds:itemID="{F46C19F8-7026-4C1D-A03A-C78DB94D6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VR6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2026-02-18T16:11:59Z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